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834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18" i="31" l="1"/>
  <c r="G18" i="31"/>
  <c r="H18" i="31"/>
  <c r="I18" i="31"/>
  <c r="J18" i="31"/>
  <c r="K18" i="31"/>
  <c r="L18" i="31"/>
  <c r="D121" i="21"/>
  <c r="T5" i="31"/>
  <c r="D5" i="31"/>
  <c r="E5" i="31"/>
  <c r="F5" i="31"/>
  <c r="G5" i="31"/>
  <c r="H5" i="31"/>
  <c r="I5" i="31"/>
  <c r="J5" i="31"/>
  <c r="K5" i="31"/>
  <c r="L5" i="31"/>
  <c r="M5" i="31"/>
  <c r="C5" i="31"/>
  <c r="E121" i="21"/>
  <c r="F121" i="21"/>
  <c r="C121" i="21"/>
  <c r="G132" i="21"/>
  <c r="F132" i="21"/>
  <c r="E2" i="31"/>
  <c r="E132" i="21"/>
  <c r="G2" i="31"/>
  <c r="F2" i="31"/>
  <c r="D132" i="21"/>
  <c r="E18" i="31"/>
  <c r="D18" i="31"/>
  <c r="F120" i="21"/>
  <c r="E120" i="21"/>
  <c r="D120" i="21"/>
  <c r="C120" i="21"/>
  <c r="N6" i="1"/>
  <c r="F7" i="73"/>
  <c r="D7" i="73"/>
  <c r="F6" i="73"/>
  <c r="D6" i="73"/>
  <c r="F5" i="73"/>
  <c r="D5" i="73"/>
  <c r="F4" i="73"/>
  <c r="D4" i="73"/>
  <c r="F3" i="73"/>
  <c r="D3" i="73"/>
  <c r="L1" i="73"/>
  <c r="K1" i="73"/>
  <c r="J1" i="73"/>
  <c r="I1" i="73"/>
  <c r="G1" i="73"/>
  <c r="E1" i="73"/>
  <c r="C1" i="73"/>
  <c r="B40" i="1"/>
  <c r="F22" i="11"/>
  <c r="F34" i="11"/>
  <c r="M7" i="1"/>
  <c r="M6" i="1"/>
  <c r="M16" i="1"/>
  <c r="C34" i="11"/>
  <c r="C35" i="11"/>
  <c r="C36" i="11"/>
  <c r="C37" i="11"/>
  <c r="C38" i="11"/>
  <c r="C33" i="11"/>
  <c r="C42" i="11"/>
  <c r="C39" i="11"/>
  <c r="C43" i="11"/>
  <c r="C41" i="11"/>
  <c r="C44" i="11"/>
  <c r="D41" i="11"/>
  <c r="C46" i="11"/>
  <c r="C45" i="11"/>
  <c r="C49" i="11"/>
  <c r="N16" i="1"/>
  <c r="F50" i="11"/>
  <c r="C51" i="11"/>
  <c r="C23" i="11"/>
  <c r="C24" i="11"/>
  <c r="C25" i="11"/>
  <c r="C22" i="11"/>
  <c r="C26" i="11"/>
  <c r="D22" i="11"/>
  <c r="C31" i="11"/>
  <c r="C52" i="11"/>
  <c r="C56" i="11"/>
  <c r="C57"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F7" i="21"/>
  <c r="AA7" i="21"/>
  <c r="D89" i="21"/>
  <c r="E89" i="21"/>
  <c r="F89" i="21"/>
  <c r="G89" i="21"/>
  <c r="H89" i="21"/>
  <c r="I89" i="21"/>
  <c r="J89" i="21"/>
  <c r="K89" i="21"/>
  <c r="L89" i="21"/>
  <c r="M89" i="21"/>
  <c r="F26" i="21"/>
  <c r="AA26" i="21"/>
  <c r="B90" i="21"/>
  <c r="F27" i="21"/>
  <c r="AA27" i="21"/>
  <c r="B92" i="21"/>
  <c r="F28" i="21"/>
  <c r="AA28" i="21"/>
  <c r="B94" i="21"/>
  <c r="F29" i="21"/>
  <c r="AA29" i="21"/>
  <c r="B96" i="21"/>
  <c r="F30" i="21"/>
  <c r="AA30" i="21"/>
  <c r="B98" i="21"/>
  <c r="F31" i="21"/>
  <c r="AA31" i="21"/>
  <c r="F32" i="21"/>
  <c r="AA32" i="21"/>
  <c r="D123" i="21"/>
  <c r="E123" i="21"/>
  <c r="F42" i="21"/>
  <c r="AA42" i="21"/>
  <c r="F41" i="21"/>
  <c r="AA41" i="21"/>
  <c r="F33" i="21"/>
  <c r="AA33" i="21"/>
  <c r="F10" i="21"/>
  <c r="AA10" i="21"/>
  <c r="D125" i="21"/>
  <c r="E125" i="21"/>
  <c r="F43" i="21"/>
  <c r="AA43" i="21"/>
  <c r="F23" i="21"/>
  <c r="AA23" i="21"/>
  <c r="R48" i="21"/>
  <c r="H40" i="21"/>
  <c r="AB40" i="21"/>
  <c r="H25" i="21"/>
  <c r="AB25" i="21"/>
  <c r="H11" i="21"/>
  <c r="AB11" i="21"/>
  <c r="H7" i="21"/>
  <c r="AB7" i="21"/>
  <c r="H26" i="21"/>
  <c r="AB26" i="21"/>
  <c r="H27" i="21"/>
  <c r="AB27" i="21"/>
  <c r="H28" i="21"/>
  <c r="AB28" i="21"/>
  <c r="H29" i="21"/>
  <c r="AB29" i="21"/>
  <c r="H30" i="21"/>
  <c r="AB30" i="21"/>
  <c r="H31" i="21"/>
  <c r="AB31" i="21"/>
  <c r="H32" i="21"/>
  <c r="AB32" i="21"/>
  <c r="H42" i="21"/>
  <c r="AB42" i="21"/>
  <c r="H41" i="21"/>
  <c r="AB41" i="21"/>
  <c r="H33" i="21"/>
  <c r="AB33" i="21"/>
  <c r="H10" i="21"/>
  <c r="AB10" i="21"/>
  <c r="H43" i="21"/>
  <c r="AB43" i="21"/>
  <c r="H23" i="21"/>
  <c r="AB23" i="21"/>
  <c r="T48" i="21"/>
  <c r="J40" i="21"/>
  <c r="AC40" i="21"/>
  <c r="D87" i="21"/>
  <c r="J25" i="21"/>
  <c r="AC25" i="21"/>
  <c r="J42" i="21"/>
  <c r="AC42" i="21"/>
  <c r="J43" i="21"/>
  <c r="AC43" i="21"/>
  <c r="J11" i="21"/>
  <c r="AC11" i="21"/>
  <c r="J7" i="21"/>
  <c r="AC7" i="21"/>
  <c r="J26" i="21"/>
  <c r="AC26" i="21"/>
  <c r="J27" i="21"/>
  <c r="AC27" i="21"/>
  <c r="J28" i="21"/>
  <c r="AC28" i="21"/>
  <c r="J29" i="21"/>
  <c r="AC29" i="21"/>
  <c r="J30" i="21"/>
  <c r="AC30" i="21"/>
  <c r="J31" i="21"/>
  <c r="AC31" i="21"/>
  <c r="J32" i="21"/>
  <c r="AC32" i="21"/>
  <c r="J41" i="21"/>
  <c r="AC41" i="21"/>
  <c r="J33" i="21"/>
  <c r="AC33" i="21"/>
  <c r="J10" i="21"/>
  <c r="AC10" i="21"/>
  <c r="J23" i="21"/>
  <c r="AC23" i="21"/>
  <c r="V48" i="21"/>
  <c r="R49" i="21"/>
  <c r="C49" i="21"/>
  <c r="B3" i="21"/>
  <c r="C20" i="9"/>
  <c r="F6" i="67"/>
  <c r="F8" i="67"/>
  <c r="F7" i="67"/>
  <c r="F9" i="67"/>
  <c r="C6" i="67"/>
  <c r="B39" i="1"/>
  <c r="F11" i="67"/>
  <c r="C10" i="67"/>
  <c r="C5" i="67"/>
  <c r="C32" i="67"/>
  <c r="C33" i="67"/>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D15" i="4"/>
  <c r="F7" i="1"/>
  <c r="L48" i="67"/>
  <c r="J53" i="67"/>
  <c r="F1" i="67"/>
  <c r="AE7" i="1"/>
  <c r="F41" i="67"/>
  <c r="C40" i="67"/>
  <c r="M6" i="67"/>
  <c r="M8" i="67"/>
  <c r="M7" i="67"/>
  <c r="M9" i="67"/>
  <c r="J6" i="67"/>
  <c r="M11" i="67"/>
  <c r="J10" i="67"/>
  <c r="J5" i="67"/>
  <c r="J26" i="67"/>
  <c r="J29" i="67"/>
  <c r="L46" i="67"/>
  <c r="D2" i="67"/>
  <c r="B3" i="67"/>
  <c r="D20" i="9"/>
  <c r="G20" i="9"/>
  <c r="R24" i="31"/>
  <c r="Q25" i="31"/>
  <c r="E25" i="31"/>
  <c r="G25" i="31"/>
  <c r="I25" i="31"/>
  <c r="K25" i="31"/>
  <c r="M25" i="31"/>
  <c r="O25" i="31"/>
  <c r="C25" i="31"/>
  <c r="R25" i="31"/>
  <c r="S25" i="31"/>
  <c r="S24" i="31"/>
  <c r="P23" i="31"/>
  <c r="N23" i="31"/>
  <c r="L23" i="31"/>
  <c r="J23" i="31"/>
  <c r="H23" i="31"/>
  <c r="F23" i="31"/>
  <c r="D23" i="31"/>
  <c r="S22" i="31"/>
  <c r="R22" i="31"/>
  <c r="B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C24" i="43"/>
  <c r="C29" i="43"/>
  <c r="E29" i="43"/>
  <c r="C33" i="43"/>
  <c r="E33" i="43"/>
  <c r="C26" i="43"/>
  <c r="C30" i="43"/>
  <c r="E30" i="43"/>
  <c r="G33" i="43"/>
  <c r="I33" i="43"/>
  <c r="C27" i="43"/>
  <c r="C34" i="43"/>
  <c r="C35" i="43"/>
  <c r="C36" i="43"/>
  <c r="C37" i="43"/>
  <c r="C38" i="43"/>
  <c r="C39" i="43"/>
  <c r="E6" i="76"/>
  <c r="B2" i="43"/>
  <c r="B6" i="76"/>
  <c r="B2" i="76"/>
  <c r="E2" i="76"/>
  <c r="B3" i="76"/>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C20" i="20"/>
  <c r="B77" i="43"/>
  <c r="N76" i="43"/>
  <c r="M76" i="43"/>
  <c r="K76" i="43"/>
  <c r="J76" i="43"/>
  <c r="H76" i="43"/>
  <c r="D76" i="43"/>
  <c r="N75" i="43"/>
  <c r="M75" i="43"/>
  <c r="K75" i="43"/>
  <c r="J75" i="43"/>
  <c r="H75" i="43"/>
  <c r="D75" i="43"/>
  <c r="B75" i="43"/>
  <c r="N74" i="43"/>
  <c r="M74" i="43"/>
  <c r="K74" i="43"/>
  <c r="J74" i="43"/>
  <c r="H74" i="43"/>
  <c r="D74" i="43"/>
  <c r="C21" i="20"/>
  <c r="B74" i="43"/>
  <c r="N73" i="43"/>
  <c r="M73" i="43"/>
  <c r="K73" i="43"/>
  <c r="J73" i="43"/>
  <c r="H73" i="43"/>
  <c r="D73" i="43"/>
  <c r="B73" i="43"/>
  <c r="N72" i="43"/>
  <c r="M72" i="43"/>
  <c r="K72" i="43"/>
  <c r="J72" i="43"/>
  <c r="H72" i="43"/>
  <c r="D72" i="43"/>
  <c r="B72" i="43"/>
  <c r="N71" i="43"/>
  <c r="M71" i="43"/>
  <c r="K71" i="43"/>
  <c r="J71" i="43"/>
  <c r="H71" i="43"/>
  <c r="D71" i="43"/>
  <c r="C18" i="20"/>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C17" i="20"/>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P23" i="43"/>
  <c r="C23" i="43"/>
  <c r="P22" i="43"/>
  <c r="J22" i="43"/>
  <c r="H22" i="43"/>
  <c r="G22" i="43"/>
  <c r="F22" i="43"/>
  <c r="E22" i="43"/>
  <c r="D22" i="43"/>
  <c r="P21" i="43"/>
  <c r="C21" i="43"/>
  <c r="M20" i="43"/>
  <c r="J20" i="43"/>
  <c r="E20" i="43"/>
  <c r="O19" i="43"/>
  <c r="M19" i="43"/>
  <c r="I19" i="43"/>
  <c r="G19" i="43"/>
  <c r="C19" i="43"/>
  <c r="C18" i="43"/>
  <c r="P17" i="43"/>
  <c r="O17" i="43"/>
  <c r="N17" i="43"/>
  <c r="M17" i="43"/>
  <c r="J17" i="43"/>
  <c r="I17" i="43"/>
  <c r="H17" i="43"/>
  <c r="G17" i="43"/>
  <c r="E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I58" i="40"/>
  <c r="H58" i="40"/>
  <c r="B58" i="40"/>
  <c r="F58" i="40"/>
  <c r="E58" i="40"/>
  <c r="C58" i="40"/>
  <c r="I57" i="40"/>
  <c r="H57" i="40"/>
  <c r="B57" i="40"/>
  <c r="F57" i="40"/>
  <c r="E57" i="40"/>
  <c r="C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I63" i="39"/>
  <c r="H63" i="39"/>
  <c r="B63" i="39"/>
  <c r="F63" i="39"/>
  <c r="E63" i="39"/>
  <c r="C63" i="39"/>
  <c r="I62" i="39"/>
  <c r="H62" i="39"/>
  <c r="B62" i="39"/>
  <c r="F62" i="39"/>
  <c r="E62" i="39"/>
  <c r="C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F125" i="21"/>
  <c r="G125" i="21"/>
  <c r="F123" i="21"/>
  <c r="G123" i="21"/>
  <c r="H123" i="21"/>
  <c r="I123" i="21"/>
  <c r="J123" i="21"/>
  <c r="K123" i="21"/>
  <c r="L123" i="21"/>
  <c r="M123" i="21"/>
  <c r="D119" i="21"/>
  <c r="E119" i="21"/>
  <c r="F119" i="21"/>
  <c r="G119" i="21"/>
  <c r="H119" i="21"/>
  <c r="I119" i="21"/>
  <c r="J119" i="21"/>
  <c r="K119" i="21"/>
  <c r="L119" i="21"/>
  <c r="M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G85" i="21"/>
  <c r="F85" i="21"/>
  <c r="E85" i="21"/>
  <c r="D85" i="21"/>
  <c r="G83" i="21"/>
  <c r="F83" i="21"/>
  <c r="E83" i="21"/>
  <c r="D83" i="21"/>
  <c r="G81" i="21"/>
  <c r="F81" i="21"/>
  <c r="E81" i="21"/>
  <c r="D81" i="21"/>
  <c r="G79" i="21"/>
  <c r="F79" i="21"/>
  <c r="E79" i="21"/>
  <c r="D79" i="21"/>
  <c r="G77" i="21"/>
  <c r="F77" i="21"/>
  <c r="E77" i="21"/>
  <c r="D77" i="21"/>
  <c r="B74" i="21"/>
  <c r="B72" i="21"/>
  <c r="B70" i="21"/>
  <c r="E69" i="21"/>
  <c r="F69" i="21"/>
  <c r="G69" i="21"/>
  <c r="H69" i="21"/>
  <c r="I69" i="21"/>
  <c r="J69" i="21"/>
  <c r="K69" i="21"/>
  <c r="L69" i="21"/>
  <c r="M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I48" i="21"/>
  <c r="E48" i="21"/>
  <c r="I53" i="21"/>
  <c r="J53" i="21"/>
  <c r="G48" i="21"/>
  <c r="G53" i="21"/>
  <c r="H53" i="21"/>
  <c r="E53" i="21"/>
  <c r="F53" i="21"/>
  <c r="I52" i="21"/>
  <c r="J52" i="21"/>
  <c r="G52" i="21"/>
  <c r="H52" i="21"/>
  <c r="E52" i="21"/>
  <c r="F52" i="21"/>
  <c r="P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c r="W43" i="21"/>
  <c r="U43" i="21"/>
  <c r="S43" i="21"/>
  <c r="Z42" i="21"/>
  <c r="W42" i="21"/>
  <c r="U42" i="21"/>
  <c r="S42" i="21"/>
  <c r="Q42" i="21"/>
  <c r="Z41" i="21"/>
  <c r="W41" i="21"/>
  <c r="U41" i="21"/>
  <c r="S41" i="21"/>
  <c r="Q41" i="21"/>
  <c r="Q40" i="21"/>
  <c r="Z40" i="21"/>
  <c r="W40" i="21"/>
  <c r="U40" i="21"/>
  <c r="S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Z25" i="21"/>
  <c r="W25" i="21"/>
  <c r="U25" i="21"/>
  <c r="S25" i="21"/>
  <c r="Q25" i="21"/>
  <c r="Z23" i="21"/>
  <c r="W23" i="21"/>
  <c r="U23" i="21"/>
  <c r="S23" i="21"/>
  <c r="Q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Q11" i="21"/>
  <c r="Z11" i="21"/>
  <c r="W11" i="21"/>
  <c r="U11" i="21"/>
  <c r="S11" i="21"/>
  <c r="Z10" i="21"/>
  <c r="W10" i="21"/>
  <c r="U10" i="21"/>
  <c r="S10" i="21"/>
  <c r="Q10" i="21"/>
  <c r="AC9" i="21"/>
  <c r="AB9" i="21"/>
  <c r="AA9" i="21"/>
  <c r="Z9" i="21"/>
  <c r="W9" i="21"/>
  <c r="U9" i="21"/>
  <c r="S9" i="21"/>
  <c r="Q9" i="21"/>
  <c r="J9" i="21"/>
  <c r="H9" i="21"/>
  <c r="F9" i="21"/>
  <c r="AC8" i="21"/>
  <c r="AB8" i="21"/>
  <c r="AA8" i="21"/>
  <c r="W8" i="21"/>
  <c r="U8" i="21"/>
  <c r="S8" i="21"/>
  <c r="J8" i="21"/>
  <c r="H8" i="21"/>
  <c r="F8" i="21"/>
  <c r="W7" i="21"/>
  <c r="U7" i="21"/>
  <c r="S7" i="21"/>
  <c r="C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B2" i="67"/>
  <c r="AO7" i="1"/>
  <c r="B7" i="70"/>
  <c r="A7" i="70"/>
  <c r="E6" i="70"/>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P7" i="1"/>
  <c r="P6"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7" i="1"/>
  <c r="AP6"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I118" i="9"/>
  <c r="H118" i="9"/>
  <c r="H101" i="9"/>
  <c r="H107" i="9"/>
  <c r="D122" i="9"/>
  <c r="D123" i="9"/>
  <c r="A122" i="9"/>
  <c r="D121" i="9"/>
  <c r="K120" i="9"/>
  <c r="D120" i="9"/>
  <c r="A120" i="9"/>
  <c r="H119" i="9"/>
  <c r="D35" i="9"/>
  <c r="C35" i="9"/>
  <c r="G118" i="9"/>
  <c r="F118" i="9"/>
  <c r="F119" i="9"/>
  <c r="C34" i="9"/>
  <c r="E118" i="9"/>
  <c r="D118" i="9"/>
  <c r="D119" i="9"/>
  <c r="M18" i="9"/>
  <c r="B118"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G20" i="20"/>
  <c r="G19" i="20"/>
  <c r="G18" i="20"/>
  <c r="G16" i="20"/>
  <c r="G15" i="20"/>
  <c r="C15" i="20"/>
  <c r="B52" i="1"/>
  <c r="B43" i="1"/>
  <c r="C42" i="1"/>
  <c r="B41" i="1"/>
  <c r="B31" i="1"/>
  <c r="B24" i="1"/>
  <c r="B23" i="1"/>
  <c r="B22" i="1"/>
  <c r="T16" i="1"/>
  <c r="S16" i="1"/>
  <c r="R6" i="1"/>
  <c r="R8" i="1"/>
  <c r="R9" i="1"/>
  <c r="R10" i="1"/>
  <c r="R11" i="1"/>
  <c r="R12" i="1"/>
  <c r="R13" i="1"/>
  <c r="R16" i="1"/>
  <c r="Q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AE6" i="1"/>
  <c r="Y6" i="1"/>
  <c r="T6" i="1"/>
  <c r="S6" i="1"/>
  <c r="K6" i="1"/>
  <c r="F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<sst xmlns="http://schemas.openxmlformats.org/spreadsheetml/2006/main" count="7422" uniqueCount="2531">
  <si>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</si>
  <si>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</si>
  <si>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</si>
  <si>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</si>
  <si>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</si>
  <si>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</si>
  <si>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</si>
  <si>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</si>
  <si>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</si>
  <si>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</si>
  <si>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</si>
  <si>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</si>
  <si>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</si>
  <si>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</si>
  <si>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</si>
  <si>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</si>
  <si>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</si>
  <si>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</si>
  <si>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</si>
  <si>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</si>
  <si>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</si>
  <si>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</si>
  <si>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</si>
  <si>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</si>
  <si>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</si>
  <si>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</si>
  <si>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</si>
  <si>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</si>
  <si>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</si>
  <si>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</si>
  <si>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</si>
  <si>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</si>
  <si>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</si>
  <si>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</si>
  <si>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</si>
  <si>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</si>
  <si>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</si>
  <si>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</si>
  <si>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</si>
  <si>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</si>
  <si>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</si>
  <si>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</si>
  <si>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</si>
  <si>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</si>
  <si>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</si>
  <si>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</si>
  <si>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</si>
  <si>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</si>
  <si>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</si>
  <si>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</si>
  <si>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</si>
  <si>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</si>
  <si>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</si>
  <si>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</si>
  <si>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</si>
  <si>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</si>
  <si>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</si>
  <si>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</si>
  <si>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</si>
  <si>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</si>
  <si>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</si>
  <si>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</si>
  <si>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</si>
  <si>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</si>
  <si>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</si>
  <si>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</si>
  <si>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</si>
  <si>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</si>
  <si>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</si>
  <si>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</si>
  <si>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</si>
  <si>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</si>
  <si>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</si>
  <si>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</si>
  <si>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</si>
  <si>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</si>
  <si>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</si>
  <si>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</si>
  <si>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</si>
  <si>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</si>
  <si>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</si>
  <si>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</si>
  <si>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</si>
  <si>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</si>
  <si>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</si>
  <si>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</si>
  <si>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</si>
  <si>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</si>
  <si>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</si>
  <si>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</si>
  <si>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</si>
  <si>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</si>
  <si>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</si>
  <si>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</si>
  <si>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</si>
  <si>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</si>
  <si>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</si>
  <si>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</si>
  <si>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</si>
  <si>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</si>
  <si>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</si>
  <si>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</si>
  <si>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</si>
  <si>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</si>
  <si>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</si>
  <si>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</si>
  <si>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</si>
  <si>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</si>
  <si>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</si>
  <si>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</si>
  <si>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</si>
  <si>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</si>
  <si>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</si>
  <si>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</si>
  <si>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</si>
  <si>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</si>
  <si>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</si>
  <si>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</si>
  <si>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</si>
  <si>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</si>
  <si>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</si>
  <si>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</si>
  <si>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</si>
  <si>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</si>
  <si>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</si>
  <si>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</si>
  <si>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</si>
  <si>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</si>
  <si>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</si>
  <si>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</si>
  <si>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</si>
  <si>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</si>
  <si>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</si>
  <si>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</si>
  <si>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</si>
  <si>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</si>
  <si>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</si>
  <si>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</si>
  <si>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</si>
  <si>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</si>
  <si>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</si>
  <si>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</si>
  <si>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</si>
  <si>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</si>
  <si>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</si>
  <si>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</si>
  <si>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</si>
  <si>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</si>
  <si>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</si>
  <si>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</si>
  <si>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</si>
  <si>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</si>
  <si>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</si>
  <si>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</si>
  <si>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</si>
  <si>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</si>
  <si>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</si>
  <si>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</si>
  <si>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</si>
  <si>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</si>
  <si>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</si>
  <si>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</si>
  <si>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</si>
  <si>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</si>
  <si>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</si>
  <si>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</si>
  <si>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</si>
  <si>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</si>
  <si>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</si>
  <si>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</si>
  <si>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</si>
  <si>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</si>
  <si>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</si>
  <si>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</si>
  <si>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</si>
  <si>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</si>
  <si>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</si>
  <si>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</si>
  <si>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</si>
  <si>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</si>
  <si>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</si>
  <si>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</si>
  <si>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</si>
  <si>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</si>
  <si>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</si>
  <si>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</si>
  <si>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</si>
  <si>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</si>
  <si>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</si>
  <si>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</si>
  <si>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</si>
  <si>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</si>
  <si>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</si>
  <si>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</si>
  <si>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</si>
  <si>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</si>
  <si>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</si>
  <si>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</si>
  <si>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</si>
  <si>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</si>
  <si>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</si>
  <si>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</si>
  <si>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</si>
  <si>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</si>
  <si>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</si>
  <si>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</si>
  <si>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</si>
  <si>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</si>
  <si>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</si>
  <si>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</si>
  <si>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</si>
  <si>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</si>
  <si>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</si>
  <si>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</si>
  <si>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</si>
  <si>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</si>
  <si>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</si>
  <si>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</si>
  <si>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</si>
  <si>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</si>
  <si>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</si>
  <si>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</si>
  <si>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</si>
  <si>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</si>
  <si>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</si>
  <si>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</si>
  <si>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</si>
  <si>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</si>
  <si>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</si>
  <si>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</si>
  <si>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</si>
  <si>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</si>
  <si>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</si>
  <si>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</si>
  <si>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</si>
  <si>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</si>
  <si>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</si>
  <si>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</si>
  <si>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</si>
  <si>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</si>
  <si>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</si>
  <si>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</si>
  <si>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</si>
  <si>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</si>
  <si>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</si>
  <si>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</si>
  <si>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</si>
  <si>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</si>
  <si>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</si>
  <si>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</si>
  <si>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</si>
  <si>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</si>
  <si>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</si>
  <si>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</si>
  <si>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</si>
  <si>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</si>
  <si>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</si>
  <si>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</si>
  <si>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</si>
  <si>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</si>
  <si>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</si>
  <si>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</si>
  <si>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</si>
  <si>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</si>
  <si>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</si>
  <si>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</si>
  <si>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</si>
  <si>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</si>
  <si>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</si>
  <si>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</si>
  <si>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</si>
  <si>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</si>
  <si>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</si>
  <si>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</si>
  <si>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</si>
  <si>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</si>
  <si>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</si>
  <si>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</si>
  <si>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</si>
  <si>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</si>
  <si>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</si>
  <si>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</si>
  <si>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</si>
  <si>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</si>
  <si>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</si>
  <si>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</si>
  <si>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</si>
  <si>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</si>
  <si>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</si>
  <si>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</si>
  <si>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</si>
  <si>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</si>
  <si>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</si>
  <si>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</si>
  <si>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</si>
  <si>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</si>
  <si>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</si>
  <si>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</si>
  <si>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</si>
  <si>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</si>
  <si>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</si>
  <si>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</si>
  <si>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</si>
  <si>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</si>
  <si>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</si>
  <si>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</si>
  <si>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</si>
  <si>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</si>
  <si>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</si>
  <si>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</si>
  <si>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</si>
  <si>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</si>
  <si>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</si>
  <si>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</si>
  <si>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</si>
  <si>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</si>
  <si>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</si>
  <si>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</si>
  <si>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</si>
  <si>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</si>
  <si>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</si>
  <si>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</si>
  <si>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</si>
  <si>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</si>
  <si>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</si>
  <si>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</si>
  <si>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</si>
  <si>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</si>
  <si>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</si>
  <si>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</si>
  <si>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</si>
  <si>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</si>
  <si>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</si>
  <si>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</si>
  <si>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</si>
  <si>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</si>
  <si>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</si>
  <si>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</si>
  <si>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</si>
  <si>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</si>
  <si>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</si>
  <si>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</si>
  <si>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</si>
  <si>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</si>
  <si>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</si>
  <si>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</si>
  <si>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</si>
  <si>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</si>
  <si>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</si>
  <si>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</si>
  <si>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</si>
  <si>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</si>
  <si>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</si>
  <si>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</si>
  <si>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</si>
  <si>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</si>
  <si>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</si>
  <si>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</si>
  <si>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</si>
  <si>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</si>
  <si>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</si>
  <si>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</si>
  <si>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</si>
  <si>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</si>
  <si>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</si>
  <si>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</si>
  <si>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</si>
  <si>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</si>
  <si>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</si>
  <si>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</si>
  <si>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</si>
  <si>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</si>
  <si>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</si>
  <si>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</si>
  <si>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</si>
  <si>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</si>
  <si>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</si>
  <si>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</si>
  <si>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</si>
  <si>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</si>
  <si>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</si>
  <si>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</si>
  <si>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</si>
  <si>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</si>
  <si>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</si>
  <si>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</si>
  <si>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</si>
  <si>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</si>
  <si>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</si>
  <si>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</si>
  <si>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</si>
  <si>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</si>
  <si>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</si>
  <si>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</si>
  <si>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</si>
  <si>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</si>
  <si>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</si>
  <si>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</si>
  <si>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</si>
  <si>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</si>
  <si>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</si>
  <si>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</si>
  <si>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</si>
  <si>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</si>
  <si>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</si>
  <si>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</si>
  <si>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</si>
  <si>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</si>
  <si>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</si>
  <si>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</si>
  <si>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</si>
  <si>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</si>
  <si>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</si>
  <si>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</si>
  <si>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</si>
  <si>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</si>
  <si>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</si>
  <si>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</si>
  <si>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</si>
  <si>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</si>
  <si>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</si>
  <si>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</si>
  <si>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</si>
  <si>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</si>
  <si>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</si>
  <si>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</si>
  <si>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</si>
  <si>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</si>
  <si>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</si>
  <si>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</si>
  <si>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</si>
  <si>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</si>
  <si>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</si>
  <si>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</si>
  <si>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</si>
  <si>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</si>
  <si>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</si>
  <si>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</si>
  <si>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</si>
  <si>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</si>
  <si>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</si>
  <si>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</si>
  <si>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</si>
  <si>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</si>
  <si>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</si>
  <si>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</si>
  <si>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</si>
  <si>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</si>
  <si>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</si>
  <si>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</si>
  <si>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</si>
  <si>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</si>
  <si>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</si>
  <si>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</si>
  <si>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</si>
  <si>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</si>
  <si>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</si>
  <si>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</si>
  <si>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</si>
  <si>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</si>
  <si>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</si>
  <si>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</si>
  <si>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</si>
  <si>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</si>
  <si>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</si>
  <si>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</si>
  <si>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</si>
  <si>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</si>
  <si>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</si>
  <si>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</si>
  <si>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</si>
  <si>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</si>
  <si>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</si>
  <si>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</si>
  <si>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</si>
  <si>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</si>
  <si>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</si>
  <si>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</si>
  <si>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</si>
  <si>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</si>
  <si>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</si>
  <si>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</si>
  <si>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</si>
  <si>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</si>
  <si>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</si>
  <si>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</si>
  <si>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</si>
  <si>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</si>
  <si>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</si>
  <si>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</si>
  <si>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</si>
  <si>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</si>
  <si>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</si>
  <si>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</si>
  <si>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</si>
  <si>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</si>
  <si>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</si>
  <si>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</si>
  <si>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</si>
  <si>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</si>
  <si>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</si>
  <si>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</si>
  <si>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</si>
  <si>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</si>
  <si>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</si>
  <si>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</si>
  <si>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</si>
  <si>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</si>
  <si>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</si>
  <si>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</si>
  <si>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</si>
  <si>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</si>
  <si>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</si>
  <si>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</si>
  <si>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</si>
  <si>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</si>
  <si>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</si>
  <si>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</si>
  <si>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</si>
  <si>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</si>
  <si>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</si>
  <si>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</si>
  <si>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</si>
  <si>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</si>
  <si>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</si>
  <si>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</si>
  <si>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</si>
  <si>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</si>
  <si>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</si>
  <si>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</si>
  <si>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</si>
  <si>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</si>
  <si>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</si>
  <si>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</si>
  <si>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</si>
  <si>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</si>
  <si>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</si>
  <si>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</si>
  <si>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</si>
  <si>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</si>
  <si>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</si>
  <si>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</si>
  <si>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</si>
  <si>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</si>
  <si>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</si>
  <si>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</si>
  <si>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</si>
  <si>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</si>
  <si>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</si>
  <si>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</si>
  <si>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</si>
  <si>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</si>
  <si>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</si>
  <si>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</si>
  <si>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</si>
  <si>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</si>
  <si>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</si>
  <si>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</si>
  <si>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</si>
  <si>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</si>
  <si>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</si>
  <si>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</si>
  <si>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</si>
  <si>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</si>
  <si>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</si>
  <si>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</si>
  <si>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</si>
  <si>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</si>
  <si>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</si>
  <si>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</si>
  <si>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</si>
  <si>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</si>
  <si>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</si>
  <si>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</si>
  <si>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</si>
  <si>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</si>
  <si>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</si>
  <si>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</si>
  <si>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</si>
  <si>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</si>
  <si>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</si>
  <si>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</si>
  <si>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</si>
  <si>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</si>
  <si>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</si>
  <si>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</si>
  <si>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</si>
  <si>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</si>
  <si>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</si>
  <si>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</si>
  <si>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</si>
  <si>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</si>
  <si>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</si>
  <si>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</si>
  <si>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</si>
  <si>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</si>
  <si>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</si>
  <si>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</si>
  <si>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</si>
  <si>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</si>
  <si>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</si>
  <si>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</si>
  <si>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</si>
  <si>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</si>
  <si>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</si>
  <si>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</si>
  <si>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</si>
  <si>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</si>
  <si>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</si>
  <si>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</si>
  <si>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</si>
  <si>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</si>
  <si>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</si>
  <si>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</si>
  <si>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</si>
  <si>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</si>
  <si>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</si>
  <si>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</si>
  <si>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</si>
  <si>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</si>
  <si>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</si>
  <si>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</si>
  <si>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</si>
  <si>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</si>
  <si>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</si>
  <si>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</si>
  <si>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</si>
  <si>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</si>
  <si>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</si>
  <si>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</si>
  <si>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</si>
  <si>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</si>
  <si>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</si>
  <si>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</si>
  <si>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</si>
  <si>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</si>
  <si>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</si>
  <si>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</si>
  <si>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</si>
  <si>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</si>
  <si>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</si>
  <si>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</si>
  <si>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</si>
  <si>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</si>
  <si>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</si>
  <si>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</si>
  <si>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</si>
  <si>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</si>
  <si>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</si>
  <si>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</si>
  <si>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</si>
  <si>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</si>
  <si>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</si>
  <si>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</si>
  <si>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</si>
  <si>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</si>
  <si>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估价对象周边有万景公寓、富丽小区、中海雅园、北洼路住宅楼等居住社区，综合评价居住社区成熟度好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</si>
  <si>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</si>
  <si>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</si>
  <si>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</si>
  <si>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</si>
  <si>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</si>
  <si>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</si>
  <si>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</si>
  <si>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</si>
  <si>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</si>
  <si>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</si>
  <si>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</si>
  <si>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</si>
  <si>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</si>
  <si>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</si>
  <si>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</si>
  <si>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</si>
  <si>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</si>
  <si>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</si>
  <si>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</si>
  <si>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</si>
  <si>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</si>
  <si>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</si>
  <si>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</si>
  <si>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</si>
  <si>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</si>
  <si>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</si>
  <si>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</si>
  <si>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</si>
  <si>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</si>
  <si>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</si>
  <si>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</si>
  <si>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</si>
  <si>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</si>
  <si>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</si>
  <si>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</si>
  <si>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</si>
  <si>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</si>
  <si>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</si>
  <si>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</si>
  <si>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</si>
  <si>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</si>
  <si>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</si>
  <si>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</si>
  <si>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</si>
  <si>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</si>
  <si>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</si>
  <si>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</si>
  <si>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</si>
  <si>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</si>
  <si>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</si>
  <si>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</si>
  <si>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</si>
  <si>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</si>
  <si>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</si>
  <si>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</si>
  <si>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</si>
  <si>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</si>
  <si>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</si>
  <si>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</si>
  <si>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</si>
  <si>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</si>
  <si>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</si>
  <si>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</si>
  <si>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</si>
  <si>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</si>
  <si>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</si>
  <si>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</si>
  <si>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</si>
  <si>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</si>
  <si>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</si>
  <si>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</si>
  <si>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</si>
  <si>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</si>
  <si>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</si>
  <si>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</si>
  <si>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</si>
  <si>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</si>
  <si>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</si>
  <si>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</si>
  <si>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</si>
  <si>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</si>
  <si>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</si>
  <si>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</si>
  <si>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</si>
  <si>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</si>
  <si>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</si>
  <si>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</si>
  <si>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</si>
  <si>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</si>
  <si>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</si>
  <si>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</si>
  <si>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</si>
  <si>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</si>
  <si>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</si>
  <si>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</si>
  <si>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</si>
  <si>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</si>
  <si>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</si>
  <si>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</si>
  <si>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</si>
  <si>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</si>
  <si>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</si>
  <si>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</si>
  <si>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</si>
  <si>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</si>
  <si>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</si>
  <si>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</si>
  <si>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</si>
  <si>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</si>
  <si>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</si>
  <si>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</si>
  <si>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</si>
  <si>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</si>
  <si>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</si>
  <si>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</si>
  <si>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</si>
  <si>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</si>
  <si>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</si>
  <si>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</si>
  <si>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</si>
  <si>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</si>
  <si>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</si>
  <si>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</si>
  <si>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</si>
  <si>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</si>
  <si>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</si>
  <si>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</si>
  <si>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</si>
  <si>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</si>
  <si>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</si>
  <si>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</si>
  <si>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</si>
  <si>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</si>
  <si>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</si>
  <si>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</si>
  <si>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</si>
  <si>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</si>
  <si>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</si>
  <si>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</si>
  <si>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</si>
  <si>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</si>
  <si>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</si>
  <si>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</si>
  <si>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</si>
  <si>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</si>
  <si>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</si>
  <si>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</si>
  <si>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</si>
  <si>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</si>
  <si>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</si>
  <si>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</si>
  <si>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</si>
  <si>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</si>
  <si>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</si>
  <si>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</si>
  <si>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</si>
  <si>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</si>
  <si>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</si>
  <si>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</si>
  <si>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</si>
  <si>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</si>
  <si>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</si>
  <si>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</si>
  <si>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</si>
  <si>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</si>
  <si>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</si>
  <si>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</si>
  <si>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</si>
  <si>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</si>
  <si>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</si>
  <si>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</si>
  <si>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</si>
  <si>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</si>
  <si>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</si>
  <si>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</si>
  <si>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</si>
  <si>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</si>
  <si>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</si>
  <si>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</si>
  <si>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</si>
  <si>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</si>
  <si>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</si>
  <si>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</si>
  <si>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</si>
  <si>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</si>
  <si>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</si>
  <si>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</si>
  <si>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</si>
  <si>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</si>
  <si>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</si>
  <si>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</si>
  <si>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</si>
  <si>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</si>
  <si>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</si>
  <si>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</si>
  <si>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</si>
  <si>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</si>
  <si>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</si>
  <si>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</si>
  <si>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</si>
  <si>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</si>
  <si>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</si>
  <si>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</si>
  <si>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</si>
  <si>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</si>
  <si>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</si>
  <si>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</si>
  <si>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</si>
  <si>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</si>
  <si>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</si>
  <si>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</si>
  <si>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</si>
  <si>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</si>
  <si>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</si>
  <si>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</si>
  <si>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</si>
  <si>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</si>
  <si>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</si>
  <si>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</si>
  <si>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</si>
  <si>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</si>
  <si>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</si>
  <si>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</si>
  <si>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</si>
  <si>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</si>
  <si>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</si>
  <si>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</si>
  <si>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</si>
  <si>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</si>
  <si>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</si>
  <si>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</si>
  <si>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</si>
  <si>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</si>
  <si>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</si>
  <si>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</si>
  <si>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</si>
  <si>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</si>
  <si>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</si>
  <si>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</si>
  <si>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</si>
  <si>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</si>
  <si>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</si>
  <si>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</si>
  <si>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</si>
  <si>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</si>
  <si>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</si>
  <si>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</si>
  <si>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</si>
  <si>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</si>
  <si>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</si>
  <si>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</si>
  <si>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</si>
  <si>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</si>
  <si>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</si>
  <si>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</si>
  <si>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</si>
  <si>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</si>
  <si>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</si>
  <si>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</si>
  <si>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</si>
  <si>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</si>
  <si>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</si>
  <si>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</si>
  <si>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</si>
  <si>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</si>
  <si>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</si>
  <si>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</si>
  <si>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</si>
  <si>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</si>
  <si>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</si>
  <si>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</si>
  <si>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</si>
  <si>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</si>
  <si>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</si>
  <si>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</si>
  <si>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</si>
  <si>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</si>
  <si>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</si>
  <si>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</si>
  <si>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</si>
  <si>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</si>
  <si>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</si>
  <si>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</si>
  <si>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</si>
  <si>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</si>
  <si>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</si>
  <si>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</si>
  <si>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</si>
  <si>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</si>
  <si>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</si>
  <si>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</si>
  <si>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</si>
  <si>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</si>
  <si>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</si>
  <si>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</si>
  <si>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</si>
  <si>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</si>
  <si>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</si>
  <si>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</si>
  <si>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</si>
  <si>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</si>
  <si>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</si>
  <si>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</si>
  <si>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</si>
  <si>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</si>
  <si>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</si>
  <si>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</si>
  <si>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</si>
  <si>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</si>
  <si>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</si>
  <si>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</si>
  <si>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</si>
  <si>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</si>
  <si>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</si>
  <si>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</si>
  <si>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</si>
  <si>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</si>
  <si>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</si>
  <si>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</si>
  <si>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</si>
  <si>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</si>
  <si>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</si>
  <si>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</si>
  <si>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</si>
  <si>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</si>
  <si>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</si>
  <si>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</si>
  <si>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</si>
  <si>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</si>
  <si>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</si>
  <si>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</si>
  <si>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</si>
  <si>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</si>
  <si>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</si>
  <si>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</si>
  <si>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</si>
  <si>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</si>
  <si>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</si>
  <si>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</si>
  <si>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</si>
  <si>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</si>
  <si>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</si>
  <si>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</si>
  <si>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</si>
  <si>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</si>
  <si>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</si>
  <si>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</si>
  <si>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</si>
  <si>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</si>
  <si>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</si>
  <si>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</si>
  <si>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</si>
  <si>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</si>
  <si>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</si>
  <si>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</si>
  <si>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</si>
  <si>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</si>
  <si>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</si>
  <si>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</si>
  <si>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</si>
  <si>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</si>
  <si>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</si>
  <si>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</si>
  <si>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</si>
  <si>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</si>
  <si>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</si>
  <si>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</si>
  <si>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</si>
  <si>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</si>
  <si>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</si>
  <si>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</si>
  <si>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</si>
  <si>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</si>
  <si>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</si>
  <si>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</si>
  <si>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</si>
  <si>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</si>
  <si>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</si>
  <si>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</si>
  <si>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</si>
  <si>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</si>
  <si>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</si>
  <si>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</si>
  <si>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</si>
  <si>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</si>
  <si>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</si>
  <si>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</si>
  <si>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</si>
  <si>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</si>
  <si>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</si>
  <si>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</si>
  <si>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</si>
  <si>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</si>
  <si>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</si>
  <si>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</si>
  <si>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</si>
  <si>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</si>
  <si>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</si>
  <si>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</si>
  <si>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</si>
  <si>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</si>
  <si>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</si>
  <si>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</si>
  <si>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</si>
  <si>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</si>
  <si>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</si>
  <si>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</si>
  <si>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</si>
  <si>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</si>
  <si>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</si>
  <si>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</si>
  <si>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</si>
  <si>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</si>
  <si>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</si>
  <si>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</si>
  <si>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</si>
  <si>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</si>
  <si>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</si>
  <si>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</si>
  <si>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</si>
  <si>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</si>
  <si>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</si>
  <si>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</si>
  <si>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</si>
  <si>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</si>
  <si>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</si>
  <si>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</si>
  <si>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</si>
  <si>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</si>
  <si>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</si>
  <si>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</si>
  <si>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</si>
  <si>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</si>
  <si>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</si>
  <si>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</si>
  <si>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</si>
  <si>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</si>
  <si>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</si>
  <si>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</si>
  <si>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</si>
  <si>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</si>
  <si>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</si>
  <si>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</si>
  <si>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</si>
  <si>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</si>
  <si>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</si>
  <si>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</si>
  <si>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</si>
  <si>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</si>
  <si>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</si>
  <si>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</si>
  <si>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</si>
  <si>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</si>
  <si>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</si>
  <si>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</si>
  <si>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</si>
  <si>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</si>
  <si>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</si>
  <si>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</si>
  <si>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</si>
  <si>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</si>
  <si>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</si>
  <si>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</si>
  <si>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</si>
  <si>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</si>
  <si>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</si>
  <si>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</si>
  <si>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</si>
  <si>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</si>
  <si>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</si>
  <si>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</si>
  <si>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</si>
  <si>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</si>
  <si>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</si>
  <si>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</si>
  <si>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</si>
  <si>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</si>
  <si>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</si>
  <si>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</si>
  <si>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</si>
  <si>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</si>
  <si>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</si>
  <si>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</si>
  <si>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</si>
  <si>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</si>
  <si>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</si>
  <si>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</si>
  <si>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</si>
  <si>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</si>
  <si>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</si>
  <si>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</si>
  <si>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</si>
  <si>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</si>
  <si>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</si>
  <si>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</si>
  <si>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</si>
  <si>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</si>
  <si>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</si>
  <si>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</si>
  <si>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</si>
  <si>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</si>
  <si>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</si>
  <si>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</si>
  <si>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</si>
  <si>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</si>
  <si>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</si>
  <si>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</si>
  <si>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</si>
  <si>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</si>
  <si>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</si>
  <si>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</si>
  <si>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</si>
  <si>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</si>
  <si>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</si>
  <si>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</si>
  <si>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</si>
  <si>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</si>
  <si>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</si>
  <si>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</si>
  <si>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</si>
  <si>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</si>
  <si>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</si>
  <si>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</si>
  <si>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</si>
  <si>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</si>
  <si>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</si>
  <si>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</si>
  <si>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</si>
  <si>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</si>
  <si>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</si>
  <si>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</si>
  <si>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</si>
  <si>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</si>
  <si>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</si>
  <si>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</si>
  <si>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</si>
  <si>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</si>
  <si>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</si>
  <si>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</si>
  <si>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</si>
  <si>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</si>
  <si>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</si>
  <si>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</si>
  <si>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</si>
  <si>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</si>
  <si>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</si>
  <si>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</si>
  <si>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</si>
  <si>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</si>
  <si>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</si>
  <si>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</si>
  <si>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</si>
  <si>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</si>
  <si>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</si>
  <si>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</si>
  <si>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</si>
  <si>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</si>
  <si>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</si>
  <si>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</si>
  <si>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</si>
  <si>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</si>
  <si>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</si>
  <si>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</si>
  <si>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</si>
  <si>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</si>
  <si>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</si>
  <si>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</si>
  <si>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</si>
  <si>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</si>
  <si>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</si>
  <si>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</si>
  <si>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</si>
  <si>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</si>
  <si>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</si>
  <si>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</si>
  <si>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</si>
  <si>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</si>
  <si>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</si>
  <si>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</si>
  <si>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</si>
  <si>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</si>
  <si>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</si>
  <si>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</si>
  <si>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</si>
  <si>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</si>
  <si>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</si>
  <si>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</si>
  <si>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</si>
  <si>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</si>
  <si>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</si>
  <si>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</si>
  <si>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</si>
  <si>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</si>
  <si>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</si>
  <si>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</si>
  <si>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</si>
  <si>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</si>
  <si>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</si>
  <si>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</si>
  <si>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</si>
  <si>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</si>
  <si>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</si>
  <si>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</si>
  <si>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</si>
  <si>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</si>
  <si>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</si>
  <si>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</si>
  <si>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</si>
  <si>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</si>
  <si>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</si>
  <si>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</si>
  <si>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</si>
  <si>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</si>
  <si>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</si>
  <si>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</si>
  <si>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</si>
  <si>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</si>
  <si>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</si>
  <si>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</si>
  <si>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</si>
  <si>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</si>
  <si>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</si>
  <si>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</si>
  <si>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</si>
  <si>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</si>
  <si>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</si>
  <si>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</si>
  <si>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</si>
  <si>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</si>
  <si>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</si>
  <si>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</si>
  <si>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</si>
  <si>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</si>
  <si>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</si>
  <si>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</si>
  <si>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</si>
  <si>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</si>
  <si>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</si>
  <si>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</si>
  <si>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</si>
  <si>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</si>
  <si>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</si>
  <si>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</si>
  <si>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</si>
  <si>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</si>
  <si>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</si>
  <si>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</si>
  <si>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</si>
  <si>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</si>
  <si>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</si>
  <si>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</si>
  <si>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</si>
  <si>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</si>
  <si>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</si>
  <si>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</si>
  <si>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</si>
  <si>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</si>
  <si>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</si>
  <si>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</si>
  <si>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</si>
  <si>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</si>
  <si>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</si>
  <si>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</si>
  <si>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</si>
  <si>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</si>
  <si>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</si>
  <si>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</si>
  <si>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</si>
  <si>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</si>
  <si>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</si>
  <si>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</si>
  <si>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</si>
  <si>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</si>
  <si>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</si>
  <si>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</si>
  <si>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</si>
  <si>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</si>
  <si>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</si>
  <si>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</si>
  <si>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</si>
  <si>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</si>
  <si>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</si>
  <si>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</si>
  <si>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</si>
  <si>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</si>
  <si>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</si>
  <si>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</si>
  <si>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</si>
  <si>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</si>
  <si>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</si>
  <si>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</si>
  <si>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</si>
  <si>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</si>
  <si>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</si>
  <si>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</si>
  <si>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</si>
  <si>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</si>
  <si>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</si>
  <si>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</si>
  <si>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</si>
  <si>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</si>
  <si>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</si>
  <si>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</si>
  <si>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</si>
  <si>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</si>
  <si>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</si>
  <si>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</si>
  <si>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</si>
  <si>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</si>
  <si>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</si>
  <si>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</si>
  <si>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</si>
  <si>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</si>
  <si>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</si>
  <si>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</si>
  <si>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</si>
  <si>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</si>
  <si>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</si>
  <si>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</si>
  <si>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</si>
  <si>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</si>
  <si>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</si>
  <si>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</si>
  <si>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</si>
  <si>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</si>
  <si>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</si>
  <si>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</si>
  <si>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</si>
  <si>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</si>
  <si>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</si>
  <si>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</si>
  <si>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</si>
  <si>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</si>
  <si>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</si>
  <si>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</si>
  <si>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</si>
  <si>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</si>
  <si>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</si>
  <si>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</si>
  <si>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</si>
  <si>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</si>
  <si>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</si>
  <si>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</si>
  <si>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</si>
  <si>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</si>
  <si>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</si>
  <si>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</si>
  <si>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</si>
  <si>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</si>
  <si>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</si>
  <si>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</si>
  <si>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</si>
  <si>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</si>
  <si>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</si>
  <si>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</si>
  <si>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</si>
  <si>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</si>
  <si>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</si>
  <si>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</si>
  <si>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</si>
  <si>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</si>
  <si>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</si>
  <si>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</si>
  <si>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</si>
  <si>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</si>
  <si>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</si>
  <si>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</si>
  <si>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</si>
  <si>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</si>
  <si>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</si>
  <si>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</si>
  <si>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</si>
  <si>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</si>
  <si>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</si>
  <si>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</si>
  <si>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</si>
  <si>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</si>
  <si>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</si>
  <si>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</si>
  <si>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</si>
  <si>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</si>
  <si>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</si>
  <si>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</si>
  <si>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</si>
  <si>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</si>
  <si>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</si>
  <si>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</si>
  <si>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</si>
  <si>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</si>
  <si>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</si>
  <si>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</si>
  <si>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</si>
  <si>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</si>
  <si>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</si>
  <si>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</si>
  <si>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</si>
  <si>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</si>
  <si>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</si>
  <si>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</si>
  <si>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</si>
  <si>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</si>
  <si>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</si>
  <si>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</si>
  <si>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</si>
  <si>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</si>
  <si>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</si>
  <si>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</si>
  <si>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</si>
  <si>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</si>
  <si>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</si>
  <si>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</si>
  <si>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</si>
  <si>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</si>
  <si>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</si>
  <si>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</si>
  <si>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</si>
  <si>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</si>
  <si>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</si>
  <si>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</si>
  <si>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</si>
  <si>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</si>
  <si>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</si>
  <si>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</si>
  <si>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</si>
  <si>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</si>
  <si>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</si>
  <si>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</si>
  <si>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</si>
  <si>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</si>
  <si>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</si>
  <si>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</si>
  <si>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</si>
  <si>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</si>
  <si>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</si>
  <si>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</si>
  <si>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</si>
  <si>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</si>
  <si>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</si>
  <si>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</si>
  <si>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</si>
  <si>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</si>
  <si>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</si>
  <si>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</si>
  <si>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</si>
  <si>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</si>
  <si>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</si>
  <si>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</si>
  <si>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</si>
  <si>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</si>
  <si>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</si>
  <si>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</si>
  <si>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</si>
  <si>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</si>
  <si>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</si>
  <si>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</si>
  <si>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</si>
  <si>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</si>
  <si>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</si>
  <si>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</si>
  <si>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</si>
  <si>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</si>
  <si>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</si>
  <si>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</si>
  <si>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</si>
  <si>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</si>
  <si>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</si>
  <si>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</si>
  <si>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</si>
  <si>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</si>
  <si>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</si>
  <si>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</si>
  <si>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</si>
  <si>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</si>
  <si>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</si>
  <si>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</si>
  <si>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</si>
  <si>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</si>
  <si>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</si>
  <si>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</si>
  <si>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</si>
  <si>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</si>
  <si>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</si>
  <si>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</si>
  <si>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</si>
  <si>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</si>
  <si>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</si>
  <si>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</si>
  <si>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</si>
  <si>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</si>
  <si>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</si>
  <si>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</si>
  <si>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</si>
  <si>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</si>
  <si>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</si>
  <si>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</si>
  <si>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</si>
  <si>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</si>
  <si>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</si>
  <si>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</si>
  <si>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</si>
  <si>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</si>
  <si>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</si>
  <si>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</si>
  <si>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</si>
  <si>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</si>
  <si>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</si>
  <si>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</si>
  <si>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</si>
  <si>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</si>
  <si>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</si>
  <si>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</si>
  <si>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</si>
  <si>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</si>
  <si>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</si>
  <si>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</si>
  <si>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</si>
  <si>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</si>
  <si>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</si>
  <si>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</si>
  <si>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</si>
  <si>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</si>
  <si>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</si>
  <si>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</si>
  <si>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</si>
  <si>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</si>
  <si>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</si>
  <si>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</si>
  <si>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</si>
  <si>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</si>
  <si>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</si>
  <si>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</si>
  <si>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</si>
  <si>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</si>
  <si>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</si>
  <si>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</si>
  <si>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</si>
  <si>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</si>
  <si>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</si>
  <si>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</si>
  <si>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</si>
  <si>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</si>
  <si>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</si>
  <si>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</si>
  <si>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</si>
  <si>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</si>
  <si>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</si>
  <si>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</si>
  <si>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</si>
  <si>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</si>
  <si>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</si>
  <si>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</si>
  <si>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</si>
  <si>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</si>
  <si>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</si>
  <si>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</si>
  <si>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</si>
  <si>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</si>
  <si>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</si>
  <si>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</si>
  <si>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</si>
  <si>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</si>
  <si>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</si>
  <si>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</si>
  <si>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</si>
  <si>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</si>
  <si>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</si>
  <si>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</si>
  <si>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</si>
  <si>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</si>
  <si>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</si>
  <si>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</si>
  <si>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</si>
  <si>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</si>
  <si>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</si>
  <si>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</si>
  <si>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</si>
  <si>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</si>
  <si>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</si>
  <si>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</si>
  <si>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</si>
  <si>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</si>
  <si>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</si>
  <si>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</si>
  <si>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</si>
  <si>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</si>
  <si>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</si>
  <si>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</si>
  <si>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</si>
  <si>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</si>
  <si>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</si>
  <si>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</si>
  <si>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</si>
  <si>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</si>
  <si>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</si>
  <si>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</si>
  <si>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</si>
  <si>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</si>
  <si>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</si>
  <si>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</si>
  <si>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</si>
  <si>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</si>
  <si>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</si>
  <si>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</si>
  <si>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</si>
  <si>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</si>
  <si>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</si>
  <si>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</si>
  <si>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</si>
  <si>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</si>
  <si>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</si>
  <si>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</si>
  <si>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</si>
  <si>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</si>
  <si>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</si>
  <si>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</si>
  <si>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</si>
  <si>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</si>
  <si>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</si>
  <si>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</si>
  <si>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</si>
  <si>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</si>
  <si>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</si>
  <si>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</si>
  <si>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</si>
  <si>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</si>
  <si>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</si>
  <si>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</si>
  <si>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</si>
  <si>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</si>
  <si>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</si>
  <si>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</si>
  <si>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</si>
  <si>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</si>
  <si>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</si>
  <si>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</si>
  <si>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</si>
  <si>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</si>
  <si>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</si>
  <si>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</si>
  <si>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</si>
  <si>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</si>
  <si>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</si>
  <si>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</si>
  <si>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</si>
  <si>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</si>
  <si>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</si>
  <si>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</si>
  <si>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</si>
  <si>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</si>
  <si>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</si>
  <si>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</si>
  <si>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</si>
  <si>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</si>
  <si>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</si>
  <si>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</si>
  <si>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</si>
  <si>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</si>
  <si>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</si>
  <si>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</si>
  <si>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</si>
  <si>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</si>
  <si>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</si>
  <si>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</si>
  <si>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</si>
  <si>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</si>
  <si>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</si>
  <si>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</si>
  <si>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</si>
  <si>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</si>
  <si>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</si>
  <si>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</si>
  <si>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</si>
  <si>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</si>
  <si>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</si>
  <si>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</si>
  <si>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</si>
  <si>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</si>
  <si>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</si>
  <si>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</si>
  <si>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</si>
  <si>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</si>
  <si>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</si>
  <si>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</si>
  <si>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</si>
  <si>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</si>
  <si>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</si>
  <si>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</si>
  <si>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</si>
  <si>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</si>
  <si>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</si>
  <si>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</si>
  <si>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</si>
  <si>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</si>
  <si>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</si>
  <si>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</si>
  <si>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</si>
  <si>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</si>
  <si>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</si>
  <si>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</si>
  <si>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</si>
  <si>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</si>
  <si>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</si>
  <si>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</si>
  <si>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</si>
  <si>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</si>
  <si>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</si>
  <si>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</si>
  <si>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</si>
  <si>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</si>
  <si>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</si>
  <si>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</si>
  <si>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</si>
  <si>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</si>
  <si>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</si>
  <si>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</si>
  <si>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</si>
  <si>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</si>
  <si>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</si>
  <si>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</si>
  <si>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</si>
  <si>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</si>
  <si>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</si>
  <si>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</si>
  <si>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</si>
  <si>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</si>
  <si>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</si>
  <si>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</si>
  <si>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</si>
  <si>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</si>
  <si>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</si>
  <si>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</si>
  <si>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</si>
  <si>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</si>
  <si>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</si>
  <si>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</si>
  <si>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</si>
  <si>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</si>
  <si>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</si>
  <si>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</si>
  <si>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</si>
  <si>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</si>
  <si>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</si>
  <si>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</si>
  <si>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</si>
  <si>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</si>
  <si>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</si>
  <si>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</si>
  <si>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</si>
  <si>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</si>
  <si>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</si>
  <si>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</si>
  <si>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</si>
  <si>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</si>
  <si>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</si>
  <si>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</si>
  <si>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</si>
  <si>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</si>
  <si>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</si>
  <si>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</si>
  <si>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</si>
  <si>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</si>
  <si>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</si>
  <si>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</si>
  <si>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</si>
  <si>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</si>
  <si>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</si>
  <si>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</si>
  <si>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</si>
  <si>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</si>
  <si>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</si>
  <si>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</si>
  <si>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</si>
  <si>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</si>
  <si>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</si>
  <si>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</si>
  <si>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</si>
  <si>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</si>
  <si>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</si>
  <si>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</si>
  <si>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</si>
  <si>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</si>
  <si>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</si>
  <si>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</si>
  <si>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</si>
  <si>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</si>
  <si>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</si>
  <si>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</si>
  <si>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</si>
  <si>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</si>
  <si>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</si>
  <si>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</si>
  <si>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</si>
  <si>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</si>
  <si>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</si>
  <si>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</si>
  <si>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</si>
  <si>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</si>
  <si>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</si>
  <si>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</si>
  <si>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</si>
  <si>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</si>
  <si>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</si>
  <si>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</si>
  <si>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</si>
  <si>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</si>
  <si>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</si>
  <si>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</si>
  <si>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</si>
  <si>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</si>
  <si>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</si>
  <si>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</si>
  <si>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</si>
  <si>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</si>
  <si>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</si>
  <si>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</si>
  <si>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</si>
  <si>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</si>
  <si>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</si>
  <si>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</si>
  <si>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</si>
  <si>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</si>
  <si>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</si>
  <si>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</si>
  <si>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</si>
  <si>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</si>
  <si>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</si>
  <si>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</si>
  <si>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</si>
  <si>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</si>
  <si>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</si>
  <si>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</si>
  <si>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</si>
  <si>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</si>
  <si>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</si>
  <si>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</si>
  <si>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</si>
  <si>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</si>
  <si>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</si>
  <si>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</si>
  <si>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</si>
  <si>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</si>
  <si>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</si>
  <si>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</si>
  <si>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</si>
  <si>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</si>
  <si>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</si>
  <si>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</si>
  <si>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</si>
  <si>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</si>
  <si>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</si>
  <si>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</si>
  <si>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</si>
  <si>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</si>
  <si>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</si>
  <si>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</si>
  <si>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</si>
  <si>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</si>
  <si>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</si>
  <si>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</si>
  <si>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</si>
  <si>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</si>
  <si>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</si>
  <si>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</si>
  <si>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</si>
  <si>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</si>
  <si>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</si>
  <si>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</si>
  <si>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</si>
  <si>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</si>
  <si>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</si>
  <si>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</si>
  <si>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</si>
  <si>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</si>
  <si>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</si>
  <si>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</si>
  <si>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</si>
  <si>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</si>
  <si>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</si>
  <si>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</si>
  <si>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</si>
  <si>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</si>
  <si>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</si>
  <si>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</si>
  <si>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</si>
  <si>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</si>
  <si>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</si>
  <si>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</si>
  <si>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</si>
  <si>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</si>
  <si>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</si>
  <si>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</si>
  <si>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</si>
  <si>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</si>
  <si>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</si>
  <si>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</si>
  <si>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</si>
  <si>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</si>
  <si>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</si>
  <si>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</si>
  <si>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</si>
  <si>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</si>
  <si>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</si>
  <si>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</si>
  <si>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</si>
  <si>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</si>
  <si>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</si>
  <si>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</si>
  <si>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</si>
  <si>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</si>
  <si>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</si>
  <si>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</si>
  <si>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</si>
  <si>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</si>
  <si>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</si>
  <si>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</si>
  <si>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</si>
  <si>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</si>
  <si>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</si>
  <si>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</si>
  <si>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</si>
  <si>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</si>
  <si>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</si>
  <si>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</si>
  <si>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</si>
  <si>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</si>
  <si>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</si>
  <si>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</si>
  <si>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</si>
  <si>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</si>
  <si>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</si>
  <si>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</si>
  <si>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</si>
  <si>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</si>
  <si>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</si>
  <si>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</si>
  <si>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</si>
  <si>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</si>
  <si>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</si>
  <si>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</si>
  <si>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</si>
  <si>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</si>
  <si>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</si>
  <si>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</si>
  <si>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</si>
  <si>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</si>
  <si>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</si>
  <si>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</si>
  <si>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</si>
  <si>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</si>
  <si>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</si>
  <si>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</si>
  <si>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</si>
  <si>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</si>
  <si>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</si>
  <si>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</si>
  <si>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</si>
  <si>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</si>
  <si>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</si>
  <si>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</si>
  <si>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</si>
  <si>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</si>
  <si>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</si>
  <si>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</si>
  <si>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</si>
  <si>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</si>
  <si>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</si>
  <si>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</si>
  <si>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</si>
  <si>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</si>
  <si>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</si>
  <si>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</si>
  <si>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</si>
  <si>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</si>
  <si>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</si>
  <si>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</si>
  <si>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</si>
  <si>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</si>
  <si>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</si>
  <si>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</si>
  <si>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</si>
  <si>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</si>
  <si>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</si>
  <si>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</si>
  <si>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</si>
  <si>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</si>
  <si>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</si>
  <si>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</si>
  <si>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</si>
  <si>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</si>
  <si>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</si>
  <si>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</si>
  <si>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</si>
  <si>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</si>
  <si>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</si>
  <si>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</si>
  <si>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</si>
  <si>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</si>
  <si>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</si>
  <si>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</si>
  <si>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</si>
  <si>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</si>
  <si>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</si>
  <si>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</si>
  <si>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</si>
  <si>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</si>
  <si>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</si>
  <si>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</si>
  <si>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</si>
  <si>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</si>
  <si>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</si>
  <si>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</si>
  <si>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</si>
  <si>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</si>
  <si>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</si>
  <si>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</si>
  <si>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</si>
  <si>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</si>
  <si>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</si>
  <si>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</si>
  <si>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</si>
  <si>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</si>
  <si>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</si>
  <si>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</si>
  <si>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</si>
  <si>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</si>
  <si>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</si>
  <si>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</si>
  <si>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</si>
  <si>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</si>
  <si>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</si>
  <si>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</si>
  <si>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</si>
  <si>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</si>
  <si>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</si>
  <si>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</si>
  <si>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</si>
  <si>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</si>
  <si>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</si>
  <si>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</si>
  <si>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</si>
  <si>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</si>
  <si>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</si>
  <si>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</si>
  <si>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</si>
  <si>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</si>
  <si>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</si>
  <si>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</si>
  <si>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</si>
  <si>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</si>
  <si>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</si>
  <si>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</si>
  <si>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</si>
  <si>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</si>
  <si>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</si>
  <si>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</si>
  <si>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</si>
  <si>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</si>
  <si>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</si>
  <si>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</si>
  <si>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</si>
  <si>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</si>
  <si>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</si>
  <si>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</si>
  <si>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</si>
  <si>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</si>
  <si>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</si>
  <si>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</si>
  <si>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</si>
  <si>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</si>
  <si>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</si>
  <si>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</si>
  <si>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</si>
  <si>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</si>
  <si>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</si>
  <si>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</si>
  <si>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</si>
  <si>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</si>
  <si>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</si>
  <si>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</si>
  <si>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</si>
  <si>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</si>
  <si>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</si>
  <si>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</si>
  <si>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</si>
  <si>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</si>
  <si>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</si>
  <si>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</si>
  <si>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</si>
  <si>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</si>
  <si>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</si>
  <si>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</si>
  <si>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</si>
  <si>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</si>
  <si>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</si>
  <si>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</si>
  <si>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</si>
  <si>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</si>
  <si>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</si>
  <si>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</si>
  <si>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</si>
  <si>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</si>
  <si>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</si>
  <si>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</si>
  <si>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</si>
  <si>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</si>
  <si>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</si>
  <si>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</si>
  <si>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</si>
  <si>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</si>
  <si>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</si>
  <si>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</si>
  <si>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</si>
  <si>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</si>
  <si>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</si>
  <si>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</si>
  <si>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</si>
  <si>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</si>
  <si>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</si>
  <si>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</si>
  <si>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</si>
  <si>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</si>
  <si>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</si>
  <si>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</si>
  <si>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</si>
  <si>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</si>
  <si>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</si>
  <si>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</si>
  <si>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</si>
  <si>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</si>
  <si>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</si>
  <si>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</si>
  <si>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</si>
  <si>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</si>
  <si>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</si>
  <si>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</si>
  <si>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</si>
  <si>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</si>
  <si>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</si>
  <si>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</si>
  <si>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</si>
  <si>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</si>
  <si>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</si>
  <si>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</si>
  <si>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</si>
  <si>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</si>
  <si>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</si>
  <si>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</si>
  <si>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</si>
  <si>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</si>
  <si>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</si>
  <si>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</si>
  <si>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</si>
  <si>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</si>
  <si>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</si>
  <si>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</si>
  <si>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</si>
  <si>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</si>
  <si>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</si>
  <si>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</si>
  <si>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</si>
  <si>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</si>
  <si>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</si>
  <si>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</si>
  <si>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</si>
  <si>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</si>
  <si>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</si>
  <si>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</si>
  <si>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</si>
  <si>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</si>
  <si>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</si>
  <si>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</si>
  <si>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</si>
  <si>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</si>
  <si>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</si>
  <si>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</si>
  <si>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</si>
  <si>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</si>
  <si>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</si>
  <si>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</si>
  <si>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</si>
  <si>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</si>
  <si>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</si>
  <si>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</si>
  <si>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</si>
  <si>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</si>
  <si>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</si>
  <si>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</si>
  <si>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</si>
  <si>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</si>
  <si>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</si>
  <si>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</si>
  <si>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</si>
  <si>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</si>
  <si>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</si>
  <si>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</si>
  <si>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</si>
  <si>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</si>
  <si>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</si>
  <si>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</si>
  <si>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</si>
  <si>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</si>
  <si>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</si>
  <si>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</si>
  <si>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</si>
  <si>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</si>
  <si>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</si>
  <si>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</si>
  <si>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</si>
  <si>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</si>
  <si>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</si>
  <si>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</si>
  <si>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</si>
  <si>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</si>
  <si>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</si>
  <si>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</si>
  <si>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</si>
  <si>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</si>
  <si>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</si>
  <si>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</si>
  <si>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</si>
  <si>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</si>
  <si>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</si>
  <si>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</si>
  <si>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</si>
  <si>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</si>
  <si>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</si>
  <si>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</si>
  <si>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</si>
  <si>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</si>
  <si>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</si>
  <si>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</si>
  <si>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</si>
  <si>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</si>
  <si>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</si>
  <si>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</si>
  <si>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</si>
  <si>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</si>
  <si>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</si>
  <si>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</si>
  <si>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</si>
  <si>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</si>
  <si>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</si>
  <si>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</si>
  <si>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</si>
  <si>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</si>
  <si>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</si>
  <si>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</si>
  <si>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</si>
  <si>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</si>
  <si>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</si>
  <si>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</si>
  <si>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</si>
  <si>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</si>
  <si>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</si>
  <si>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</si>
  <si>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</si>
  <si>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</si>
  <si>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</si>
  <si>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</si>
  <si>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</si>
  <si>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</si>
  <si>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</si>
  <si>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</si>
  <si>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</si>
  <si>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</si>
  <si>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</si>
  <si>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</si>
  <si>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</si>
  <si>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</si>
  <si>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</si>
  <si>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</si>
  <si>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</si>
  <si>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</si>
  <si>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</si>
  <si>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</si>
  <si>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</si>
  <si>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</si>
  <si>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</si>
  <si>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</si>
  <si>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</si>
  <si>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</si>
  <si>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</si>
  <si>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</si>
  <si>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</si>
  <si>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</si>
  <si>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</si>
  <si>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</si>
  <si>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</si>
  <si>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</si>
  <si>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</si>
  <si>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</si>
  <si>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</si>
  <si>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</si>
  <si>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</si>
  <si>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</si>
  <si>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</si>
  <si>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</si>
  <si>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</si>
  <si>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</si>
  <si>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</si>
  <si>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</si>
  <si>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</si>
  <si>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</si>
  <si>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</si>
  <si>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</si>
  <si>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</si>
  <si>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</si>
  <si>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</si>
  <si>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</si>
  <si>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</si>
  <si>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</si>
  <si>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</si>
  <si>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</si>
  <si>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</si>
  <si>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</si>
  <si>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</si>
  <si>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</si>
  <si>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</si>
  <si>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</si>
  <si>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</si>
  <si>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</si>
  <si>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</si>
  <si>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</si>
  <si>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</si>
  <si>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</si>
  <si>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</si>
  <si>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</si>
  <si>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</si>
  <si>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</si>
  <si>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</si>
  <si>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</si>
  <si>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</si>
  <si>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</si>
  <si>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</si>
  <si>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</si>
  <si>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</si>
  <si>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</si>
  <si>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</si>
  <si>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</si>
  <si>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</si>
  <si>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</si>
  <si>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</si>
  <si>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</si>
  <si>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</si>
  <si>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</si>
  <si>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</si>
  <si>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</si>
  <si>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</si>
  <si>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</si>
  <si>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</si>
  <si>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</si>
  <si>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</si>
  <si>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</si>
  <si>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</si>
  <si>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</si>
  <si>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</si>
  <si>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</si>
  <si>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</si>
  <si>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</si>
  <si>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</si>
  <si>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</si>
  <si>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</si>
  <si>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</si>
  <si>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</si>
  <si>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</si>
  <si>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</si>
  <si>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</si>
  <si>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</si>
  <si>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</si>
  <si>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</si>
  <si>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</si>
  <si>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</si>
  <si>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</si>
  <si>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</si>
  <si>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</si>
  <si>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</si>
  <si>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</si>
  <si>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</si>
  <si>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</si>
  <si>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</si>
  <si>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</si>
  <si>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</si>
  <si>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</si>
  <si>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</si>
  <si>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</si>
  <si>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</si>
  <si>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</si>
  <si>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</si>
  <si>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</si>
  <si>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</si>
  <si>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</si>
  <si>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</si>
  <si>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</si>
  <si>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</si>
  <si>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</si>
  <si>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</si>
  <si>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</si>
  <si>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</si>
  <si>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</si>
  <si>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</si>
  <si>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</si>
  <si>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</si>
  <si>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</si>
  <si>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</si>
  <si>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</si>
  <si>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</si>
  <si>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</si>
  <si>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</si>
  <si>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</si>
  <si>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</si>
  <si>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</si>
  <si>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</si>
  <si>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</si>
  <si>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</si>
  <si>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</si>
  <si>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</si>
  <si>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</si>
  <si>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</si>
  <si>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</si>
  <si>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</si>
  <si>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</si>
  <si>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</si>
  <si>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</si>
  <si>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</si>
  <si>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</si>
  <si>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</si>
  <si>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</si>
  <si>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</si>
  <si>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</si>
  <si>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</si>
  <si>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</si>
  <si>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</si>
  <si>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</si>
  <si>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</si>
  <si>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</si>
  <si>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</si>
  <si>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</si>
  <si>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</si>
  <si>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</si>
  <si>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</si>
  <si>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</si>
  <si>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</si>
  <si>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</si>
  <si>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</si>
  <si>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</si>
  <si>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</si>
  <si>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</si>
  <si>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</si>
  <si>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</si>
  <si>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</si>
  <si>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</si>
  <si>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</si>
  <si>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</si>
  <si>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</si>
  <si>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</si>
  <si>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</si>
  <si>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</si>
  <si>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</si>
  <si>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</si>
  <si>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</si>
  <si>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</si>
  <si>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</si>
  <si>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11</t>
    <phoneticPr fontId="207" type="noConversion"/>
  </si>
  <si>
    <t>13</t>
    <phoneticPr fontId="207" type="noConversion"/>
  </si>
  <si>
    <t>8</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</si>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</sst>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88"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7" fontId="60" fillId="2" borderId="2"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本次评估采用的主估价方法为比较法和收益法。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858</v>
      </c>
    </row>
    <row r="21" spans="1:2" s="2956" customFormat="1">
      <c r="A21" s="2964" t="s">
        <v>21</v>
      </c>
      <c r="B21" s="2965">
        <f ca="1">'预评函-2'!D7</f>
        <v>66253</v>
      </c>
    </row>
    <row r="22" spans="1:2" s="2956" customFormat="1">
      <c r="A22" s="2964" t="s">
        <v>22</v>
      </c>
      <c r="B22" s="2965" t="str">
        <f ca="1">'预评函-2'!D6</f>
        <v>捌佰伍拾捌万元整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858</v>
      </c>
    </row>
    <row r="31" spans="1:2" s="2956" customFormat="1">
      <c r="A31" s="2964" t="s">
        <v>31</v>
      </c>
      <c r="B31" s="2965">
        <f ca="1">'预评函-2'!D15</f>
        <v>42695</v>
      </c>
    </row>
    <row r="32" spans="1:2" s="2956" customFormat="1">
      <c r="A32" s="2964" t="s">
        <v>32</v>
      </c>
      <c r="B32" s="2965" t="str">
        <f ca="1">'预评函-2'!D14</f>
        <v>捌佰伍拾捌万元整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t="e">
        <f ca="1">'预评函-3'!D4</f>
        <v>#REF!</v>
      </c>
    </row>
    <row r="48" spans="1:2" s="2956" customFormat="1">
      <c r="A48" s="2964" t="s">
        <v>48</v>
      </c>
      <c r="B48" s="2965" t="e">
        <f ca="1">'预评函-3'!E4</f>
        <v>#REF!</v>
      </c>
    </row>
    <row r="49" spans="1:2" s="2956" customFormat="1">
      <c r="A49" s="2964" t="s">
        <v>49</v>
      </c>
      <c r="B49" s="2965" t="e">
        <f ca="1">'预评函-3'!D5</f>
        <v>#REF!</v>
      </c>
    </row>
    <row r="50" spans="1:2" s="2956" customFormat="1">
      <c r="A50" s="2964" t="s">
        <v>50</v>
      </c>
      <c r="B50" s="2965" t="str">
        <f>'预评函-3'!F2</f>
        <v>在建建筑物价值</v>
      </c>
    </row>
    <row r="51" spans="1:2" s="2956" customFormat="1">
      <c r="A51" s="2964" t="s">
        <v>51</v>
      </c>
      <c r="B51" s="2965" t="e">
        <f ca="1">'预评函-3'!F4</f>
        <v>#REF!</v>
      </c>
    </row>
    <row r="52" spans="1:2" s="2956" customFormat="1">
      <c r="A52" s="2964" t="s">
        <v>52</v>
      </c>
      <c r="B52" s="2965" t="e">
        <f ca="1">'预评函-3'!G4</f>
        <v>#REF!</v>
      </c>
    </row>
    <row r="53" spans="1:2" s="2956" customFormat="1">
      <c r="A53" s="2964" t="s">
        <v>53</v>
      </c>
      <c r="B53" s="2965" t="e">
        <f ca="1">'预评函-3'!F5</f>
        <v>#REF!</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306</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22"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2"/>
      <c r="B54" s="2845" t="s">
        <v>323</v>
      </c>
      <c r="C54" s="2833" t="s">
        <v>324</v>
      </c>
    </row>
    <row r="55" spans="1:4">
      <c r="A55" s="3022"/>
      <c r="B55" s="2845" t="s">
        <v>325</v>
      </c>
      <c r="C55" s="2833" t="s">
        <v>326</v>
      </c>
    </row>
    <row r="56" spans="1:4">
      <c r="A56" s="3022"/>
      <c r="B56" s="2845" t="s">
        <v>327</v>
      </c>
      <c r="C56" s="2833" t="s">
        <v>328</v>
      </c>
    </row>
    <row r="57" spans="1:4">
      <c r="A57" s="3022"/>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27"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28"/>
      <c r="D1" s="3028"/>
      <c r="E1" s="3028"/>
      <c r="F1" s="3028"/>
      <c r="G1" s="3028"/>
      <c r="H1" s="3028"/>
      <c r="I1" s="3029"/>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2497</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42"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43"/>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2496</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743">
        <v>57231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38</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30" t="s">
        <v>357</v>
      </c>
      <c r="C16" s="3031"/>
      <c r="D16" s="3032"/>
      <c r="E16" s="2747" t="s">
        <v>358</v>
      </c>
      <c r="F16" s="3033">
        <v>38</v>
      </c>
      <c r="G16" s="3034"/>
      <c r="H16" s="3034"/>
      <c r="I16" s="3035"/>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36" t="s">
        <v>2495</v>
      </c>
      <c r="F17" s="3037"/>
      <c r="G17" s="3037"/>
      <c r="H17" s="3037"/>
      <c r="I17" s="3038"/>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39" t="s">
        <v>363</v>
      </c>
      <c r="F18" s="3040"/>
      <c r="G18" s="3040"/>
      <c r="H18" s="3040"/>
      <c r="I18" s="3041"/>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46" t="s">
        <v>369</v>
      </c>
      <c r="C20" s="3047"/>
      <c r="D20" s="3048" t="s">
        <v>370</v>
      </c>
      <c r="E20" s="3049"/>
      <c r="F20" s="2760" t="s">
        <v>371</v>
      </c>
      <c r="G20" s="2714"/>
      <c r="H20" s="2714"/>
      <c r="I20" s="2714"/>
      <c r="J20" s="2714"/>
      <c r="K20" s="3044"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44"/>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44"/>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23"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23"/>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23"/>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24"/>
      <c r="B30" s="2701" t="s">
        <v>388</v>
      </c>
      <c r="C30" s="3050"/>
      <c r="D30" s="3051"/>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25"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26"/>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26"/>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45" t="s">
        <v>408</v>
      </c>
      <c r="T34" s="2828" t="str">
        <f>NUMBERSTRING(7-K34,1)&amp;"通"</f>
        <v>七通</v>
      </c>
      <c r="U34" s="2343"/>
      <c r="V34" s="2343"/>
    </row>
    <row r="35" spans="1:22" ht="18" customHeight="1">
      <c r="A35" s="2796"/>
      <c r="B35" s="3052" t="s">
        <v>409</v>
      </c>
      <c r="C35" s="3052"/>
      <c r="D35" s="3052"/>
      <c r="E35" s="3052"/>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45"/>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4" t="s">
        <v>477</v>
      </c>
      <c r="B1" s="3054" t="s">
        <v>478</v>
      </c>
      <c r="C1" s="3054" t="s">
        <v>479</v>
      </c>
      <c r="D1" s="3053" t="s">
        <v>480</v>
      </c>
      <c r="E1" s="3053" t="s">
        <v>481</v>
      </c>
      <c r="F1" s="3053"/>
      <c r="G1" s="3053"/>
      <c r="H1" s="3053"/>
      <c r="I1" s="3053"/>
      <c r="J1" s="3053"/>
      <c r="K1" s="3053"/>
      <c r="L1" s="3053"/>
      <c r="M1" s="3053"/>
    </row>
    <row r="2" spans="1:13" ht="27" customHeight="1">
      <c r="A2" s="3054"/>
      <c r="B2" s="3054"/>
      <c r="C2" s="3054"/>
      <c r="D2" s="3053"/>
      <c r="E2" s="3053" t="s">
        <v>482</v>
      </c>
      <c r="F2" s="3053" t="s">
        <v>483</v>
      </c>
      <c r="G2" s="3053"/>
      <c r="H2" s="3053"/>
      <c r="I2" s="3053"/>
      <c r="J2" s="3053" t="s">
        <v>484</v>
      </c>
      <c r="K2" s="3053"/>
      <c r="L2" s="3053"/>
      <c r="M2" s="3053"/>
    </row>
    <row r="3" spans="1:13" ht="28.5">
      <c r="A3" s="3054"/>
      <c r="B3" s="3054"/>
      <c r="C3" s="3054"/>
      <c r="D3" s="3053"/>
      <c r="E3" s="3053"/>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3" t="s">
        <v>499</v>
      </c>
      <c r="B9" s="3053"/>
      <c r="C9" s="3053"/>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10" sqref="H10"/>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64" t="s">
        <v>501</v>
      </c>
      <c r="B2" s="3064"/>
      <c r="C2" s="3064"/>
      <c r="D2" s="1892" t="s">
        <v>502</v>
      </c>
      <c r="E2" s="2520" t="s">
        <v>503</v>
      </c>
      <c r="F2" s="2046"/>
      <c r="G2" s="2521"/>
      <c r="H2" s="2522"/>
      <c r="I2" s="2226" t="s">
        <v>504</v>
      </c>
      <c r="J2" s="2046"/>
      <c r="K2" s="2046"/>
      <c r="L2" s="2046"/>
      <c r="M2" s="2046"/>
      <c r="N2" s="1359"/>
      <c r="O2" s="2046"/>
      <c r="P2" s="2046"/>
    </row>
    <row r="3" spans="1:16" ht="15">
      <c r="A3" s="3065" t="s">
        <v>505</v>
      </c>
      <c r="B3" s="3065"/>
      <c r="C3" s="3065"/>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66"/>
      <c r="B4" s="3067"/>
      <c r="C4" s="3068"/>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69" t="s">
        <v>159</v>
      </c>
      <c r="C5" s="3069"/>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69" t="s">
        <v>509</v>
      </c>
      <c r="C6" s="3069"/>
      <c r="D6" s="2529">
        <f>ROUND($D$3*E6/$E$3,2)</f>
        <v>0</v>
      </c>
      <c r="E6" s="2530">
        <f>E3-E5</f>
        <v>0</v>
      </c>
      <c r="F6" s="2046"/>
      <c r="G6" s="2532" t="s">
        <v>408</v>
      </c>
      <c r="H6" s="2524" t="s">
        <v>235</v>
      </c>
      <c r="I6" s="2580" t="e">
        <f>ROUND(F31/D31,2)</f>
        <v>#DIV/0!</v>
      </c>
      <c r="J6" s="2046"/>
      <c r="K6" s="2046"/>
      <c r="L6" s="2046"/>
      <c r="M6" s="2046"/>
      <c r="N6" s="2046"/>
      <c r="O6" s="2046"/>
      <c r="P6" s="2046"/>
    </row>
    <row r="7" spans="1:16" ht="15">
      <c r="A7" s="3055"/>
      <c r="B7" s="3056"/>
      <c r="C7" s="3057"/>
      <c r="D7" s="2525" t="s">
        <v>502</v>
      </c>
      <c r="E7" s="2533" t="s">
        <v>510</v>
      </c>
      <c r="F7" s="2046"/>
      <c r="G7" s="2521" t="s">
        <v>511</v>
      </c>
      <c r="H7" s="1988"/>
      <c r="I7" s="2581">
        <v>1.2</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58" t="s">
        <v>523</v>
      </c>
      <c r="L16" s="3059"/>
      <c r="M16" s="3059"/>
      <c r="N16" s="3059"/>
      <c r="O16" s="3059"/>
      <c r="P16" s="3060"/>
    </row>
    <row r="17" spans="1:19" ht="15">
      <c r="A17" s="2479" t="s">
        <v>524</v>
      </c>
      <c r="B17" s="2542" t="s">
        <v>218</v>
      </c>
      <c r="C17" s="2478" t="s">
        <v>525</v>
      </c>
      <c r="D17" s="2543" t="s">
        <v>502</v>
      </c>
      <c r="E17" s="2544" t="s">
        <v>503</v>
      </c>
      <c r="F17" s="2545"/>
      <c r="G17" s="2546"/>
      <c r="H17" s="2547" t="s">
        <v>526</v>
      </c>
      <c r="I17" s="2583" t="s">
        <v>527</v>
      </c>
      <c r="J17" s="2046"/>
      <c r="K17" s="3061" t="s">
        <v>528</v>
      </c>
      <c r="L17" s="3062"/>
      <c r="M17" s="3063"/>
      <c r="N17" s="3061" t="s">
        <v>529</v>
      </c>
      <c r="O17" s="3062"/>
      <c r="P17" s="3063"/>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E6" activePane="bottomRight" state="frozen"/>
      <selection pane="topRight"/>
      <selection pane="bottomLeft"/>
      <selection pane="bottomRight" activeCell="L11" sqref="L11"/>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57231</v>
      </c>
      <c r="F6" s="2357">
        <f>SUMIF(项目基本情况!D$12:I$12,C6,项目基本情况!D$15:I$15)</f>
        <v>38</v>
      </c>
      <c r="G6" s="2358">
        <f>IF(ISERROR(ROUND(POWER(1+H6,D6-F6)*(POWER(1+H6,F6)-1)/(POWER(1+H6,D6)-1),3)),0,ROUND(POWER(1+H6,D6-F6)*(POWER(1+H6,F6)-1)/(POWER(1+H6,D6)-1),3))</f>
        <v>0.77200000000000002</v>
      </c>
      <c r="H6" s="2359">
        <v>0.03</v>
      </c>
      <c r="I6" s="2359">
        <v>0.04</v>
      </c>
      <c r="J6" s="2360">
        <v>8.5000000000000006E-2</v>
      </c>
      <c r="K6" s="2433">
        <f>SUMIF('数据-汇总表'!C$19:C$33,A6,'数据-汇总表'!E$19:E$33)</f>
        <v>71.53</v>
      </c>
      <c r="L6" s="2434">
        <v>2500</v>
      </c>
      <c r="M6" s="2435">
        <f t="shared" ref="M6:M14" si="0">ROUND(K6*L6/10000,0)</f>
        <v>18</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178825</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57231</v>
      </c>
      <c r="F7" s="2357">
        <f>SUMIF(项目基本情况!D$12:I$12,C7,项目基本情况!D$15:I$15)</f>
        <v>38</v>
      </c>
      <c r="G7" s="2358">
        <f t="shared" ref="G7:G13" si="2">IF(ISERROR(ROUND(POWER(1+H7,D7-F7)*(POWER(1+H7,F7)-1)/(POWER(1+H7,D7)-1),3)),0,ROUND(POWER(1+H7,D7-F7)*(POWER(1+H7,F7)-1)/(POWER(1+H7,D7)-1),3))</f>
        <v>0.77200000000000002</v>
      </c>
      <c r="H7" s="2359">
        <v>0.03</v>
      </c>
      <c r="I7" s="2359">
        <v>0.04</v>
      </c>
      <c r="J7" s="2360">
        <v>8.5000000000000006E-2</v>
      </c>
      <c r="K7" s="2433">
        <f>SUMIF('数据-汇总表'!C$19:C$33,A7,'数据-汇总表'!E$19:E$33)</f>
        <v>129.43</v>
      </c>
      <c r="L7" s="2434">
        <v>2500</v>
      </c>
      <c r="M7" s="2435">
        <f t="shared" si="0"/>
        <v>32</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38</v>
      </c>
      <c r="AF7" s="1985"/>
      <c r="AG7" s="1495">
        <f t="shared" ref="AG7:AG13" si="7">IF(AF7="",0,AE7-AF7)</f>
        <v>0</v>
      </c>
      <c r="AH7" s="2466">
        <v>1</v>
      </c>
      <c r="AI7" s="2495">
        <v>12</v>
      </c>
      <c r="AJ7" s="2496"/>
      <c r="AK7" s="2497">
        <v>1.4999999999999999E-2</v>
      </c>
      <c r="AL7" s="2498">
        <v>1.5E-3</v>
      </c>
      <c r="AM7" s="2499">
        <v>0.01</v>
      </c>
      <c r="AN7" s="2500" t="s">
        <v>269</v>
      </c>
      <c r="AO7" s="1080">
        <f t="shared" ref="AO7:AO13" ca="1" si="8">SUMIF(INDIRECT("'"&amp;AN7&amp;"'"&amp;"!A:A"),"总价",INDIRECT("'"&amp;AN7&amp;"'"&amp;"!B:B"))</f>
        <v>282</v>
      </c>
      <c r="AP7" s="2516">
        <f t="shared" ref="AP7:AP13" si="9">IF(C7="住宅",K7*L7,0)</f>
        <v>323575</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ROUND(SUMPRODUCT(G6:G13,K6:K13)/SUMPRODUCT((G6:G13&gt;0)*(K6:K13)),3)</f>
        <v>0.77200000000000002</v>
      </c>
      <c r="H16" s="2368">
        <f>ROUND(SUMPRODUCT(H6:H13,K6:K13)/SUMPRODUCT((H6:H13&gt;0)*(K6:K13)),3)</f>
        <v>0.03</v>
      </c>
      <c r="I16" s="2444"/>
      <c r="J16" s="2444"/>
      <c r="K16" s="2445">
        <f>SUM(K6:K15)</f>
        <v>200.96</v>
      </c>
      <c r="L16" s="2446">
        <f>ROUND(M16*10000/SUM(K6:K14),0)</f>
        <v>2488</v>
      </c>
      <c r="M16" s="2446">
        <f>SUM(M6:M14)</f>
        <v>50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0.02</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0.02</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70" t="s">
        <v>652</v>
      </c>
      <c r="B1" s="3071"/>
      <c r="C1" s="3071"/>
      <c r="D1" s="3071"/>
      <c r="E1" s="3071"/>
      <c r="F1" s="3071"/>
      <c r="G1" s="3071"/>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656</v>
      </c>
      <c r="D3" s="2280"/>
      <c r="E3" s="905" t="s">
        <v>655</v>
      </c>
      <c r="F3" s="2281" t="s">
        <v>222</v>
      </c>
      <c r="G3" s="2282" t="s">
        <v>657</v>
      </c>
      <c r="H3" s="2263"/>
      <c r="I3" s="2263"/>
      <c r="J3" s="2263"/>
      <c r="K3" s="2263"/>
      <c r="L3" s="2263"/>
      <c r="M3" s="2263"/>
      <c r="N3" s="2263"/>
      <c r="O3" s="2263"/>
      <c r="P3" s="2263"/>
      <c r="Q3" s="2263"/>
      <c r="R3" s="2263"/>
    </row>
    <row r="4" spans="1:29" ht="41.25">
      <c r="A4" s="905"/>
      <c r="B4" s="1069" t="s">
        <v>220</v>
      </c>
      <c r="C4" s="2283" t="s">
        <v>658</v>
      </c>
      <c r="D4" s="2280"/>
      <c r="E4" s="2284"/>
      <c r="F4" s="2218" t="s">
        <v>223</v>
      </c>
      <c r="G4" s="2285" t="s">
        <v>659</v>
      </c>
      <c r="H4" s="2263"/>
      <c r="I4" s="2263"/>
      <c r="J4" s="2263"/>
      <c r="K4" s="2263"/>
      <c r="L4" s="2263"/>
      <c r="M4" s="2263"/>
      <c r="N4" s="2263"/>
      <c r="O4" s="2263"/>
      <c r="P4" s="2263"/>
      <c r="Q4" s="2263"/>
      <c r="R4" s="2263"/>
    </row>
    <row r="5" spans="1:29" ht="41.25">
      <c r="A5" s="905"/>
      <c r="B5" s="1069" t="s">
        <v>221</v>
      </c>
      <c r="C5" s="2283" t="s">
        <v>660</v>
      </c>
      <c r="D5" s="2280"/>
      <c r="E5" s="2284"/>
      <c r="F5" s="1069" t="s">
        <v>661</v>
      </c>
      <c r="G5" s="2285" t="s">
        <v>662</v>
      </c>
      <c r="H5" s="2263"/>
      <c r="I5" s="2263"/>
      <c r="J5" s="2263"/>
      <c r="K5" s="2263"/>
      <c r="L5" s="2263"/>
      <c r="M5" s="2263"/>
      <c r="N5" s="2263"/>
      <c r="O5" s="2263"/>
      <c r="P5" s="2263"/>
      <c r="Q5" s="2263"/>
      <c r="R5" s="2263"/>
    </row>
    <row r="6" spans="1:29" ht="94.5">
      <c r="A6" s="905"/>
      <c r="B6" s="1069" t="s">
        <v>223</v>
      </c>
      <c r="C6" s="2286" t="s">
        <v>2524</v>
      </c>
      <c r="D6" s="2280"/>
      <c r="E6" s="2284"/>
      <c r="F6" s="1069" t="s">
        <v>663</v>
      </c>
      <c r="G6" s="2285" t="s">
        <v>664</v>
      </c>
      <c r="H6" s="2263"/>
      <c r="I6" s="2263"/>
      <c r="J6" s="2263"/>
      <c r="K6" s="2263"/>
      <c r="L6" s="2263"/>
      <c r="M6" s="2263"/>
      <c r="N6" s="2263"/>
      <c r="O6" s="2263"/>
      <c r="P6" s="2263"/>
      <c r="Q6" s="2263"/>
      <c r="R6" s="2263"/>
    </row>
    <row r="7" spans="1:29" ht="162.75" thickBot="1">
      <c r="A7" s="905"/>
      <c r="B7" s="1069" t="s">
        <v>661</v>
      </c>
      <c r="C7" s="2286" t="s">
        <v>2525</v>
      </c>
      <c r="D7" s="2287"/>
      <c r="E7" s="2288"/>
      <c r="F7" s="2289" t="s">
        <v>665</v>
      </c>
      <c r="G7" s="2290" t="s">
        <v>666</v>
      </c>
      <c r="H7" s="2263"/>
      <c r="I7" s="2263"/>
      <c r="J7" s="2263"/>
      <c r="K7" s="2263"/>
      <c r="L7" s="2263"/>
      <c r="M7" s="2263"/>
      <c r="N7" s="2263"/>
      <c r="O7" s="2263"/>
      <c r="P7" s="2263"/>
      <c r="Q7" s="2263"/>
      <c r="R7" s="2263"/>
    </row>
    <row r="8" spans="1:29" ht="15">
      <c r="A8" s="905"/>
      <c r="B8" s="1069" t="s">
        <v>663</v>
      </c>
      <c r="C8" s="2286" t="s">
        <v>239</v>
      </c>
      <c r="D8" s="2287"/>
      <c r="E8" s="2287"/>
      <c r="F8" s="1027"/>
      <c r="G8" s="1027"/>
      <c r="H8" s="2263"/>
      <c r="I8" s="2263"/>
      <c r="J8" s="2263"/>
      <c r="K8" s="2263"/>
      <c r="L8" s="2263"/>
      <c r="M8" s="2263"/>
      <c r="N8" s="2263"/>
      <c r="O8" s="2263"/>
      <c r="P8" s="2263"/>
      <c r="Q8" s="2263"/>
      <c r="R8" s="2263"/>
    </row>
    <row r="9" spans="1:29" ht="148.5">
      <c r="A9" s="905"/>
      <c r="B9" s="1069" t="s">
        <v>667</v>
      </c>
      <c r="C9" s="2291" t="s">
        <v>2526</v>
      </c>
      <c r="D9" s="2280"/>
      <c r="E9" s="2287"/>
      <c r="F9" s="1027"/>
      <c r="G9" s="1027"/>
      <c r="H9" s="2263"/>
      <c r="I9" s="2263"/>
      <c r="J9" s="2263"/>
      <c r="K9" s="2263"/>
      <c r="L9" s="2263"/>
      <c r="M9" s="2263"/>
      <c r="N9" s="2263"/>
      <c r="O9" s="2263"/>
      <c r="P9" s="2263"/>
      <c r="Q9" s="2263"/>
      <c r="R9" s="2263"/>
    </row>
    <row r="10" spans="1:29" s="861" customFormat="1" ht="15">
      <c r="A10" s="2292"/>
      <c r="B10" s="2293" t="s">
        <v>668</v>
      </c>
      <c r="C10" s="2294" t="s">
        <v>669</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670</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671</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665</v>
      </c>
      <c r="G18" s="901" t="str">
        <f>G7</f>
        <v>该园区内是否有污染型企业，绿化情况，卫生条件，整体环境状况判断</v>
      </c>
    </row>
    <row r="19" spans="1:18" ht="28.5">
      <c r="A19" s="1319"/>
      <c r="B19" s="2311" t="s">
        <v>671</v>
      </c>
      <c r="C19" s="1140"/>
      <c r="D19" s="2280"/>
      <c r="E19" s="2310"/>
      <c r="F19" s="1069" t="s">
        <v>661</v>
      </c>
      <c r="G19" s="901" t="str">
        <f>G5</f>
        <v>估价对象所在区域公共配套设施齐备情况</v>
      </c>
    </row>
    <row r="20" spans="1:18" ht="55.5" customHeight="1">
      <c r="A20" s="1319"/>
      <c r="B20" s="2311" t="s">
        <v>672</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663</v>
      </c>
      <c r="G20" s="901" t="str">
        <f>G6</f>
        <v>估价对象所在区域基础设施水平</v>
      </c>
    </row>
    <row r="21" spans="1:18" ht="87" customHeight="1">
      <c r="A21" s="1319"/>
      <c r="B21" s="1069" t="s">
        <v>661</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673</v>
      </c>
      <c r="G21" s="2312"/>
    </row>
    <row r="22" spans="1:18" ht="13.5" customHeight="1">
      <c r="A22" s="1319"/>
      <c r="B22" s="1069" t="s">
        <v>663</v>
      </c>
      <c r="C22" s="901" t="str">
        <f>C8</f>
        <v>七通</v>
      </c>
      <c r="D22" s="2280"/>
      <c r="E22" s="2310"/>
      <c r="F22" s="2311" t="s">
        <v>668</v>
      </c>
      <c r="G22" s="1140"/>
    </row>
    <row r="23" spans="1:18" s="2263" customFormat="1" ht="15">
      <c r="A23" s="1319"/>
      <c r="B23" s="2311" t="s">
        <v>673</v>
      </c>
      <c r="C23" s="2312"/>
      <c r="D23" s="2268"/>
      <c r="E23" s="2313"/>
      <c r="F23" s="2314" t="s">
        <v>674</v>
      </c>
      <c r="G23" s="2315"/>
      <c r="H23" s="2268"/>
      <c r="I23" s="2269"/>
      <c r="J23" s="2268"/>
      <c r="K23" s="2268"/>
      <c r="L23" s="2269"/>
      <c r="M23" s="2268"/>
      <c r="N23" s="2268"/>
      <c r="O23" s="2269"/>
      <c r="P23" s="2268"/>
      <c r="Q23" s="2268"/>
      <c r="R23" s="2270"/>
    </row>
    <row r="24" spans="1:18" s="2263" customFormat="1" ht="15">
      <c r="A24" s="2316"/>
      <c r="B24" s="2314" t="s">
        <v>668</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2251" customWidth="1"/>
    <col min="2" max="9" width="15.75" style="2251" customWidth="1"/>
    <col min="10" max="16384" width="9" style="2251"/>
  </cols>
  <sheetData>
    <row r="1" spans="1:10" ht="16.5">
      <c r="A1" s="2252" t="s">
        <v>675</v>
      </c>
      <c r="B1" s="2252">
        <f>SUM(B14:B23)</f>
        <v>129.43</v>
      </c>
      <c r="C1" s="2253"/>
      <c r="D1" s="2253"/>
      <c r="E1" s="2253"/>
      <c r="F1" s="2253"/>
      <c r="G1" s="2254"/>
    </row>
    <row r="2" spans="1:10" ht="16.5">
      <c r="A2" s="2252" t="s">
        <v>676</v>
      </c>
      <c r="B2" s="2252">
        <f>SUM(C14:C23)</f>
        <v>0</v>
      </c>
      <c r="C2" s="2253"/>
      <c r="D2" s="2253"/>
      <c r="E2" s="2253"/>
      <c r="F2" s="2253"/>
      <c r="G2" s="2254"/>
    </row>
    <row r="3" spans="1:10" ht="16.5">
      <c r="A3" s="2252" t="s">
        <v>677</v>
      </c>
      <c r="B3" s="2255">
        <f>项目基本情况!D3</f>
        <v>43360</v>
      </c>
      <c r="C3" s="2253"/>
      <c r="D3" s="2253"/>
      <c r="E3" s="2253"/>
      <c r="F3" s="2253"/>
      <c r="G3" s="2254"/>
    </row>
    <row r="4" spans="1:10" ht="33">
      <c r="A4" s="2252" t="s">
        <v>678</v>
      </c>
      <c r="B4" s="2252" t="s">
        <v>679</v>
      </c>
      <c r="C4" s="2252" t="s">
        <v>680</v>
      </c>
      <c r="D4" s="2252" t="s">
        <v>681</v>
      </c>
      <c r="E4" s="2253"/>
      <c r="F4" s="2254"/>
      <c r="G4" s="2254"/>
    </row>
    <row r="5" spans="1:10" ht="16.5">
      <c r="A5" s="2252" t="s">
        <v>682</v>
      </c>
      <c r="B5" s="2252">
        <f ca="1">SUM(D14:D23)</f>
        <v>858</v>
      </c>
      <c r="C5" s="2252">
        <f ca="1">ROUND(B5*10000/$B$1,0)</f>
        <v>66291</v>
      </c>
      <c r="D5" s="2252" t="e">
        <f ca="1">ROUND(B5*10000/$B$2,0)</f>
        <v>#DIV/0!</v>
      </c>
      <c r="E5" s="2253"/>
      <c r="F5" s="2254"/>
      <c r="G5" s="2254"/>
    </row>
    <row r="6" spans="1:10" ht="16.5">
      <c r="A6" s="2252" t="s">
        <v>683</v>
      </c>
      <c r="B6" s="2252">
        <f ca="1">SUM(G14:G23)</f>
        <v>858</v>
      </c>
      <c r="C6" s="2252">
        <f ca="1">ROUND(B6*10000/$B$1,0)</f>
        <v>66291</v>
      </c>
      <c r="D6" s="2252" t="e">
        <f ca="1">ROUND(B6*10000/$B$2,0)</f>
        <v>#DIV/0!</v>
      </c>
      <c r="E6" s="2253"/>
      <c r="F6" s="2254"/>
      <c r="G6" s="2254"/>
    </row>
    <row r="7" spans="1:10" ht="16.5">
      <c r="A7" s="2252" t="s">
        <v>684</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685</v>
      </c>
      <c r="B9" s="2256"/>
      <c r="C9" s="2253"/>
      <c r="D9" s="2253"/>
      <c r="E9" s="2253"/>
      <c r="F9" s="2254"/>
      <c r="G9" s="2254"/>
    </row>
    <row r="10" spans="1:10" ht="16.5">
      <c r="A10" s="2252" t="s">
        <v>686</v>
      </c>
      <c r="B10" s="2256"/>
      <c r="C10" s="2253"/>
      <c r="D10" s="2253"/>
      <c r="E10" s="2253"/>
      <c r="F10" s="2254"/>
      <c r="G10" s="2254"/>
    </row>
    <row r="11" spans="1:10" ht="16.5">
      <c r="A11" s="2252" t="s">
        <v>687</v>
      </c>
      <c r="B11" s="2256"/>
      <c r="C11" s="2253"/>
      <c r="D11" s="2253"/>
      <c r="E11" s="2253"/>
      <c r="F11" s="2254"/>
      <c r="G11" s="2254"/>
    </row>
    <row r="12" spans="1:10" ht="16.5">
      <c r="A12" s="2253"/>
      <c r="B12" s="2253"/>
      <c r="C12" s="2253"/>
      <c r="D12" s="2253"/>
      <c r="E12" s="2253"/>
      <c r="F12" s="2254"/>
      <c r="G12" s="2254"/>
    </row>
    <row r="13" spans="1:10" ht="33">
      <c r="A13" s="2257" t="s">
        <v>688</v>
      </c>
      <c r="B13" s="2258" t="s">
        <v>675</v>
      </c>
      <c r="C13" s="2258" t="s">
        <v>676</v>
      </c>
      <c r="D13" s="2258" t="s">
        <v>689</v>
      </c>
      <c r="E13" s="2252" t="s">
        <v>680</v>
      </c>
      <c r="F13" s="2252" t="s">
        <v>681</v>
      </c>
      <c r="G13" s="2258" t="s">
        <v>690</v>
      </c>
      <c r="H13" s="2258" t="s">
        <v>691</v>
      </c>
      <c r="I13" s="2258" t="s">
        <v>692</v>
      </c>
      <c r="J13" s="2254"/>
    </row>
    <row r="14" spans="1:10" ht="16.5">
      <c r="A14" s="2259" t="s">
        <v>693</v>
      </c>
      <c r="B14" s="2258">
        <f>结果表!B118</f>
        <v>129.43</v>
      </c>
      <c r="C14" s="2258">
        <f>结果表!C118</f>
        <v>0</v>
      </c>
      <c r="D14" s="2258">
        <f ca="1">结果表!H118</f>
        <v>858</v>
      </c>
      <c r="E14" s="2258">
        <f ca="1">ROUND(D14*10000/B14,0)</f>
        <v>66291</v>
      </c>
      <c r="F14" s="2258" t="e">
        <f ca="1">ROUND(D14*10000/C14,0)</f>
        <v>#DIV/0!</v>
      </c>
      <c r="G14" s="2258">
        <f ca="1">结果表!D122</f>
        <v>858</v>
      </c>
      <c r="H14" s="2258" t="str">
        <f>结果表!D124</f>
        <v>——</v>
      </c>
      <c r="I14" s="2258" t="str">
        <f>结果表!D126</f>
        <v>——</v>
      </c>
      <c r="J14" s="2254"/>
    </row>
    <row r="15" spans="1:10" ht="16.5">
      <c r="A15" s="2259" t="s">
        <v>694</v>
      </c>
      <c r="B15" s="2260"/>
      <c r="C15" s="2260"/>
      <c r="D15" s="2260"/>
      <c r="E15" s="2258" t="e">
        <f t="shared" ref="E15:E23" si="0">ROUND(D15*10000/B15,0)</f>
        <v>#DIV/0!</v>
      </c>
      <c r="F15" s="2258" t="e">
        <f t="shared" ref="F15:F23" si="1">ROUND(D15*10000/C15,0)</f>
        <v>#DIV/0!</v>
      </c>
      <c r="G15" s="2261"/>
      <c r="H15" s="2261"/>
      <c r="I15" s="2260"/>
      <c r="J15" s="2254"/>
    </row>
    <row r="16" spans="1:10" ht="16.5">
      <c r="A16" s="2259" t="s">
        <v>695</v>
      </c>
      <c r="B16" s="2260"/>
      <c r="C16" s="2260"/>
      <c r="D16" s="2260"/>
      <c r="E16" s="2258" t="e">
        <f t="shared" si="0"/>
        <v>#DIV/0!</v>
      </c>
      <c r="F16" s="2258" t="e">
        <f t="shared" si="1"/>
        <v>#DIV/0!</v>
      </c>
      <c r="G16" s="2261"/>
      <c r="H16" s="2261"/>
      <c r="I16" s="2260"/>
    </row>
    <row r="17" spans="1:9" ht="16.5">
      <c r="A17" s="2259" t="s">
        <v>696</v>
      </c>
      <c r="B17" s="2260"/>
      <c r="C17" s="2260"/>
      <c r="D17" s="2260"/>
      <c r="E17" s="2258" t="e">
        <f t="shared" si="0"/>
        <v>#DIV/0!</v>
      </c>
      <c r="F17" s="2258" t="e">
        <f t="shared" si="1"/>
        <v>#DIV/0!</v>
      </c>
      <c r="G17" s="2261"/>
      <c r="H17" s="2261"/>
      <c r="I17" s="2260"/>
    </row>
    <row r="18" spans="1:9" ht="16.5">
      <c r="A18" s="2259" t="s">
        <v>697</v>
      </c>
      <c r="B18" s="2260"/>
      <c r="C18" s="2260"/>
      <c r="D18" s="2260"/>
      <c r="E18" s="2258" t="e">
        <f t="shared" si="0"/>
        <v>#DIV/0!</v>
      </c>
      <c r="F18" s="2258" t="e">
        <f t="shared" si="1"/>
        <v>#DIV/0!</v>
      </c>
      <c r="G18" s="2260"/>
      <c r="H18" s="2260"/>
      <c r="I18" s="2260"/>
    </row>
    <row r="19" spans="1:9" ht="16.5">
      <c r="A19" s="2259" t="s">
        <v>698</v>
      </c>
      <c r="B19" s="2260"/>
      <c r="C19" s="2260"/>
      <c r="D19" s="2260"/>
      <c r="E19" s="2258" t="e">
        <f t="shared" si="0"/>
        <v>#DIV/0!</v>
      </c>
      <c r="F19" s="2258" t="e">
        <f t="shared" si="1"/>
        <v>#DIV/0!</v>
      </c>
      <c r="G19" s="2260"/>
      <c r="H19" s="2260"/>
      <c r="I19" s="2260"/>
    </row>
    <row r="20" spans="1:9" ht="16.5">
      <c r="A20" s="2259" t="s">
        <v>699</v>
      </c>
      <c r="B20" s="2260"/>
      <c r="C20" s="2260"/>
      <c r="D20" s="2260"/>
      <c r="E20" s="2258" t="e">
        <f t="shared" si="0"/>
        <v>#DIV/0!</v>
      </c>
      <c r="F20" s="2258" t="e">
        <f t="shared" si="1"/>
        <v>#DIV/0!</v>
      </c>
      <c r="G20" s="2260"/>
      <c r="H20" s="2260"/>
      <c r="I20" s="2260"/>
    </row>
    <row r="21" spans="1:9" ht="16.5">
      <c r="A21" s="2259" t="s">
        <v>700</v>
      </c>
      <c r="B21" s="2260"/>
      <c r="C21" s="2260"/>
      <c r="D21" s="2260"/>
      <c r="E21" s="2258" t="e">
        <f t="shared" si="0"/>
        <v>#DIV/0!</v>
      </c>
      <c r="F21" s="2258" t="e">
        <f t="shared" si="1"/>
        <v>#DIV/0!</v>
      </c>
      <c r="G21" s="2260"/>
      <c r="H21" s="2260"/>
      <c r="I21" s="2260"/>
    </row>
    <row r="22" spans="1:9" ht="16.5">
      <c r="A22" s="2259" t="s">
        <v>701</v>
      </c>
      <c r="B22" s="2260"/>
      <c r="C22" s="2260"/>
      <c r="D22" s="2260"/>
      <c r="E22" s="2258" t="e">
        <f t="shared" si="0"/>
        <v>#DIV/0!</v>
      </c>
      <c r="F22" s="2258" t="e">
        <f t="shared" si="1"/>
        <v>#DIV/0!</v>
      </c>
      <c r="G22" s="2260"/>
      <c r="H22" s="2260"/>
      <c r="I22" s="2260"/>
    </row>
    <row r="23" spans="1:9" ht="16.5">
      <c r="A23" s="2259" t="s">
        <v>702</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19" sqref="G19"/>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703</v>
      </c>
      <c r="B1" s="1975"/>
      <c r="C1" s="1976" t="s">
        <v>538</v>
      </c>
      <c r="D1" s="1975"/>
      <c r="E1" s="1975"/>
      <c r="F1" s="1977" t="s">
        <v>704</v>
      </c>
      <c r="G1" s="1978" t="s">
        <v>390</v>
      </c>
      <c r="H1" s="1979" t="str">
        <f>IF(G1="现房","——","估价对象范围")</f>
        <v>——</v>
      </c>
      <c r="I1" s="2115" t="s">
        <v>2522</v>
      </c>
    </row>
    <row r="2" spans="1:12" ht="21.75" customHeight="1">
      <c r="A2" s="3072" t="str">
        <f>项目基本情况!S2</f>
        <v>北京市海淀区北洼路32号1号楼3层304、13层1305房地产</v>
      </c>
      <c r="B2" s="3073"/>
      <c r="C2" s="3073"/>
      <c r="D2" s="3073"/>
      <c r="E2" s="3073"/>
      <c r="F2" s="3073"/>
      <c r="G2" s="3073"/>
      <c r="H2" s="3073"/>
      <c r="I2" s="3074"/>
    </row>
    <row r="3" spans="1:12" ht="12.75">
      <c r="A3" s="3075" t="s">
        <v>705</v>
      </c>
      <c r="B3" s="3076"/>
      <c r="C3" s="3076"/>
      <c r="D3" s="3076"/>
      <c r="E3" s="3076"/>
      <c r="F3" s="3076"/>
      <c r="G3" s="3076"/>
      <c r="H3" s="3076"/>
      <c r="I3" s="3076"/>
    </row>
    <row r="4" spans="1:12" ht="14.25">
      <c r="A4" s="1980" t="s">
        <v>706</v>
      </c>
      <c r="B4" s="1981" t="s">
        <v>707</v>
      </c>
      <c r="C4" s="1982" t="s">
        <v>708</v>
      </c>
      <c r="D4" s="1982" t="s">
        <v>269</v>
      </c>
      <c r="E4" s="3077" t="s">
        <v>709</v>
      </c>
      <c r="F4" s="3078"/>
      <c r="G4" s="3078"/>
      <c r="H4" s="3078"/>
      <c r="I4" s="3079"/>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收益法</v>
      </c>
    </row>
    <row r="5" spans="1:12" ht="12.75">
      <c r="A5" s="3157" t="s">
        <v>710</v>
      </c>
      <c r="B5" s="3045">
        <v>25</v>
      </c>
      <c r="C5" s="3089"/>
      <c r="D5" s="3092"/>
      <c r="E5" s="1649" t="s">
        <v>711</v>
      </c>
      <c r="F5" s="1986"/>
      <c r="G5" s="1986"/>
      <c r="H5" s="1986"/>
      <c r="I5" s="1860"/>
    </row>
    <row r="6" spans="1:12" ht="12.75">
      <c r="A6" s="3157"/>
      <c r="B6" s="3045"/>
      <c r="C6" s="3091"/>
      <c r="D6" s="3092"/>
      <c r="E6" s="1649" t="s">
        <v>712</v>
      </c>
      <c r="F6" s="1986"/>
      <c r="G6" s="1986"/>
      <c r="H6" s="1986"/>
      <c r="I6" s="1860"/>
    </row>
    <row r="7" spans="1:12" ht="12.75">
      <c r="A7" s="3157"/>
      <c r="B7" s="3045"/>
      <c r="C7" s="3090"/>
      <c r="D7" s="3092"/>
      <c r="E7" s="1649" t="s">
        <v>713</v>
      </c>
      <c r="F7" s="1986"/>
      <c r="G7" s="1986"/>
      <c r="H7" s="1986"/>
      <c r="I7" s="1860"/>
    </row>
    <row r="8" spans="1:12" ht="12.75">
      <c r="A8" s="3157" t="s">
        <v>714</v>
      </c>
      <c r="B8" s="3045">
        <v>15</v>
      </c>
      <c r="C8" s="3089"/>
      <c r="D8" s="3092"/>
      <c r="E8" s="1649" t="s">
        <v>715</v>
      </c>
      <c r="F8" s="1986"/>
      <c r="G8" s="1986"/>
      <c r="H8" s="1986"/>
      <c r="I8" s="1860"/>
    </row>
    <row r="9" spans="1:12" ht="12.75">
      <c r="A9" s="3157"/>
      <c r="B9" s="3045"/>
      <c r="C9" s="3090"/>
      <c r="D9" s="3092"/>
      <c r="E9" s="1649" t="s">
        <v>716</v>
      </c>
      <c r="F9" s="1986"/>
      <c r="G9" s="1986"/>
      <c r="H9" s="1986"/>
      <c r="I9" s="1860"/>
    </row>
    <row r="10" spans="1:12" ht="12.75">
      <c r="A10" s="3157" t="s">
        <v>717</v>
      </c>
      <c r="B10" s="3045">
        <v>15</v>
      </c>
      <c r="C10" s="3089"/>
      <c r="D10" s="3092"/>
      <c r="E10" s="1649" t="s">
        <v>718</v>
      </c>
      <c r="F10" s="1986"/>
      <c r="G10" s="1986"/>
      <c r="H10" s="1986"/>
      <c r="I10" s="1860"/>
    </row>
    <row r="11" spans="1:12" ht="12.75">
      <c r="A11" s="3157"/>
      <c r="B11" s="3045"/>
      <c r="C11" s="3090"/>
      <c r="D11" s="3092"/>
      <c r="E11" s="1649" t="s">
        <v>719</v>
      </c>
      <c r="F11" s="1986"/>
      <c r="G11" s="1986"/>
      <c r="H11" s="1986"/>
      <c r="I11" s="1860"/>
    </row>
    <row r="12" spans="1:12" ht="12.75">
      <c r="A12" s="3157" t="s">
        <v>720</v>
      </c>
      <c r="B12" s="3045">
        <v>15</v>
      </c>
      <c r="C12" s="3089"/>
      <c r="D12" s="3092"/>
      <c r="E12" s="1649" t="s">
        <v>721</v>
      </c>
      <c r="F12" s="1986"/>
      <c r="G12" s="1986"/>
      <c r="H12" s="1986"/>
      <c r="I12" s="1860"/>
    </row>
    <row r="13" spans="1:12" ht="12.75">
      <c r="A13" s="3157"/>
      <c r="B13" s="3045"/>
      <c r="C13" s="3090"/>
      <c r="D13" s="3092"/>
      <c r="E13" s="1649" t="s">
        <v>722</v>
      </c>
      <c r="F13" s="1986"/>
      <c r="G13" s="1986"/>
      <c r="H13" s="1986"/>
      <c r="I13" s="1860"/>
    </row>
    <row r="14" spans="1:12" ht="12.75">
      <c r="A14" s="3157" t="s">
        <v>723</v>
      </c>
      <c r="B14" s="3045">
        <v>30</v>
      </c>
      <c r="C14" s="3089">
        <v>80</v>
      </c>
      <c r="D14" s="3092">
        <f>100-C14</f>
        <v>20</v>
      </c>
      <c r="E14" s="1649" t="s">
        <v>724</v>
      </c>
      <c r="F14" s="1986"/>
      <c r="G14" s="1986"/>
      <c r="H14" s="1986"/>
      <c r="I14" s="1860"/>
    </row>
    <row r="15" spans="1:12" ht="12.75">
      <c r="A15" s="3157"/>
      <c r="B15" s="3045"/>
      <c r="C15" s="3091"/>
      <c r="D15" s="3092"/>
      <c r="E15" s="1649" t="s">
        <v>725</v>
      </c>
      <c r="F15" s="1986"/>
      <c r="G15" s="1986"/>
      <c r="H15" s="1986"/>
      <c r="I15" s="1860"/>
    </row>
    <row r="16" spans="1:12" ht="12.75">
      <c r="A16" s="3157"/>
      <c r="B16" s="3045"/>
      <c r="C16" s="3090"/>
      <c r="D16" s="3092"/>
      <c r="E16" s="1649" t="s">
        <v>726</v>
      </c>
      <c r="F16" s="1986"/>
      <c r="G16" s="1986"/>
      <c r="H16" s="1986"/>
      <c r="I16" s="1860"/>
    </row>
    <row r="17" spans="1:35" ht="15">
      <c r="A17" s="1987" t="s">
        <v>727</v>
      </c>
      <c r="B17" s="1988"/>
      <c r="C17" s="1989">
        <f>SUM(C5:C16)</f>
        <v>80</v>
      </c>
      <c r="D17" s="1989">
        <f>SUM(D5:D16)</f>
        <v>20</v>
      </c>
      <c r="E17" s="274"/>
      <c r="F17" s="274"/>
      <c r="G17" s="274"/>
      <c r="H17" s="274"/>
      <c r="I17" s="274"/>
      <c r="K17" s="2116"/>
      <c r="L17" s="2117" t="s">
        <v>728</v>
      </c>
      <c r="M17" s="2117" t="s">
        <v>729</v>
      </c>
    </row>
    <row r="18" spans="1:35" ht="15">
      <c r="A18" s="1990" t="s">
        <v>730</v>
      </c>
      <c r="B18" s="1991"/>
      <c r="C18" s="1992">
        <f>ROUND(C17/SUM(C17:D17),2)</f>
        <v>0.8</v>
      </c>
      <c r="D18" s="1992">
        <f>1-C18</f>
        <v>0.2</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731</v>
      </c>
      <c r="B19" s="1994" t="s">
        <v>732</v>
      </c>
      <c r="C19" s="1995">
        <f ca="1">SUMIF(INDIRECT("'"&amp;C4&amp;"'"&amp;"!A:A"),结果表!B19,INDIRECT("'"&amp;C4&amp;"'"&amp;"!B:B"))</f>
        <v>1001</v>
      </c>
      <c r="D19" s="1215">
        <f ca="1">SUMIF(INDIRECT("'"&amp;D4&amp;"'"&amp;"!A:A"),结果表!B19,INDIRECT("'"&amp;D4&amp;"'"&amp;"!B:B"))</f>
        <v>282</v>
      </c>
      <c r="E19" s="1993" t="s">
        <v>733</v>
      </c>
      <c r="F19" s="1994" t="s">
        <v>732</v>
      </c>
      <c r="G19" s="1996">
        <f ca="1">ROUND(C19*$C$18+D19*$D$18,0)</f>
        <v>857</v>
      </c>
      <c r="H19" s="1997" t="s">
        <v>734</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735</v>
      </c>
      <c r="C20" s="1492">
        <f ca="1">SUMIF(INDIRECT("'"&amp;C4&amp;"'"&amp;"!A:A"),结果表!B20,INDIRECT("'"&amp;C4&amp;"'"&amp;"!B:B"))</f>
        <v>77361</v>
      </c>
      <c r="D20" s="1495">
        <f ca="1">SUMIF(INDIRECT("'"&amp;D4&amp;"'"&amp;"!A:A"),结果表!B20,INDIRECT("'"&amp;D4&amp;"'"&amp;"!B:B"))</f>
        <v>21821</v>
      </c>
      <c r="E20" s="1998"/>
      <c r="F20" s="1999" t="s">
        <v>735</v>
      </c>
      <c r="G20" s="2000">
        <f ca="1">ROUND(C20*$C$18+D20*$D$18,0)</f>
        <v>66253</v>
      </c>
      <c r="H20" s="1761" t="s">
        <v>736</v>
      </c>
      <c r="I20" s="274"/>
    </row>
    <row r="21" spans="1:35" ht="15" customHeight="1">
      <c r="A21" s="1940"/>
      <c r="B21" s="2001" t="s">
        <v>737</v>
      </c>
      <c r="C21" s="2002" t="e">
        <f ca="1">ROUND(C19*10000/L19,0)</f>
        <v>#DIV/0!</v>
      </c>
      <c r="D21" s="2003" t="e">
        <f ca="1">ROUND(D19*10000/L19,0)</f>
        <v>#DIV/0!</v>
      </c>
      <c r="E21" s="1940"/>
      <c r="F21" s="2001" t="s">
        <v>737</v>
      </c>
      <c r="G21" s="2004" t="e">
        <f ca="1">ROUND(G19*10000/L19,0)</f>
        <v>#DIV/0!</v>
      </c>
      <c r="H21" s="2005" t="s">
        <v>736</v>
      </c>
      <c r="I21" s="274"/>
    </row>
    <row r="22" spans="1:35" ht="14.25">
      <c r="A22" s="2006" t="s">
        <v>738</v>
      </c>
      <c r="B22" s="2007"/>
      <c r="C22" s="2008"/>
      <c r="D22" s="2009">
        <f ca="1">IF(C19&lt;D19,D19/C19-1,C19/D19-1)</f>
        <v>2.5496453900709222</v>
      </c>
      <c r="E22" s="274"/>
      <c r="F22" s="274"/>
      <c r="G22" s="274"/>
      <c r="H22" s="274"/>
      <c r="I22" s="274"/>
    </row>
    <row r="23" spans="1:35" ht="12.75">
      <c r="A23" s="1975"/>
      <c r="B23" s="1975"/>
      <c r="C23" s="1975"/>
      <c r="D23" s="1975"/>
      <c r="E23" s="274"/>
      <c r="F23" s="274"/>
      <c r="G23" s="274"/>
      <c r="H23" s="274"/>
      <c r="I23" s="274"/>
    </row>
    <row r="24" spans="1:35" ht="14.25">
      <c r="A24" s="3158" t="s">
        <v>739</v>
      </c>
      <c r="B24" s="1994" t="s">
        <v>732</v>
      </c>
      <c r="C24" s="1996">
        <f>IF(B30=0,0,D30)</f>
        <v>0</v>
      </c>
      <c r="D24" s="2010"/>
      <c r="E24" s="274"/>
      <c r="F24" s="274"/>
      <c r="G24" s="274"/>
      <c r="H24" s="274"/>
      <c r="I24" s="274"/>
    </row>
    <row r="25" spans="1:35" ht="14.25">
      <c r="A25" s="3159"/>
      <c r="B25" s="1999" t="s">
        <v>735</v>
      </c>
      <c r="C25" s="2011">
        <f>IF(B30=0,0,C30)</f>
        <v>0</v>
      </c>
      <c r="D25" s="2012"/>
      <c r="E25" s="274"/>
      <c r="F25" s="274"/>
      <c r="G25" s="274"/>
      <c r="H25" s="274"/>
      <c r="I25" s="274"/>
    </row>
    <row r="26" spans="1:35" ht="13.5" customHeight="1">
      <c r="A26" s="2013" t="s">
        <v>740</v>
      </c>
      <c r="B26" s="2014" t="s">
        <v>741</v>
      </c>
      <c r="C26" s="2014" t="s">
        <v>742</v>
      </c>
      <c r="D26" s="2015" t="s">
        <v>743</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744</v>
      </c>
      <c r="B30" s="2014"/>
      <c r="C30" s="2014"/>
      <c r="D30" s="2014"/>
      <c r="E30" s="2016" t="s">
        <v>745</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746</v>
      </c>
      <c r="B32" s="2019"/>
      <c r="C32" s="2020">
        <f ca="1">IF(D32="总价",G19-C24,G20-C25)</f>
        <v>66253</v>
      </c>
      <c r="D32" s="2021" t="s">
        <v>2523</v>
      </c>
      <c r="E32" s="274"/>
      <c r="F32" s="274"/>
      <c r="G32" s="274"/>
      <c r="H32" s="274"/>
      <c r="I32" s="274"/>
    </row>
    <row r="33" spans="1:15" ht="15">
      <c r="A33" s="1880" t="s">
        <v>747</v>
      </c>
      <c r="B33" s="2022"/>
      <c r="C33" s="2023"/>
      <c r="D33" s="2024"/>
      <c r="E33" s="2025" t="s">
        <v>748</v>
      </c>
      <c r="F33" s="2026" t="str">
        <f>IF(D32="楼面单价","取值（单价）","取值（总价）")</f>
        <v>取值（单价）</v>
      </c>
      <c r="G33" s="274"/>
      <c r="H33" s="274"/>
      <c r="I33" s="274"/>
    </row>
    <row r="34" spans="1:15" ht="15">
      <c r="A34" s="2027"/>
      <c r="B34" s="2028" t="s">
        <v>749</v>
      </c>
      <c r="C34" s="2029" t="e">
        <f ca="1">IF(C33="自定义",F34,C32-C35)</f>
        <v>#REF!</v>
      </c>
      <c r="D34" s="2030" t="e">
        <f ca="1">IF(C33="自定义",ROUND(C34/C32,3),IF(C33="收益比率",SUMIF(INDIRECT("'"&amp;D33&amp;"'"&amp;"!b:b"),"土地收益比率",INDIRECT("'"&amp;D33&amp;"'"&amp;"!c:c")),SUMIF(INDIRECT("'"&amp;D33&amp;"'"&amp;"!b:b"),"土地成本比率",INDIRECT("'"&amp;D33&amp;"'"&amp;"!c:c"))))</f>
        <v>#REF!</v>
      </c>
      <c r="E34" s="2031" t="s">
        <v>750</v>
      </c>
      <c r="F34" s="2032"/>
      <c r="G34" s="274"/>
      <c r="H34" s="274"/>
      <c r="I34" s="274"/>
    </row>
    <row r="35" spans="1:15" ht="15">
      <c r="A35" s="2033"/>
      <c r="B35" s="2034" t="s">
        <v>751</v>
      </c>
      <c r="C35" s="2035" t="e">
        <f ca="1">IF(C33="自定义",F35,ROUND(C32*D35,0))</f>
        <v>#REF!</v>
      </c>
      <c r="D35" s="2036" t="e">
        <f ca="1">IF(C33="自定义",ROUND(C35/C32,3),IF(C33="收益比率",SUMIF(INDIRECT("'"&amp;D33&amp;"'"&amp;"!b:b"),"建筑物收益比率",INDIRECT("'"&amp;D33&amp;"'"&amp;"!c:c")),SUMIF(INDIRECT("'"&amp;D33&amp;"'"&amp;"!b:b"),"建筑物成本比率",INDIRECT("'"&amp;D33&amp;"'"&amp;"!c:c"))))</f>
        <v>#REF!</v>
      </c>
      <c r="E35" s="2037" t="s">
        <v>752</v>
      </c>
      <c r="F35" s="2038"/>
      <c r="G35" s="274"/>
      <c r="H35" s="274"/>
      <c r="I35" s="274"/>
    </row>
    <row r="36" spans="1:15" ht="15">
      <c r="A36" s="3160" t="s">
        <v>753</v>
      </c>
      <c r="B36" s="2039" t="s">
        <v>754</v>
      </c>
      <c r="C36" s="2040"/>
      <c r="D36" s="2041"/>
      <c r="E36" s="2042"/>
      <c r="F36" s="2043"/>
      <c r="G36" s="274"/>
      <c r="H36" s="274"/>
      <c r="I36" s="274"/>
    </row>
    <row r="37" spans="1:15" ht="15">
      <c r="A37" s="3161"/>
      <c r="B37" s="2044" t="s">
        <v>755</v>
      </c>
      <c r="C37" s="2045"/>
      <c r="D37" s="2046"/>
      <c r="E37" s="2046"/>
      <c r="F37" s="2043"/>
      <c r="G37" s="274"/>
      <c r="H37" s="274"/>
      <c r="I37" s="274"/>
    </row>
    <row r="38" spans="1:15" ht="15">
      <c r="A38" s="3162"/>
      <c r="B38" s="2047" t="s">
        <v>756</v>
      </c>
      <c r="C38" s="2048"/>
      <c r="D38" s="2049" t="s">
        <v>757</v>
      </c>
      <c r="E38" s="2046"/>
      <c r="F38" s="2043"/>
      <c r="G38" s="274"/>
      <c r="H38" s="274"/>
      <c r="I38" s="274"/>
    </row>
    <row r="39" spans="1:15" ht="15">
      <c r="A39" s="1998" t="s">
        <v>758</v>
      </c>
      <c r="B39" s="2050" t="s">
        <v>741</v>
      </c>
      <c r="C39" s="2051" t="s">
        <v>742</v>
      </c>
      <c r="D39" s="2051" t="s">
        <v>759</v>
      </c>
      <c r="E39" s="2052" t="s">
        <v>743</v>
      </c>
      <c r="F39" s="2043"/>
      <c r="G39" s="274"/>
      <c r="H39" s="274"/>
      <c r="I39" s="274"/>
    </row>
    <row r="40" spans="1:15" ht="14.25">
      <c r="A40" s="2053" t="s">
        <v>760</v>
      </c>
      <c r="B40" s="2054"/>
      <c r="C40" s="292"/>
      <c r="D40" s="292"/>
      <c r="E40" s="2055"/>
      <c r="F40" s="2043"/>
      <c r="G40" s="274"/>
      <c r="H40" s="274"/>
      <c r="I40" s="274"/>
    </row>
    <row r="41" spans="1:15" ht="14.25">
      <c r="A41" s="2053" t="s">
        <v>761</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762</v>
      </c>
      <c r="B44" s="2062"/>
      <c r="C44" s="2062"/>
      <c r="D44" s="2063"/>
      <c r="E44" s="2063"/>
      <c r="F44" s="2064"/>
      <c r="G44" s="2064"/>
      <c r="H44" s="2064"/>
      <c r="I44" s="2064"/>
      <c r="J44" s="2119" t="s">
        <v>763</v>
      </c>
      <c r="K44" s="2120"/>
      <c r="L44" s="2120"/>
      <c r="M44" s="2120"/>
      <c r="N44" s="2120"/>
      <c r="O44" s="2120"/>
    </row>
    <row r="45" spans="1:15" ht="14.25" customHeight="1">
      <c r="A45" s="3080" t="s">
        <v>764</v>
      </c>
      <c r="B45" s="3081"/>
      <c r="C45" s="3082"/>
      <c r="D45" s="1608">
        <f ca="1">ROUND(H101*F45,0)</f>
        <v>858</v>
      </c>
      <c r="E45" s="2065" t="s">
        <v>765</v>
      </c>
      <c r="F45" s="2066">
        <v>1</v>
      </c>
      <c r="G45" s="2067" t="s">
        <v>766</v>
      </c>
      <c r="H45" s="274"/>
      <c r="I45" s="274"/>
      <c r="J45" s="3083" t="s">
        <v>767</v>
      </c>
      <c r="K45" s="3083"/>
      <c r="L45" s="3083"/>
      <c r="M45" s="3083"/>
      <c r="N45" s="3083"/>
      <c r="O45" s="3083"/>
    </row>
    <row r="46" spans="1:15" ht="14.25" customHeight="1">
      <c r="A46" s="3084" t="s">
        <v>768</v>
      </c>
      <c r="B46" s="3085"/>
      <c r="C46" s="3085"/>
      <c r="D46" s="3085"/>
      <c r="E46" s="3085"/>
      <c r="F46" s="3085"/>
      <c r="G46" s="3086"/>
      <c r="H46" s="2068"/>
      <c r="I46" s="275"/>
      <c r="J46" s="706">
        <v>1</v>
      </c>
      <c r="K46" s="3083" t="s">
        <v>769</v>
      </c>
      <c r="L46" s="3083"/>
      <c r="M46" s="3087"/>
      <c r="N46" s="3087"/>
      <c r="O46" s="3087"/>
    </row>
    <row r="47" spans="1:15" ht="12" customHeight="1">
      <c r="A47" s="2069" t="s">
        <v>770</v>
      </c>
      <c r="B47" s="2070"/>
      <c r="C47" s="2071"/>
      <c r="D47" s="2072" t="s">
        <v>771</v>
      </c>
      <c r="E47" s="285" t="s">
        <v>772</v>
      </c>
      <c r="F47" s="2073" t="s">
        <v>773</v>
      </c>
      <c r="G47" s="2074" t="s">
        <v>774</v>
      </c>
      <c r="H47" s="2068"/>
      <c r="I47" s="275"/>
      <c r="J47" s="706">
        <v>2</v>
      </c>
      <c r="K47" s="3083" t="s">
        <v>775</v>
      </c>
      <c r="L47" s="3083"/>
      <c r="M47" s="3088">
        <f>'数据-取费表'!B2</f>
        <v>43360</v>
      </c>
      <c r="N47" s="3088"/>
      <c r="O47" s="3088"/>
    </row>
    <row r="48" spans="1:15" ht="25.5">
      <c r="A48" s="3093" t="s">
        <v>776</v>
      </c>
      <c r="B48" s="3094"/>
      <c r="C48" s="3094"/>
      <c r="D48" s="1649">
        <f>IF(H48="情况1",0,IF(H48="情况2",D52,IF(H48="情况3",D53,IF(H48="情况4",D54))))</f>
        <v>0</v>
      </c>
      <c r="E48" s="1662" t="str">
        <f>IF(H48="情况4","(销售额-原购置价)×税（费）率","销售额×税（费）率")</f>
        <v>销售额×税（费）率</v>
      </c>
      <c r="F48" s="2075" t="str">
        <f>IF(H48="情况1","免征",'数据-取费表'!B41)</f>
        <v>免征</v>
      </c>
      <c r="G48" s="2076" t="s">
        <v>777</v>
      </c>
      <c r="H48" s="2077" t="s">
        <v>778</v>
      </c>
      <c r="I48" s="2068"/>
      <c r="J48" s="706">
        <v>3</v>
      </c>
      <c r="K48" s="3083" t="s">
        <v>779</v>
      </c>
      <c r="L48" s="3083"/>
      <c r="M48" s="3095">
        <f ca="1">H101</f>
        <v>858</v>
      </c>
      <c r="N48" s="3095"/>
      <c r="O48" s="3095"/>
    </row>
    <row r="49" spans="1:35" ht="25.5" customHeight="1">
      <c r="A49" s="2078" t="s">
        <v>780</v>
      </c>
      <c r="B49" s="3096" t="s">
        <v>781</v>
      </c>
      <c r="C49" s="3096"/>
      <c r="D49" s="1887">
        <v>0</v>
      </c>
      <c r="E49" s="2079" t="s">
        <v>782</v>
      </c>
      <c r="F49" s="2080" t="s">
        <v>124</v>
      </c>
      <c r="G49" s="3097"/>
      <c r="H49" s="274"/>
      <c r="I49" s="2122"/>
      <c r="J49" s="706">
        <v>4</v>
      </c>
      <c r="K49" s="3083" t="str">
        <f>IF(项目基本情况!E8="房地产抵押价值","房地产抵押价值","抵押担保权已注销时的房地产抵押价值")</f>
        <v>抵押担保权已注销时的房地产抵押价值</v>
      </c>
      <c r="L49" s="3083"/>
      <c r="M49" s="3095" t="str">
        <f>IF(项目基本情况!E8="房地产抵押价值",H107,H109)</f>
        <v>——</v>
      </c>
      <c r="N49" s="3095"/>
      <c r="O49" s="3095"/>
    </row>
    <row r="50" spans="1:35" ht="25.5" customHeight="1">
      <c r="A50" s="2082"/>
      <c r="B50" s="3096" t="s">
        <v>783</v>
      </c>
      <c r="C50" s="3096"/>
      <c r="D50" s="2083"/>
      <c r="E50" s="2084"/>
      <c r="F50" s="2085"/>
      <c r="G50" s="3098"/>
      <c r="H50" s="274"/>
      <c r="I50" s="2122"/>
      <c r="J50" s="3083" t="s">
        <v>784</v>
      </c>
      <c r="K50" s="3083"/>
      <c r="L50" s="3083"/>
      <c r="M50" s="3083"/>
      <c r="N50" s="3083"/>
      <c r="O50" s="3083"/>
    </row>
    <row r="51" spans="1:35" ht="12" customHeight="1">
      <c r="A51" s="2086"/>
      <c r="B51" s="3096" t="s">
        <v>785</v>
      </c>
      <c r="C51" s="3096"/>
      <c r="D51" s="2087"/>
      <c r="E51" s="604"/>
      <c r="F51" s="2085"/>
      <c r="G51" s="3099"/>
      <c r="H51" s="274"/>
      <c r="I51" s="2122"/>
      <c r="J51" s="2121" t="s">
        <v>786</v>
      </c>
      <c r="K51" s="3083" t="s">
        <v>787</v>
      </c>
      <c r="L51" s="3083"/>
      <c r="M51" s="2121" t="s">
        <v>788</v>
      </c>
      <c r="N51" s="2121" t="s">
        <v>789</v>
      </c>
      <c r="O51" s="2121" t="s">
        <v>790</v>
      </c>
    </row>
    <row r="52" spans="1:35" ht="24" customHeight="1">
      <c r="A52" s="2089" t="s">
        <v>791</v>
      </c>
      <c r="B52" s="3096" t="s">
        <v>792</v>
      </c>
      <c r="C52" s="3096"/>
      <c r="D52" s="2087">
        <f ca="1">ROUND(D45*'数据-取费表'!B41/(1+'数据-取费表'!C42),0)</f>
        <v>46</v>
      </c>
      <c r="E52" s="288" t="s">
        <v>793</v>
      </c>
      <c r="F52" s="2090">
        <f>'数据-取费表'!B41</f>
        <v>5.6000000000000001E-2</v>
      </c>
      <c r="G52" s="2091"/>
      <c r="H52" s="274"/>
      <c r="I52" s="2122"/>
      <c r="J52" s="706">
        <v>1</v>
      </c>
      <c r="K52" s="3100" t="s">
        <v>794</v>
      </c>
      <c r="L52" s="3100"/>
      <c r="M52" s="2123">
        <f>D48</f>
        <v>0</v>
      </c>
      <c r="N52" s="706" t="str">
        <f>E48</f>
        <v>销售额×税（费）率</v>
      </c>
      <c r="O52" s="2124" t="str">
        <f>F48</f>
        <v>免征</v>
      </c>
    </row>
    <row r="53" spans="1:35" ht="12" customHeight="1">
      <c r="A53" s="2089" t="s">
        <v>795</v>
      </c>
      <c r="B53" s="3101" t="s">
        <v>796</v>
      </c>
      <c r="C53" s="3102"/>
      <c r="D53" s="2087">
        <f ca="1">ROUND(D45*'数据-取费表'!B41/(1+'数据-取费表'!C42),0)</f>
        <v>46</v>
      </c>
      <c r="E53" s="288" t="s">
        <v>793</v>
      </c>
      <c r="F53" s="2090">
        <f>'数据-取费表'!B41</f>
        <v>5.6000000000000001E-2</v>
      </c>
      <c r="G53" s="2091"/>
      <c r="H53" s="274"/>
      <c r="I53" s="2122"/>
      <c r="J53" s="706">
        <v>2</v>
      </c>
      <c r="K53" s="3100" t="s">
        <v>797</v>
      </c>
      <c r="L53" s="3100"/>
      <c r="M53" s="2123">
        <f t="shared" ref="M53:O54" ca="1" si="0">D55</f>
        <v>0</v>
      </c>
      <c r="N53" s="706" t="str">
        <f t="shared" si="0"/>
        <v>销售额×税（费）率</v>
      </c>
      <c r="O53" s="2124">
        <f t="shared" si="0"/>
        <v>5.0000000000000001E-4</v>
      </c>
    </row>
    <row r="54" spans="1:35" ht="12" customHeight="1">
      <c r="A54" s="2089" t="s">
        <v>798</v>
      </c>
      <c r="B54" s="3101" t="s">
        <v>799</v>
      </c>
      <c r="C54" s="3102"/>
      <c r="D54" s="2087">
        <f ca="1">C68</f>
        <v>46</v>
      </c>
      <c r="E54" s="604" t="s">
        <v>800</v>
      </c>
      <c r="F54" s="2090">
        <f>'数据-取费表'!B41</f>
        <v>5.6000000000000001E-2</v>
      </c>
      <c r="G54" s="2091"/>
      <c r="H54" s="2092"/>
      <c r="I54" s="2122"/>
      <c r="J54" s="706">
        <v>3</v>
      </c>
      <c r="K54" s="3100" t="s">
        <v>801</v>
      </c>
      <c r="L54" s="3100"/>
      <c r="M54" s="2123">
        <f t="shared" ca="1" si="0"/>
        <v>485</v>
      </c>
      <c r="N54" s="706" t="str">
        <f t="shared" si="0"/>
        <v>增值额×税（费）率</v>
      </c>
      <c r="O54" s="2125" t="str">
        <f t="shared" si="0"/>
        <v>——</v>
      </c>
    </row>
    <row r="55" spans="1:35" ht="24" customHeight="1">
      <c r="A55" s="3103" t="s">
        <v>802</v>
      </c>
      <c r="B55" s="3094"/>
      <c r="C55" s="3094"/>
      <c r="D55" s="2093">
        <f ca="1">IF(H55="个人住宅",0,ROUND(D45*I55,0))</f>
        <v>0</v>
      </c>
      <c r="E55" s="288" t="s">
        <v>803</v>
      </c>
      <c r="F55" s="2090">
        <f>IF(H55="正常",I55,"免征")</f>
        <v>5.0000000000000001E-4</v>
      </c>
      <c r="G55" s="2091"/>
      <c r="H55" s="2077" t="s">
        <v>804</v>
      </c>
      <c r="I55" s="2126">
        <f>'数据-取费表'!B49</f>
        <v>5.0000000000000001E-4</v>
      </c>
      <c r="J55" s="706" t="str">
        <f>IF(H59="非个人房产","",4)</f>
        <v/>
      </c>
      <c r="K55" s="3100" t="str">
        <f>IF(H59="非个人房产","——","个人所得税")</f>
        <v>——</v>
      </c>
      <c r="L55" s="3100"/>
      <c r="M55" s="2127" t="str">
        <f>D59</f>
        <v>——</v>
      </c>
      <c r="N55" s="837" t="str">
        <f>E59</f>
        <v>——</v>
      </c>
      <c r="O55" s="2128" t="str">
        <f>F59</f>
        <v>——</v>
      </c>
    </row>
    <row r="56" spans="1:35" ht="24.75">
      <c r="A56" s="3103" t="s">
        <v>805</v>
      </c>
      <c r="B56" s="3094"/>
      <c r="C56" s="3094"/>
      <c r="D56" s="2093">
        <f ca="1">IF(H56="个人住宅",D57,D58)</f>
        <v>485</v>
      </c>
      <c r="E56" s="288" t="s">
        <v>806</v>
      </c>
      <c r="F56" s="2090" t="str">
        <f>IF(H56="正常",F58,"免征")</f>
        <v>——</v>
      </c>
      <c r="G56" s="2094" t="s">
        <v>807</v>
      </c>
      <c r="H56" s="2095" t="s">
        <v>804</v>
      </c>
      <c r="I56" s="2098"/>
      <c r="J56" s="706" t="str">
        <f>IF(项目基本情况!K6="上海银行",IF(J55="",4,J55+1),"")</f>
        <v/>
      </c>
      <c r="K56" s="3104" t="str">
        <f>IF(项目基本情况!K6="上海银行","其他处置费用","")</f>
        <v/>
      </c>
      <c r="L56" s="3105"/>
      <c r="M56" s="2123" t="str">
        <f>IF(项目基本情况!K6="上海银行",M69,"")</f>
        <v/>
      </c>
      <c r="N56" s="3106" t="str">
        <f>IF(项目基本情况!K6="上海银行","包含处置中涉及的律师、诉讼、拍卖、评估等费用","")</f>
        <v/>
      </c>
      <c r="O56" s="3107"/>
    </row>
    <row r="57" spans="1:35" ht="12.75">
      <c r="A57" s="2089" t="s">
        <v>780</v>
      </c>
      <c r="B57" s="3077" t="s">
        <v>808</v>
      </c>
      <c r="C57" s="3079"/>
      <c r="D57" s="2097">
        <v>0</v>
      </c>
      <c r="E57" s="2079" t="s">
        <v>782</v>
      </c>
      <c r="F57" s="234"/>
      <c r="G57" s="2091"/>
      <c r="H57" s="2098"/>
      <c r="I57" s="2098"/>
      <c r="J57" s="3100">
        <f>IF(AND(J55="",J56=""),4,IF(项目基本情况!K6="上海银行",结果表!J56+1,结果表!J55+1))</f>
        <v>4</v>
      </c>
      <c r="K57" s="3100" t="s">
        <v>809</v>
      </c>
      <c r="L57" s="2129" t="s">
        <v>810</v>
      </c>
      <c r="M57" s="2130"/>
      <c r="N57" s="2131">
        <f ca="1">SUMIF(M52:M56,"&lt;9e307")</f>
        <v>485</v>
      </c>
      <c r="O57" s="2132"/>
      <c r="P57" s="2133" t="e">
        <f ca="1">N57/M49</f>
        <v>#VALUE!</v>
      </c>
    </row>
    <row r="58" spans="1:35" ht="24.75">
      <c r="A58" s="2089" t="s">
        <v>791</v>
      </c>
      <c r="B58" s="3077" t="s">
        <v>811</v>
      </c>
      <c r="C58" s="3078"/>
      <c r="D58" s="2093">
        <f ca="1">IF(H58="转让取得",C81,C97)</f>
        <v>485</v>
      </c>
      <c r="E58" s="288" t="s">
        <v>806</v>
      </c>
      <c r="F58" s="285" t="s">
        <v>124</v>
      </c>
      <c r="G58" s="2091"/>
      <c r="H58" s="2095" t="s">
        <v>812</v>
      </c>
      <c r="I58" s="2098"/>
      <c r="J58" s="3100"/>
      <c r="K58" s="3100"/>
      <c r="L58" s="2129" t="s">
        <v>813</v>
      </c>
      <c r="M58" s="2134"/>
      <c r="N58" s="2135" t="str">
        <f ca="1">NUMBERSTRING(INT(N57*10000),2)&amp;"元整"</f>
        <v>肆佰捌拾伍万元整</v>
      </c>
      <c r="O58" s="2136"/>
    </row>
    <row r="59" spans="1:35" ht="24">
      <c r="A59" s="3108" t="s">
        <v>814</v>
      </c>
      <c r="B59" s="3109"/>
      <c r="C59" s="3109"/>
      <c r="D59" s="2099" t="str">
        <f>IF(H59="非个人房产","——",IF(H59="个人住宅",0,ROUND(D45*I59,0)))</f>
        <v>——</v>
      </c>
      <c r="E59" s="2100" t="str">
        <f>IF(H59="非个人房产","——","销售额×税（费）率")</f>
        <v>——</v>
      </c>
      <c r="F59" s="2101" t="str">
        <f>IF(H59="非个人房产","——",IF(H59="个人住宅","免征",I59))</f>
        <v>——</v>
      </c>
      <c r="G59" s="2102" t="s">
        <v>807</v>
      </c>
      <c r="H59" s="2095" t="s">
        <v>815</v>
      </c>
      <c r="I59" s="2137">
        <v>0.01</v>
      </c>
      <c r="J59" s="3115">
        <f>J57+1</f>
        <v>5</v>
      </c>
      <c r="K59" s="3100" t="s">
        <v>816</v>
      </c>
      <c r="L59" s="706" t="s">
        <v>810</v>
      </c>
      <c r="M59" s="2138"/>
      <c r="N59" s="2139" t="e">
        <f ca="1">M49-N57</f>
        <v>#VALUE!</v>
      </c>
      <c r="O59" s="2140"/>
    </row>
    <row r="60" spans="1:35" ht="12" customHeight="1">
      <c r="A60" s="2103"/>
      <c r="B60" s="1975"/>
      <c r="C60" s="1975"/>
      <c r="D60" s="1975"/>
      <c r="E60" s="2104"/>
      <c r="F60" s="2098"/>
      <c r="G60" s="2098"/>
      <c r="H60" s="2105"/>
      <c r="I60" s="274"/>
      <c r="J60" s="3116"/>
      <c r="K60" s="3100"/>
      <c r="L60" s="2129" t="s">
        <v>813</v>
      </c>
      <c r="M60" s="2134"/>
      <c r="N60" s="2135" t="e">
        <f ca="1">NUMBERSTRING(INT(N59*10000),2)&amp;"元整"</f>
        <v>#VALUE!</v>
      </c>
      <c r="O60" s="2136"/>
    </row>
    <row r="61" spans="1:35" ht="12.75">
      <c r="A61" s="3110" t="s">
        <v>817</v>
      </c>
      <c r="B61" s="3110"/>
      <c r="C61" s="3110"/>
      <c r="D61" s="3110"/>
      <c r="E61" s="3110"/>
      <c r="F61" s="2098"/>
      <c r="G61" s="2098"/>
      <c r="H61" s="2105"/>
      <c r="I61" s="274"/>
      <c r="J61" s="706">
        <f>J59+1</f>
        <v>6</v>
      </c>
      <c r="K61" s="3100" t="s">
        <v>818</v>
      </c>
      <c r="L61" s="3100"/>
      <c r="M61" s="2141"/>
      <c r="N61" s="2142" t="e">
        <f ca="1">ROUND(N59*10000/'数据-汇总表'!E3,0)</f>
        <v>#VALUE!</v>
      </c>
      <c r="O61" s="2143"/>
    </row>
    <row r="62" spans="1:35" ht="12.75">
      <c r="A62" s="3111" t="s">
        <v>819</v>
      </c>
      <c r="B62" s="3112"/>
      <c r="C62" s="615"/>
      <c r="D62" s="615" t="s">
        <v>820</v>
      </c>
      <c r="E62" s="2106" t="s">
        <v>774</v>
      </c>
      <c r="F62" s="2098"/>
      <c r="G62" s="2098"/>
      <c r="H62" s="2105"/>
      <c r="I62" s="274"/>
    </row>
    <row r="63" spans="1:35" ht="12.75">
      <c r="A63" s="2107" t="s">
        <v>821</v>
      </c>
      <c r="B63" s="2108" t="s">
        <v>822</v>
      </c>
      <c r="C63" s="2109">
        <f ca="1">ROUND((C64+C65)/(1+'数据-取费表'!C42),0)</f>
        <v>817</v>
      </c>
      <c r="D63" s="2110"/>
      <c r="E63" s="2111"/>
      <c r="F63" s="2098"/>
      <c r="G63" s="2098"/>
      <c r="H63" s="2105"/>
      <c r="I63" s="274"/>
      <c r="J63" s="3117" t="s">
        <v>823</v>
      </c>
      <c r="K63" s="2144" t="s">
        <v>824</v>
      </c>
      <c r="L63" s="2145" t="e">
        <f>IF(M49&gt;10000,M49*0.5%,IF(AND(M49&gt;1000,M49&lt;=10000),M49*1%,IF(AND(M49&gt;100,M49&lt;=1000),M49*3%,IF(AND(M49&gt;10,M49&lt;=100),M49*5%,M49*8%))))</f>
        <v>#VALUE!</v>
      </c>
      <c r="M63" s="285" t="e">
        <f>ROUND(L63,1)</f>
        <v>#VALUE!</v>
      </c>
      <c r="Z63" s="1972"/>
      <c r="AI63" s="1973"/>
    </row>
    <row r="64" spans="1:35" ht="14.25" customHeight="1">
      <c r="A64" s="2112" t="s">
        <v>825</v>
      </c>
      <c r="B64" s="567" t="s">
        <v>826</v>
      </c>
      <c r="C64" s="2113">
        <f ca="1">D45</f>
        <v>858</v>
      </c>
      <c r="D64" s="592" t="s">
        <v>124</v>
      </c>
      <c r="E64" s="2114"/>
      <c r="F64" s="2098"/>
      <c r="G64" s="2098"/>
      <c r="H64" s="2105"/>
      <c r="I64" s="274"/>
      <c r="J64" s="3117"/>
      <c r="K64" s="2144" t="s">
        <v>827</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828</v>
      </c>
      <c r="Z64" s="1972"/>
      <c r="AI64" s="1973"/>
    </row>
    <row r="65" spans="1:35" ht="14.25" customHeight="1">
      <c r="A65" s="2112" t="s">
        <v>829</v>
      </c>
      <c r="B65" s="567" t="s">
        <v>830</v>
      </c>
      <c r="C65" s="2146"/>
      <c r="D65" s="592"/>
      <c r="E65" s="2114"/>
      <c r="F65" s="2098"/>
      <c r="G65" s="2098"/>
      <c r="H65" s="2105"/>
      <c r="I65" s="274"/>
      <c r="J65" s="3117"/>
      <c r="K65" s="2144" t="s">
        <v>831</v>
      </c>
      <c r="L65" s="2145" t="e">
        <f>IF(M49&gt;1000,M49*0.1%,IF(AND(M49&gt;500,M49&lt;=1000),M49*0.5%,IF(AND(M49&gt;50,M49&lt;=500),M49*1%,IF(AND(M49&gt;1,M49&lt;=50),M49*1.5%))))</f>
        <v>#VALUE!</v>
      </c>
      <c r="M65" s="285" t="e">
        <f t="shared" si="1"/>
        <v>#VALUE!</v>
      </c>
      <c r="N65" s="274" t="s">
        <v>828</v>
      </c>
      <c r="Z65" s="1972"/>
      <c r="AI65" s="1973"/>
    </row>
    <row r="66" spans="1:35" ht="14.25" customHeight="1">
      <c r="A66" s="2107" t="s">
        <v>832</v>
      </c>
      <c r="B66" s="2147" t="s">
        <v>833</v>
      </c>
      <c r="C66" s="2148"/>
      <c r="D66" s="658" t="s">
        <v>124</v>
      </c>
      <c r="E66" s="2149" t="s">
        <v>834</v>
      </c>
      <c r="F66" s="2098"/>
      <c r="G66" s="2098"/>
      <c r="H66" s="2105"/>
      <c r="I66" s="274"/>
      <c r="J66" s="3117"/>
      <c r="K66" s="2144" t="s">
        <v>835</v>
      </c>
      <c r="L66" s="2145" t="e">
        <f>M49*0.5%</f>
        <v>#VALUE!</v>
      </c>
      <c r="M66" s="285" t="e">
        <f>IF(L66&gt;0.5,0.5,ROUND(L66,0))</f>
        <v>#VALUE!</v>
      </c>
      <c r="N66" s="274" t="s">
        <v>836</v>
      </c>
      <c r="Z66" s="1972"/>
      <c r="AI66" s="1973"/>
    </row>
    <row r="67" spans="1:35" ht="14.25" customHeight="1">
      <c r="A67" s="2107" t="s">
        <v>837</v>
      </c>
      <c r="B67" s="2147" t="s">
        <v>838</v>
      </c>
      <c r="C67" s="2150">
        <f ca="1">C63-C66</f>
        <v>817</v>
      </c>
      <c r="D67" s="592" t="s">
        <v>124</v>
      </c>
      <c r="E67" s="2114"/>
      <c r="F67" s="2098"/>
      <c r="G67" s="2098"/>
      <c r="H67" s="2105"/>
      <c r="I67" s="274"/>
      <c r="J67" s="3117"/>
      <c r="K67" s="2144" t="s">
        <v>839</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840</v>
      </c>
      <c r="B68" s="2152" t="s">
        <v>841</v>
      </c>
      <c r="C68" s="2153">
        <f ca="1">IF(C67&lt;=0,0,ROUND(C67*D68,0))</f>
        <v>46</v>
      </c>
      <c r="D68" s="752">
        <f>'数据-取费表'!B41</f>
        <v>5.6000000000000001E-2</v>
      </c>
      <c r="E68" s="2154"/>
      <c r="F68" s="2098"/>
      <c r="G68" s="2098"/>
      <c r="H68" s="2105"/>
      <c r="I68" s="274"/>
      <c r="J68" s="3117"/>
      <c r="K68" s="2144" t="s">
        <v>842</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17"/>
      <c r="K69" s="2144" t="s">
        <v>843</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13" t="s">
        <v>844</v>
      </c>
      <c r="B70" s="3114"/>
      <c r="C70" s="3114"/>
      <c r="D70" s="3114"/>
      <c r="E70" s="3114"/>
      <c r="F70" s="3114"/>
      <c r="G70" s="3114"/>
      <c r="H70" s="3114"/>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11" t="s">
        <v>819</v>
      </c>
      <c r="B71" s="3112"/>
      <c r="C71" s="615"/>
      <c r="D71" s="615" t="s">
        <v>820</v>
      </c>
      <c r="E71" s="2159" t="s">
        <v>774</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821</v>
      </c>
      <c r="B72" s="2147" t="s">
        <v>845</v>
      </c>
      <c r="C72" s="2150">
        <f ca="1">ROUND(D45/(1+'数据-取费表'!C42),0)</f>
        <v>817</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832</v>
      </c>
      <c r="B73" s="2073" t="s">
        <v>846</v>
      </c>
      <c r="C73" s="2150">
        <f ca="1">C74+C78</f>
        <v>5</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825</v>
      </c>
      <c r="B74" s="567" t="s">
        <v>847</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848</v>
      </c>
      <c r="B75" s="567" t="s">
        <v>849</v>
      </c>
      <c r="C75" s="2164"/>
      <c r="D75" s="592" t="s">
        <v>124</v>
      </c>
      <c r="E75" s="2165" t="s">
        <v>850</v>
      </c>
      <c r="F75" s="2166" t="s">
        <v>851</v>
      </c>
      <c r="G75" s="2165" t="s">
        <v>852</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853</v>
      </c>
      <c r="B76" s="2168" t="s">
        <v>854</v>
      </c>
      <c r="C76" s="592">
        <f>IF(F75="购房发票",ROUND(C75*H75*D76,0),0)</f>
        <v>0</v>
      </c>
      <c r="D76" s="2169">
        <v>0.05</v>
      </c>
      <c r="E76" s="3101" t="s">
        <v>855</v>
      </c>
      <c r="F76" s="3096"/>
      <c r="G76" s="3096"/>
      <c r="H76" s="3118"/>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856</v>
      </c>
      <c r="B77" s="567" t="s">
        <v>857</v>
      </c>
      <c r="C77" s="592">
        <f>ROUND(IF(G77="个人住宅",0,IF(G77="2016年5月1日前购买",C75*D77,C75*D77/(1+'数据-取费表'!C42))),0)</f>
        <v>0</v>
      </c>
      <c r="D77" s="2171">
        <f>'数据-取费表'!B48+'数据-取费表'!B49</f>
        <v>3.0499999999999999E-2</v>
      </c>
      <c r="E77" s="1759" t="s">
        <v>858</v>
      </c>
      <c r="F77" s="2172"/>
      <c r="G77" s="2173" t="s">
        <v>859</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829</v>
      </c>
      <c r="B78" s="567" t="s">
        <v>860</v>
      </c>
      <c r="C78" s="2174">
        <f ca="1">ROUND(D45*D78/(1+'数据-取费表'!C42),0)</f>
        <v>5</v>
      </c>
      <c r="D78" s="2175">
        <f>'数据-取费表'!B43</f>
        <v>6.0000000000000001E-3</v>
      </c>
      <c r="E78" s="3119" t="s">
        <v>861</v>
      </c>
      <c r="F78" s="3120"/>
      <c r="G78" s="3120"/>
      <c r="H78" s="3121"/>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837</v>
      </c>
      <c r="B79" s="2147" t="s">
        <v>862</v>
      </c>
      <c r="C79" s="2150">
        <f ca="1">C72-C73</f>
        <v>812</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840</v>
      </c>
      <c r="B80" s="2147" t="s">
        <v>863</v>
      </c>
      <c r="C80" s="2180">
        <f ca="1">IF(C79&lt;=0,0,C79/C73)</f>
        <v>162.4</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864</v>
      </c>
      <c r="B81" s="2152" t="s">
        <v>865</v>
      </c>
      <c r="C81" s="2182">
        <f ca="1">ROUND(IF(C79&lt;=0,0,IF(C80&gt;=200%,C79*60%-C73*35%,IF(C80&gt;=100%,C79*50%-C73*15%,IF(C80&gt;=50%,C79*40%-C73*5%,IF(C80&lt;50%,C79*30%,0))))),0)</f>
        <v>485</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13" t="s">
        <v>866</v>
      </c>
      <c r="B83" s="3114"/>
      <c r="C83" s="3114"/>
      <c r="D83" s="3114"/>
      <c r="E83" s="3114"/>
      <c r="F83" s="3114"/>
      <c r="G83" s="3114"/>
      <c r="H83" s="3114"/>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11" t="s">
        <v>819</v>
      </c>
      <c r="B84" s="3112"/>
      <c r="C84" s="615"/>
      <c r="D84" s="615" t="s">
        <v>820</v>
      </c>
      <c r="E84" s="2159" t="s">
        <v>774</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821</v>
      </c>
      <c r="B85" s="2147" t="s">
        <v>845</v>
      </c>
      <c r="C85" s="2150">
        <f ca="1">ROUND(D45/(1+'数据-取费表'!C42),0)</f>
        <v>817</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832</v>
      </c>
      <c r="B86" s="2073" t="s">
        <v>846</v>
      </c>
      <c r="C86" s="2150">
        <f ca="1">IF(H88="仅含出让金",C87+C90+C91+C92+C93+C94,C87+C91+C92+C93+C94)</f>
        <v>5</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825</v>
      </c>
      <c r="B87" s="567" t="s">
        <v>867</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848</v>
      </c>
      <c r="B88" s="567" t="s">
        <v>868</v>
      </c>
      <c r="C88" s="2192"/>
      <c r="D88" s="2175"/>
      <c r="E88" s="2193" t="s">
        <v>869</v>
      </c>
      <c r="F88" s="2177"/>
      <c r="G88" s="2194" t="s">
        <v>870</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853</v>
      </c>
      <c r="B89" s="567" t="s">
        <v>857</v>
      </c>
      <c r="C89" s="2174">
        <f>ROUND(C88*D89,0)</f>
        <v>0</v>
      </c>
      <c r="D89" s="2175">
        <f>'数据-取费表'!B48+'数据-取费表'!B49</f>
        <v>3.0499999999999999E-2</v>
      </c>
      <c r="E89" s="2193" t="s">
        <v>871</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829</v>
      </c>
      <c r="B90" s="567" t="s">
        <v>872</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873</v>
      </c>
      <c r="B91" s="567" t="s">
        <v>874</v>
      </c>
      <c r="C91" s="2174">
        <f>IF(H91="——",成本法!C33,I91)</f>
        <v>0</v>
      </c>
      <c r="D91" s="2175"/>
      <c r="E91" s="3119" t="s">
        <v>875</v>
      </c>
      <c r="F91" s="3120"/>
      <c r="G91" s="3120"/>
      <c r="H91" s="2196" t="s">
        <v>876</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877</v>
      </c>
      <c r="B92" s="567" t="s">
        <v>878</v>
      </c>
      <c r="C92" s="2174">
        <f>ROUND((C87+C90+C91)*D92,0)</f>
        <v>0</v>
      </c>
      <c r="D92" s="2175">
        <v>0.1</v>
      </c>
      <c r="E92" s="3119" t="s">
        <v>879</v>
      </c>
      <c r="F92" s="3120"/>
      <c r="G92" s="3120"/>
      <c r="H92" s="3121"/>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880</v>
      </c>
      <c r="B93" s="567" t="s">
        <v>860</v>
      </c>
      <c r="C93" s="2174">
        <f ca="1">ROUND(D45*D93/(1+'数据-取费表'!C42),0)</f>
        <v>5</v>
      </c>
      <c r="D93" s="2175">
        <f>'数据-取费表'!B43</f>
        <v>6.0000000000000001E-3</v>
      </c>
      <c r="E93" s="3119" t="s">
        <v>861</v>
      </c>
      <c r="F93" s="3120"/>
      <c r="G93" s="3120"/>
      <c r="H93" s="3121"/>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881</v>
      </c>
      <c r="B94" s="567" t="s">
        <v>882</v>
      </c>
      <c r="C94" s="2192">
        <f>ROUND((C87+C90+C91)*D94,0)</f>
        <v>0</v>
      </c>
      <c r="D94" s="2175">
        <v>0.2</v>
      </c>
      <c r="E94" s="3122" t="s">
        <v>883</v>
      </c>
      <c r="F94" s="3123"/>
      <c r="G94" s="3123"/>
      <c r="H94" s="3124"/>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837</v>
      </c>
      <c r="B95" s="2147" t="s">
        <v>862</v>
      </c>
      <c r="C95" s="2150">
        <f ca="1">ROUND(C85-C86,0)</f>
        <v>812</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840</v>
      </c>
      <c r="B96" s="2147" t="s">
        <v>863</v>
      </c>
      <c r="C96" s="2180">
        <f ca="1">IF(C95&lt;=0,0,C95/C86)</f>
        <v>162.4</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864</v>
      </c>
      <c r="B97" s="2152" t="s">
        <v>865</v>
      </c>
      <c r="C97" s="2182">
        <f ca="1">ROUND(IF(C95&lt;=0,0,IF(C96&gt;=200%,C95*60%-C86*35%,IF(C96&gt;=100%,C95*50%-C86*15%,IF(C96&gt;=50%,C95*40%-C86*5%,IF(C96&lt;50%,C95*30%,0))))),0)</f>
        <v>485</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884</v>
      </c>
      <c r="B99" s="1975"/>
      <c r="C99" s="1975"/>
      <c r="D99" s="1975"/>
      <c r="E99" s="2104"/>
      <c r="F99" s="2104"/>
      <c r="G99" s="2104"/>
      <c r="H99" s="2059"/>
      <c r="I99" s="274"/>
    </row>
    <row r="100" spans="1:35" ht="18.75" customHeight="1">
      <c r="A100" s="3066" t="s">
        <v>885</v>
      </c>
      <c r="B100" s="3067"/>
      <c r="C100" s="3067"/>
      <c r="D100" s="3125"/>
      <c r="E100" s="3067" t="s">
        <v>886</v>
      </c>
      <c r="F100" s="3067"/>
      <c r="G100" s="3067"/>
      <c r="H100" s="3125"/>
      <c r="I100" s="274"/>
    </row>
    <row r="101" spans="1:35" ht="18.75" customHeight="1">
      <c r="A101" s="3126" t="s">
        <v>887</v>
      </c>
      <c r="B101" s="3127"/>
      <c r="C101" s="2198" t="str">
        <f>C4</f>
        <v>比较法-住宅</v>
      </c>
      <c r="D101" s="2199" t="str">
        <f>D4</f>
        <v>收益法 (元)</v>
      </c>
      <c r="E101" s="3141" t="s">
        <v>888</v>
      </c>
      <c r="F101" s="3142"/>
      <c r="G101" s="2201" t="s">
        <v>889</v>
      </c>
      <c r="H101" s="2202">
        <f ca="1">H118</f>
        <v>858</v>
      </c>
      <c r="I101" s="274"/>
    </row>
    <row r="102" spans="1:35" ht="18.75" customHeight="1">
      <c r="A102" s="3163" t="s">
        <v>890</v>
      </c>
      <c r="B102" s="2201" t="s">
        <v>889</v>
      </c>
      <c r="C102" s="2198">
        <f ca="1">C19</f>
        <v>1001</v>
      </c>
      <c r="D102" s="2199">
        <f ca="1">D19</f>
        <v>282</v>
      </c>
      <c r="E102" s="3141"/>
      <c r="F102" s="3142"/>
      <c r="G102" s="2201" t="s">
        <v>99</v>
      </c>
      <c r="H102" s="1653">
        <f ca="1">I118</f>
        <v>66253</v>
      </c>
      <c r="I102" s="274"/>
    </row>
    <row r="103" spans="1:35" ht="42.75" customHeight="1">
      <c r="A103" s="3163"/>
      <c r="B103" s="2201" t="s">
        <v>99</v>
      </c>
      <c r="C103" s="2203">
        <f ca="1">C20</f>
        <v>77361</v>
      </c>
      <c r="D103" s="2204">
        <f ca="1">D20</f>
        <v>21821</v>
      </c>
      <c r="E103" s="3128" t="s">
        <v>891</v>
      </c>
      <c r="F103" s="3129"/>
      <c r="G103" s="2205" t="s">
        <v>102</v>
      </c>
      <c r="H103" s="2202">
        <f>IF(D36="正常操作",H104+H105+H106,H105+H106)</f>
        <v>0</v>
      </c>
      <c r="I103" s="274"/>
    </row>
    <row r="104" spans="1:35" ht="18.75" customHeight="1">
      <c r="A104" s="3163" t="s">
        <v>892</v>
      </c>
      <c r="B104" s="2206" t="s">
        <v>889</v>
      </c>
      <c r="C104" s="2207">
        <f ca="1">H118</f>
        <v>858</v>
      </c>
      <c r="D104" s="2208"/>
      <c r="E104" s="2044" t="s">
        <v>893</v>
      </c>
      <c r="F104" s="2209"/>
      <c r="G104" s="2205" t="s">
        <v>102</v>
      </c>
      <c r="H104" s="2210">
        <f>IF(D36="同一抵押权人同一抵押物续贷",C36&amp;"（未扣减，详见特别提示）",C36)</f>
        <v>0</v>
      </c>
      <c r="I104" s="274"/>
    </row>
    <row r="105" spans="1:35" ht="18.75" customHeight="1">
      <c r="A105" s="3164"/>
      <c r="B105" s="2211" t="s">
        <v>99</v>
      </c>
      <c r="C105" s="2212">
        <f ca="1">I118</f>
        <v>66253</v>
      </c>
      <c r="D105" s="2213"/>
      <c r="E105" s="2044" t="s">
        <v>894</v>
      </c>
      <c r="F105" s="2209"/>
      <c r="G105" s="2205" t="s">
        <v>102</v>
      </c>
      <c r="H105" s="2210">
        <f>C37</f>
        <v>0</v>
      </c>
      <c r="I105" s="274"/>
    </row>
    <row r="106" spans="1:35" ht="18.75" customHeight="1">
      <c r="A106" s="1975" t="s">
        <v>895</v>
      </c>
      <c r="B106" s="1975"/>
      <c r="C106" s="1975"/>
      <c r="D106" s="1975"/>
      <c r="E106" s="2214" t="s">
        <v>896</v>
      </c>
      <c r="F106" s="2209"/>
      <c r="G106" s="2205" t="s">
        <v>102</v>
      </c>
      <c r="H106" s="2210">
        <f>C38</f>
        <v>0</v>
      </c>
      <c r="I106" s="274"/>
    </row>
    <row r="107" spans="1:35" ht="18.75" customHeight="1">
      <c r="A107" s="274"/>
      <c r="B107" s="274"/>
      <c r="C107" s="274"/>
      <c r="D107" s="274"/>
      <c r="E107" s="3143" t="str">
        <f>IF(项目基本情况!E8="已注销","——","3.房地产抵押价值")</f>
        <v>3.房地产抵押价值</v>
      </c>
      <c r="F107" s="3142"/>
      <c r="G107" s="2201" t="s">
        <v>889</v>
      </c>
      <c r="H107" s="2202">
        <f ca="1">IF(E107="——","——",H101-H103)</f>
        <v>858</v>
      </c>
      <c r="I107" s="274"/>
    </row>
    <row r="108" spans="1:35" ht="18.75" customHeight="1">
      <c r="A108" s="274"/>
      <c r="B108" s="274"/>
      <c r="C108" s="274"/>
      <c r="D108" s="274"/>
      <c r="E108" s="3143"/>
      <c r="F108" s="3142"/>
      <c r="G108" s="2201" t="s">
        <v>99</v>
      </c>
      <c r="H108" s="1653">
        <f ca="1">ROUND(H107*10000/'数据-汇总表'!E3,0)</f>
        <v>42695</v>
      </c>
      <c r="I108" s="274"/>
    </row>
    <row r="109" spans="1:35" ht="18.75" customHeight="1">
      <c r="A109" s="274"/>
      <c r="B109" s="274"/>
      <c r="C109" s="274"/>
      <c r="D109" s="274"/>
      <c r="E109" s="3143" t="str">
        <f>IF(项目基本情况!E8="已注销及未注销","4.抵押担保权已注销时的房地产抵押价值",IF(项目基本情况!E8="已注销","3.抵押担保权已注销时的房地产抵押价值","——"))</f>
        <v>——</v>
      </c>
      <c r="F109" s="3142"/>
      <c r="G109" s="2201" t="s">
        <v>889</v>
      </c>
      <c r="H109" s="1610" t="str">
        <f>IF(E109="——","——",H101-H105-H106)</f>
        <v>——</v>
      </c>
      <c r="I109" s="274"/>
    </row>
    <row r="110" spans="1:35" ht="18.75" customHeight="1">
      <c r="A110" s="274"/>
      <c r="B110" s="274"/>
      <c r="C110" s="274"/>
      <c r="D110" s="274"/>
      <c r="E110" s="3143"/>
      <c r="F110" s="3142"/>
      <c r="G110" s="2201" t="s">
        <v>99</v>
      </c>
      <c r="H110" s="1653" t="str">
        <f>IF(H109="——","——",ROUND(H109*10000/'数据-汇总表'!E3,0))</f>
        <v>——</v>
      </c>
      <c r="I110" s="274"/>
    </row>
    <row r="111" spans="1:35" ht="18.75" customHeight="1">
      <c r="A111" s="274"/>
      <c r="B111" s="274"/>
      <c r="C111" s="274"/>
      <c r="D111" s="274"/>
      <c r="E111" s="3144" t="str">
        <f>IF(项目基本情况!E9="抵押净值",IF(OR(项目基本情况!E8="已注销",项目基本情况!E8="房地产抵押价值"),"4.抵押净值","5.抵押净值"),"——")</f>
        <v>——</v>
      </c>
      <c r="F111" s="3145"/>
      <c r="G111" s="2201" t="s">
        <v>889</v>
      </c>
      <c r="H111" s="2202" t="str">
        <f>IF(E111="——","——",N59)</f>
        <v>——</v>
      </c>
      <c r="I111" s="274"/>
    </row>
    <row r="112" spans="1:35" ht="18.75" customHeight="1">
      <c r="A112" s="274"/>
      <c r="B112" s="274"/>
      <c r="C112" s="274"/>
      <c r="D112" s="274"/>
      <c r="E112" s="3146"/>
      <c r="F112" s="3147"/>
      <c r="G112" s="2215" t="s">
        <v>99</v>
      </c>
      <c r="H112" s="2003" t="str">
        <f>IF(E111="——","——",N61)</f>
        <v>——</v>
      </c>
      <c r="I112" s="274"/>
    </row>
    <row r="113" spans="1:11" ht="18.75" customHeight="1">
      <c r="A113" s="274"/>
      <c r="B113" s="274"/>
      <c r="C113" s="274"/>
      <c r="D113" s="274"/>
      <c r="E113" s="3130" t="s">
        <v>895</v>
      </c>
      <c r="F113" s="3130"/>
      <c r="G113" s="3130"/>
      <c r="H113" s="3130"/>
      <c r="I113" s="274"/>
    </row>
    <row r="114" spans="1:11" ht="3.75" customHeight="1">
      <c r="A114" s="1975"/>
      <c r="B114" s="1975"/>
      <c r="C114" s="1975"/>
      <c r="D114" s="1975"/>
      <c r="E114" s="2103"/>
      <c r="F114" s="2103"/>
      <c r="G114" s="2103"/>
      <c r="H114" s="2103"/>
      <c r="I114" s="1975"/>
    </row>
    <row r="115" spans="1:11" ht="18.75" customHeight="1">
      <c r="A115" s="3131" t="s">
        <v>897</v>
      </c>
      <c r="B115" s="3132"/>
      <c r="C115" s="3132"/>
      <c r="D115" s="3132"/>
      <c r="E115" s="3132"/>
      <c r="F115" s="3132"/>
      <c r="G115" s="3132"/>
      <c r="H115" s="3132"/>
      <c r="I115" s="3133"/>
    </row>
    <row r="116" spans="1:11" ht="27" customHeight="1">
      <c r="A116" s="3045" t="s">
        <v>898</v>
      </c>
      <c r="B116" s="3139" t="s">
        <v>899</v>
      </c>
      <c r="C116" s="3139" t="s">
        <v>900</v>
      </c>
      <c r="D116" s="3134" t="s">
        <v>901</v>
      </c>
      <c r="E116" s="3135"/>
      <c r="F116" s="3136" t="s">
        <v>902</v>
      </c>
      <c r="G116" s="3136"/>
      <c r="H116" s="3045" t="s">
        <v>903</v>
      </c>
      <c r="I116" s="3045"/>
    </row>
    <row r="117" spans="1:11" ht="18.75" customHeight="1">
      <c r="A117" s="3045"/>
      <c r="B117" s="3140"/>
      <c r="C117" s="3140"/>
      <c r="D117" s="1069" t="s">
        <v>904</v>
      </c>
      <c r="E117" s="1069" t="s">
        <v>735</v>
      </c>
      <c r="F117" s="1069" t="s">
        <v>904</v>
      </c>
      <c r="G117" s="1069" t="s">
        <v>735</v>
      </c>
      <c r="H117" s="1069" t="s">
        <v>904</v>
      </c>
      <c r="I117" s="1069" t="s">
        <v>735</v>
      </c>
    </row>
    <row r="118" spans="1:11" ht="24.75" customHeight="1">
      <c r="A118" s="2217" t="str">
        <f>项目基本情况!S2</f>
        <v>北京市海淀区北洼路32号1号楼3层304、13层1305房地产</v>
      </c>
      <c r="B118" s="1069">
        <f>M18</f>
        <v>129.43</v>
      </c>
      <c r="C118" s="1069">
        <f>M19</f>
        <v>0</v>
      </c>
      <c r="D118" s="1069" t="e">
        <f ca="1">ROUND(IF(D32="总价",C34,E118*B118/10000),0)</f>
        <v>#REF!</v>
      </c>
      <c r="E118" s="1069" t="e">
        <f ca="1">ROUND(IF(C33="自定义",IF(D32="楼面单价",C34,D118*10000/B118),I118-G118),0)</f>
        <v>#REF!</v>
      </c>
      <c r="F118" s="1069" t="e">
        <f ca="1">ROUND(IF(D32="总价",C35,G118*B118/10000),0)</f>
        <v>#REF!</v>
      </c>
      <c r="G118" s="1069" t="e">
        <f ca="1">ROUND(IF(D32="楼面单价",C35,F118*10000/B118),0)</f>
        <v>#REF!</v>
      </c>
      <c r="H118" s="1069">
        <f ca="1">ROUND(IF(D32="总价",C32,I118*B118/10000),0)</f>
        <v>858</v>
      </c>
      <c r="I118" s="1069">
        <f ca="1">ROUND(IF(D32="楼面单价",C32,H118*10000/B118),0)</f>
        <v>66253</v>
      </c>
    </row>
    <row r="119" spans="1:11" ht="18.75" customHeight="1">
      <c r="A119" s="3045" t="s">
        <v>905</v>
      </c>
      <c r="B119" s="3045"/>
      <c r="C119" s="3045"/>
      <c r="D119" s="3137" t="e">
        <f ca="1">NUMBERSTRING(INT(D118*10000),2)&amp;"元整"</f>
        <v>#REF!</v>
      </c>
      <c r="E119" s="3138"/>
      <c r="F119" s="3137" t="e">
        <f ca="1">NUMBERSTRING(INT(F118*10000),2)&amp;"元整"</f>
        <v>#REF!</v>
      </c>
      <c r="G119" s="3138"/>
      <c r="H119" s="3137" t="str">
        <f ca="1">NUMBERSTRING(INT(H118*10000),2)&amp;"元整"</f>
        <v>捌佰伍拾捌万元整</v>
      </c>
      <c r="I119" s="3138"/>
    </row>
    <row r="120" spans="1:11" ht="18.75" customHeight="1">
      <c r="A120" s="3148" t="str">
        <f>IF(项目基本情况!B9="房地产市场价值","",MID(E103,3,LEN(E103)-2))</f>
        <v/>
      </c>
      <c r="B120" s="3149"/>
      <c r="C120" s="3150"/>
      <c r="D120" s="3148">
        <f>H103</f>
        <v>0</v>
      </c>
      <c r="E120" s="3149"/>
      <c r="F120" s="3149"/>
      <c r="G120" s="3149"/>
      <c r="H120" s="3149"/>
      <c r="I120" s="3150"/>
      <c r="K120" s="1972" t="str">
        <f>IF(D120=0,"故，本次评估不存在"&amp;A120,"故，本次评估"&amp;A120&amp;"为人民币"&amp;D120&amp;"万元整。")</f>
        <v>故，本次评估不存在</v>
      </c>
    </row>
    <row r="121" spans="1:11" ht="18.75" customHeight="1">
      <c r="A121" s="3151" t="s">
        <v>905</v>
      </c>
      <c r="B121" s="3152"/>
      <c r="C121" s="3153"/>
      <c r="D121" s="3137" t="str">
        <f>IF(D120=0,"零元整",NUMBERSTRING(INT(D120*10000),2)&amp;"元整")</f>
        <v>零元整</v>
      </c>
      <c r="E121" s="3154"/>
      <c r="F121" s="3154"/>
      <c r="G121" s="3154"/>
      <c r="H121" s="3154"/>
      <c r="I121" s="3138"/>
    </row>
    <row r="122" spans="1:11" ht="18.75" customHeight="1">
      <c r="A122" s="3155" t="str">
        <f>IF(项目基本情况!B9="房地产市场价值","",MID(E107,3,LEN(E107)-2))</f>
        <v/>
      </c>
      <c r="B122" s="3155"/>
      <c r="C122" s="3155"/>
      <c r="D122" s="3148">
        <f ca="1">H107</f>
        <v>858</v>
      </c>
      <c r="E122" s="3149"/>
      <c r="F122" s="3149"/>
      <c r="G122" s="3149"/>
      <c r="H122" s="3149"/>
      <c r="I122" s="3150"/>
    </row>
    <row r="123" spans="1:11" ht="18.75" customHeight="1">
      <c r="A123" s="3045" t="s">
        <v>905</v>
      </c>
      <c r="B123" s="3045"/>
      <c r="C123" s="3045"/>
      <c r="D123" s="3137" t="str">
        <f ca="1">NUMBERSTRING(INT(D122*10000),2)&amp;"元整"</f>
        <v>捌佰伍拾捌万元整</v>
      </c>
      <c r="E123" s="3154"/>
      <c r="F123" s="3154"/>
      <c r="G123" s="3154"/>
      <c r="H123" s="3154"/>
      <c r="I123" s="3138"/>
    </row>
    <row r="124" spans="1:11" ht="18.75" customHeight="1">
      <c r="A124" s="3155" t="str">
        <f>IF(项目基本情况!B9="房地产市场价值","",MID(E109,3,LEN(E109)-2))</f>
        <v/>
      </c>
      <c r="B124" s="3155"/>
      <c r="C124" s="3155"/>
      <c r="D124" s="3148" t="str">
        <f>H109</f>
        <v>——</v>
      </c>
      <c r="E124" s="3149"/>
      <c r="F124" s="3149"/>
      <c r="G124" s="3149"/>
      <c r="H124" s="3149"/>
      <c r="I124" s="3150"/>
    </row>
    <row r="125" spans="1:11" ht="18.75" customHeight="1">
      <c r="A125" s="3045" t="s">
        <v>905</v>
      </c>
      <c r="B125" s="3045"/>
      <c r="C125" s="3045"/>
      <c r="D125" s="3137" t="e">
        <f>NUMBERSTRING(INT(D124*10000),2)&amp;"元整"</f>
        <v>#VALUE!</v>
      </c>
      <c r="E125" s="3154"/>
      <c r="F125" s="3154"/>
      <c r="G125" s="3154"/>
      <c r="H125" s="3154"/>
      <c r="I125" s="3138"/>
    </row>
    <row r="126" spans="1:11" ht="18.75" customHeight="1">
      <c r="A126" s="3155" t="str">
        <f>IF(项目基本情况!B9="房地产市场价值","",MID(E111,3,LEN(E111)-2))</f>
        <v/>
      </c>
      <c r="B126" s="3155"/>
      <c r="C126" s="3155"/>
      <c r="D126" s="3148" t="str">
        <f>H111</f>
        <v>——</v>
      </c>
      <c r="E126" s="3149"/>
      <c r="F126" s="3149"/>
      <c r="G126" s="3149"/>
      <c r="H126" s="3149"/>
      <c r="I126" s="3150"/>
    </row>
    <row r="127" spans="1:11" ht="18.75" customHeight="1">
      <c r="A127" s="3045" t="s">
        <v>905</v>
      </c>
      <c r="B127" s="3045"/>
      <c r="C127" s="3045"/>
      <c r="D127" s="3137" t="e">
        <f>NUMBERSTRING(INT(D126*10000),2)&amp;"元整"</f>
        <v>#VALUE!</v>
      </c>
      <c r="E127" s="3154"/>
      <c r="F127" s="3154"/>
      <c r="G127" s="3154"/>
      <c r="H127" s="3154"/>
      <c r="I127" s="3138"/>
    </row>
    <row r="128" spans="1:11" ht="21.75" customHeight="1">
      <c r="A128" s="3156" t="s">
        <v>113</v>
      </c>
      <c r="B128" s="3156"/>
      <c r="C128" s="3156"/>
      <c r="D128" s="3156"/>
      <c r="E128" s="3156"/>
      <c r="F128" s="3156"/>
      <c r="G128" s="3156"/>
      <c r="H128" s="3156"/>
      <c r="I128" s="3156"/>
    </row>
    <row r="129" spans="1:35" ht="21.75" customHeight="1">
      <c r="A129" s="2228" t="s">
        <v>906</v>
      </c>
      <c r="B129" s="2229"/>
      <c r="C129" s="2230" t="s">
        <v>907</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908</v>
      </c>
      <c r="G135" s="2242"/>
      <c r="H135" s="2242"/>
      <c r="I135" s="2250" t="s">
        <v>909</v>
      </c>
    </row>
    <row r="136" spans="1:35" ht="21.75" customHeight="1">
      <c r="A136" s="233"/>
      <c r="B136" s="2243" t="s">
        <v>910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911</v>
      </c>
    </row>
    <row r="139" spans="1:35" ht="21.75" customHeight="1">
      <c r="A139" s="233"/>
      <c r="B139" s="2243" t="s">
        <v>912</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911</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913</v>
      </c>
      <c r="B1" s="1956"/>
      <c r="C1" s="142"/>
      <c r="D1" s="142"/>
      <c r="E1" s="142"/>
      <c r="F1" s="142"/>
      <c r="G1" s="1958">
        <f>MATCH(B1,'数据-取费表'!A6:A16,0)+5</f>
        <v>8</v>
      </c>
    </row>
    <row r="2" spans="1:9" s="132" customFormat="1" ht="18" customHeight="1">
      <c r="A2" s="144" t="s">
        <v>914</v>
      </c>
      <c r="B2" s="145">
        <f ca="1">IF(D2="——",C52,C52-E2)</f>
        <v>71</v>
      </c>
      <c r="C2" s="143" t="s">
        <v>915</v>
      </c>
      <c r="D2" s="1959" t="s">
        <v>124</v>
      </c>
      <c r="E2" s="1960" t="e">
        <f ca="1">SUMIF(INDIRECT("'"&amp;G2&amp;"'"&amp;"!A:A"),"承租人权益价值",INDIRECT("'"&amp;G2&amp;"'"&amp;"!c:c"))</f>
        <v>#REF!</v>
      </c>
      <c r="F2" s="1961" t="s">
        <v>915</v>
      </c>
      <c r="G2" s="1962"/>
    </row>
    <row r="3" spans="1:9" s="132" customFormat="1" ht="18" customHeight="1">
      <c r="A3" s="147" t="s">
        <v>916</v>
      </c>
      <c r="B3" s="148">
        <f ca="1">ROUND(B2*10000/(IF(B1="",'数据-汇总表'!E3,INDIRECT("'数据-取费表'!k"&amp;$G$1))),0)</f>
        <v>3533</v>
      </c>
      <c r="C3" s="143" t="s">
        <v>917</v>
      </c>
      <c r="D3" s="143"/>
      <c r="E3" s="143"/>
      <c r="F3" s="143"/>
      <c r="G3" s="143"/>
    </row>
    <row r="4" spans="1:9" s="133" customFormat="1" ht="15.75">
      <c r="A4" s="149" t="s">
        <v>918</v>
      </c>
      <c r="B4" s="150"/>
      <c r="C4" s="150"/>
      <c r="D4" s="150"/>
      <c r="E4" s="150"/>
      <c r="F4" s="150"/>
      <c r="G4" s="151"/>
    </row>
    <row r="5" spans="1:9" s="134" customFormat="1" ht="13.5" customHeight="1">
      <c r="A5" s="152" t="s">
        <v>919</v>
      </c>
      <c r="B5" s="153" t="s">
        <v>920</v>
      </c>
      <c r="C5" s="154">
        <f>C6+C7+C8</f>
        <v>0</v>
      </c>
      <c r="D5" s="154" t="s">
        <v>921</v>
      </c>
      <c r="E5" s="155" t="s">
        <v>922</v>
      </c>
      <c r="F5" s="155" t="s">
        <v>820</v>
      </c>
      <c r="G5" s="156"/>
    </row>
    <row r="6" spans="1:9" s="134" customFormat="1" ht="13.5" customHeight="1">
      <c r="A6" s="157" t="s">
        <v>923</v>
      </c>
      <c r="B6" s="158" t="s">
        <v>924</v>
      </c>
      <c r="C6" s="159"/>
      <c r="D6" s="160"/>
      <c r="E6" s="161"/>
      <c r="F6" s="161"/>
      <c r="G6" s="162"/>
    </row>
    <row r="7" spans="1:9" s="134" customFormat="1" ht="13.5" customHeight="1">
      <c r="A7" s="157" t="s">
        <v>925</v>
      </c>
      <c r="B7" s="158" t="s">
        <v>926</v>
      </c>
      <c r="C7" s="163">
        <f>ROUND(C6*F7,0)</f>
        <v>0</v>
      </c>
      <c r="D7" s="163"/>
      <c r="E7" s="161"/>
      <c r="F7" s="164">
        <f>'数据-取费表'!B48+'数据-取费表'!B49</f>
        <v>3.0499999999999999E-2</v>
      </c>
      <c r="G7" s="162"/>
    </row>
    <row r="8" spans="1:9" s="135" customFormat="1">
      <c r="A8" s="157" t="s">
        <v>927</v>
      </c>
      <c r="B8" s="158" t="s">
        <v>928</v>
      </c>
      <c r="C8" s="163">
        <f>IF(G8="已包含在土地购买价格中","0",IF(B1="",'数据-取费表'!B29,IF(G9="全部缴纳",C9+C10,H9)))</f>
        <v>0</v>
      </c>
      <c r="D8" s="165"/>
      <c r="E8" s="163"/>
      <c r="F8" s="164"/>
      <c r="G8" s="1963"/>
    </row>
    <row r="9" spans="1:9" s="134" customFormat="1" ht="13.5" customHeight="1">
      <c r="A9" s="167" t="s">
        <v>929</v>
      </c>
      <c r="B9" s="168" t="s">
        <v>930</v>
      </c>
      <c r="C9" s="169">
        <f ca="1">ROUND(D9*E9/10000,0)</f>
        <v>3</v>
      </c>
      <c r="D9" s="170">
        <f ca="1">IF(B1="",'数据-汇总表'!E5,IF(INDIRECT("'数据-取费表'!c"&amp;$G$1)="住宅",INDIRECT("'数据-取费表'!k"&amp;$G$1),0))</f>
        <v>200.96</v>
      </c>
      <c r="E9" s="169">
        <f>'数据-取费表'!B27</f>
        <v>160</v>
      </c>
      <c r="F9" s="164"/>
      <c r="G9" s="1967"/>
      <c r="H9" s="1968"/>
      <c r="I9" s="1969" t="s">
        <v>931</v>
      </c>
    </row>
    <row r="10" spans="1:9" s="134" customFormat="1" ht="13.5" customHeight="1">
      <c r="A10" s="167" t="s">
        <v>932</v>
      </c>
      <c r="B10" s="168" t="s">
        <v>933</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934</v>
      </c>
      <c r="B11" s="158" t="s">
        <v>935</v>
      </c>
      <c r="C11" s="154"/>
      <c r="D11" s="173"/>
      <c r="E11" s="161"/>
      <c r="F11" s="161"/>
      <c r="G11" s="162"/>
    </row>
    <row r="12" spans="1:9" s="134" customFormat="1" ht="13.5" hidden="1" customHeight="1">
      <c r="A12" s="172" t="s">
        <v>936</v>
      </c>
      <c r="B12" s="158" t="s">
        <v>857</v>
      </c>
      <c r="C12" s="154">
        <v>0</v>
      </c>
      <c r="D12" s="173"/>
      <c r="E12" s="174"/>
      <c r="F12" s="164">
        <v>3.0499999999999999E-2</v>
      </c>
      <c r="G12" s="162"/>
    </row>
    <row r="13" spans="1:9" s="134" customFormat="1" ht="13.5" hidden="1" customHeight="1">
      <c r="A13" s="172" t="s">
        <v>937</v>
      </c>
      <c r="B13" s="158" t="s">
        <v>938</v>
      </c>
      <c r="C13" s="154"/>
      <c r="D13" s="173"/>
      <c r="E13" s="161"/>
      <c r="F13" s="161"/>
      <c r="G13" s="162"/>
    </row>
    <row r="14" spans="1:9" s="134" customFormat="1" ht="13.5" hidden="1" customHeight="1">
      <c r="A14" s="172" t="s">
        <v>939</v>
      </c>
      <c r="B14" s="158" t="s">
        <v>928</v>
      </c>
      <c r="C14" s="154"/>
      <c r="D14" s="173"/>
      <c r="E14" s="161"/>
      <c r="F14" s="161"/>
      <c r="G14" s="162" t="s">
        <v>940</v>
      </c>
    </row>
    <row r="15" spans="1:9" s="134" customFormat="1" ht="13.5" hidden="1" customHeight="1">
      <c r="A15" s="172" t="s">
        <v>941</v>
      </c>
      <c r="B15" s="158" t="s">
        <v>942</v>
      </c>
      <c r="C15" s="163"/>
      <c r="D15" s="173"/>
      <c r="E15" s="161"/>
      <c r="F15" s="161"/>
      <c r="G15" s="162" t="s">
        <v>943</v>
      </c>
    </row>
    <row r="16" spans="1:9"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IF(G19="已包含在土地取得成本中","0",ROUND(D19*E19/10000,0))</f>
        <v>4</v>
      </c>
      <c r="D19" s="178">
        <f ca="1">D9+D10</f>
        <v>200.96</v>
      </c>
      <c r="E19" s="154">
        <f>'数据-取费表'!B31</f>
        <v>200</v>
      </c>
      <c r="F19" s="179"/>
      <c r="G19" s="1963"/>
    </row>
    <row r="20" spans="1:7" s="134" customFormat="1" ht="13.5" customHeight="1">
      <c r="A20" s="152" t="s">
        <v>952</v>
      </c>
      <c r="B20" s="153" t="s">
        <v>953</v>
      </c>
      <c r="C20" s="180">
        <f ca="1">ROUND((C5+C19)*F20,0)</f>
        <v>0</v>
      </c>
      <c r="D20" s="180"/>
      <c r="E20" s="180"/>
      <c r="F20" s="181">
        <f>'数据-取费表'!B37</f>
        <v>0.02</v>
      </c>
      <c r="G20" s="185" t="s">
        <v>954</v>
      </c>
    </row>
    <row r="21" spans="1:7" s="134" customFormat="1" ht="13.5" customHeight="1">
      <c r="A21" s="152" t="s">
        <v>955</v>
      </c>
      <c r="B21" s="153" t="s">
        <v>956</v>
      </c>
      <c r="C21" s="183">
        <f>F21</f>
        <v>0.02</v>
      </c>
      <c r="D21" s="184" t="s">
        <v>957</v>
      </c>
      <c r="E21" s="180"/>
      <c r="F21" s="181">
        <f>'数据-取费表'!B38</f>
        <v>0.02</v>
      </c>
      <c r="G21" s="185" t="s">
        <v>958</v>
      </c>
    </row>
    <row r="22" spans="1:7" s="134" customFormat="1" ht="13.5" customHeight="1">
      <c r="A22" s="152" t="s">
        <v>959</v>
      </c>
      <c r="B22" s="153" t="s">
        <v>960</v>
      </c>
      <c r="C22" s="186">
        <f ca="1">ROUND(SUM(C23:C25),0)</f>
        <v>0</v>
      </c>
      <c r="D22" s="183">
        <f ca="1">C26</f>
        <v>1E-3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89">
        <f ca="1">ROUND(IF('数据-取费表'!B22&lt;=1,C5*F22*'数据-取费表'!B23,C5*(POWER((1+F22),'数据-取费表'!B23)-1)),0)</f>
        <v>0</v>
      </c>
      <c r="D23" s="190"/>
      <c r="E23" s="190"/>
      <c r="F23" s="191"/>
      <c r="G23" s="192" t="s">
        <v>962</v>
      </c>
    </row>
    <row r="24" spans="1:7" s="134" customFormat="1" ht="13.5" customHeight="1">
      <c r="A24" s="188" t="s">
        <v>925</v>
      </c>
      <c r="B24" s="158" t="s">
        <v>963</v>
      </c>
      <c r="C24" s="189">
        <f ca="1">ROUND(IF('数据-取费表'!B22&lt;=1,C19*F22*('数据-取费表'!B19/2+'数据-取费表'!B21),C19*(POWER((1+F22),('数据-取费表'!B19/2+'数据-取费表'!B21))-1)),0)</f>
        <v>0</v>
      </c>
      <c r="D24" s="190"/>
      <c r="E24" s="190"/>
      <c r="F24" s="191"/>
      <c r="G24" s="192" t="s">
        <v>964</v>
      </c>
    </row>
    <row r="25" spans="1:7" s="134" customFormat="1" ht="24">
      <c r="A25" s="188" t="s">
        <v>927</v>
      </c>
      <c r="B25" s="158" t="s">
        <v>965</v>
      </c>
      <c r="C25" s="189">
        <f ca="1">ROUND(IF('数据-取费表'!B22&lt;=1,C20*F22*'数据-取费表'!B23/2,C20*(POWER((1+F22),'数据-取费表'!B23/2)-1)),0)</f>
        <v>0</v>
      </c>
      <c r="D25" s="190"/>
      <c r="E25" s="193"/>
      <c r="F25" s="191"/>
      <c r="G25" s="194" t="s">
        <v>966</v>
      </c>
    </row>
    <row r="26" spans="1:7" s="134" customFormat="1">
      <c r="A26" s="188" t="s">
        <v>967</v>
      </c>
      <c r="B26" s="158" t="s">
        <v>968</v>
      </c>
      <c r="C26" s="190">
        <f ca="1">ROUND(IF('数据-取费表'!B22&lt;=1,F21*F22*'数据-取费表'!B23/2,F21*(POWER((1+F22),'数据-取费表'!B23/2)-1)),4)</f>
        <v>1E-3</v>
      </c>
      <c r="D26" s="190"/>
      <c r="E26" s="193"/>
      <c r="F26" s="191"/>
      <c r="G26" s="195"/>
    </row>
    <row r="27" spans="1:7" s="134" customFormat="1" ht="24.75">
      <c r="A27" s="152" t="s">
        <v>969</v>
      </c>
      <c r="B27" s="196" t="s">
        <v>970</v>
      </c>
      <c r="C27" s="197">
        <f ca="1">C28</f>
        <v>1</v>
      </c>
      <c r="D27" s="183">
        <f ca="1">C29</f>
        <v>5.0000000000000001E-3</v>
      </c>
      <c r="E27" s="184" t="s">
        <v>957</v>
      </c>
      <c r="F27" s="198">
        <f ca="1">IF(B1="",'数据-取费表'!Q16,INDIRECT("'数据-取费表'!q"&amp;$G$1))</f>
        <v>0.25</v>
      </c>
      <c r="G27" s="199" t="s">
        <v>971</v>
      </c>
    </row>
    <row r="28" spans="1:7" s="134" customFormat="1" ht="13.5" customHeight="1">
      <c r="A28" s="188" t="s">
        <v>923</v>
      </c>
      <c r="B28" s="200" t="s">
        <v>972</v>
      </c>
      <c r="C28" s="201">
        <f ca="1">ROUND((C5+C19+C20)*F27*'数据-取费表'!B21/'数据-取费表'!B20,0)</f>
        <v>1</v>
      </c>
      <c r="D28" s="183"/>
      <c r="E28" s="184"/>
      <c r="F28" s="198"/>
      <c r="G28" s="199"/>
    </row>
    <row r="29" spans="1:7" s="134" customFormat="1" ht="13.5" customHeight="1">
      <c r="A29" s="188" t="s">
        <v>925</v>
      </c>
      <c r="B29" s="200" t="s">
        <v>973</v>
      </c>
      <c r="C29" s="190">
        <f ca="1">ROUND(C21*F27*'数据-取费表'!B21/'数据-取费表'!B20,4)</f>
        <v>5.0000000000000001E-3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5</v>
      </c>
      <c r="D31" s="203"/>
      <c r="E31" s="154"/>
      <c r="F31" s="204"/>
      <c r="G31" s="185" t="s">
        <v>978</v>
      </c>
    </row>
    <row r="32" spans="1:7" s="133" customFormat="1" ht="15.75">
      <c r="A32" s="205" t="s">
        <v>979</v>
      </c>
      <c r="B32" s="206"/>
      <c r="C32" s="206"/>
      <c r="D32" s="206"/>
      <c r="E32" s="206"/>
      <c r="F32" s="206"/>
      <c r="G32" s="207"/>
    </row>
    <row r="33" spans="1:7" s="134" customFormat="1" ht="13.5" customHeight="1">
      <c r="A33" s="152" t="s">
        <v>919</v>
      </c>
      <c r="B33" s="153" t="s">
        <v>980</v>
      </c>
      <c r="C33" s="208">
        <f ca="1">SUM(C34:C38)</f>
        <v>60</v>
      </c>
      <c r="D33" s="180"/>
      <c r="E33" s="155"/>
      <c r="F33" s="193"/>
      <c r="G33" s="185"/>
    </row>
    <row r="34" spans="1:7" s="136" customFormat="1" ht="13.5" customHeight="1">
      <c r="A34" s="188" t="s">
        <v>923</v>
      </c>
      <c r="B34" s="158" t="s">
        <v>981</v>
      </c>
      <c r="C34" s="163">
        <f ca="1">IF(B1="",IF(F34=100%,'数据-取费表'!M16,'数据-取费表'!O16),IF(F34=100%,INDIRECT("'数据-取费表'!m"&amp;$G$1)+INDIRECT("'数据-取费表'!t"&amp;$G$1),INDIRECT("'数据-取费表'!o"&amp;$G$1)+INDIRECT("'数据-取费表'!aq"&amp;$G$1)))</f>
        <v>50</v>
      </c>
      <c r="D34" s="160"/>
      <c r="E34" s="163"/>
      <c r="F34" s="209">
        <f ca="1">IF('数据-取费表'!B24=0,1,IF(B1="",'数据-取费表'!N16,INDIRECT("'数据-取费表'!n"&amp;$G$1)))</f>
        <v>1</v>
      </c>
      <c r="G34" s="162" t="s">
        <v>982</v>
      </c>
    </row>
    <row r="35" spans="1:7" ht="13.5" customHeight="1">
      <c r="A35" s="188" t="s">
        <v>925</v>
      </c>
      <c r="B35" s="158" t="s">
        <v>983</v>
      </c>
      <c r="C35" s="163">
        <f ca="1">ROUND(C34*F35,0)</f>
        <v>2</v>
      </c>
      <c r="D35" s="163"/>
      <c r="E35" s="163"/>
      <c r="F35" s="210">
        <f>'数据-取费表'!B33</f>
        <v>0.03</v>
      </c>
      <c r="G35" s="162" t="s">
        <v>984</v>
      </c>
    </row>
    <row r="36" spans="1:7" ht="24">
      <c r="A36" s="188" t="s">
        <v>927</v>
      </c>
      <c r="B36" s="158" t="s">
        <v>985</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986</v>
      </c>
    </row>
    <row r="37" spans="1:7" s="136" customFormat="1" ht="13.5" customHeight="1">
      <c r="A37" s="188" t="s">
        <v>967</v>
      </c>
      <c r="B37" s="158" t="s">
        <v>987</v>
      </c>
      <c r="C37" s="201">
        <f ca="1">ROUND(E37*D37*F34/10000,0)</f>
        <v>4</v>
      </c>
      <c r="D37" s="160">
        <f ca="1">D19</f>
        <v>200.96</v>
      </c>
      <c r="E37" s="201">
        <f>'数据-取费表'!B35</f>
        <v>200</v>
      </c>
      <c r="F37" s="210"/>
      <c r="G37" s="212" t="s">
        <v>988</v>
      </c>
    </row>
    <row r="38" spans="1:7" ht="13.5" customHeight="1">
      <c r="A38" s="188" t="s">
        <v>989</v>
      </c>
      <c r="B38" s="158" t="s">
        <v>857</v>
      </c>
      <c r="C38" s="163">
        <f ca="1">ROUND(C34*F38,0)</f>
        <v>1</v>
      </c>
      <c r="D38" s="163"/>
      <c r="E38" s="163"/>
      <c r="F38" s="210">
        <f>'数据-取费表'!B36</f>
        <v>1.4999999999999999E-2</v>
      </c>
      <c r="G38" s="162" t="s">
        <v>984</v>
      </c>
    </row>
    <row r="39" spans="1:7" s="134" customFormat="1" ht="13.5" customHeight="1">
      <c r="A39" s="152" t="s">
        <v>950</v>
      </c>
      <c r="B39" s="153" t="s">
        <v>953</v>
      </c>
      <c r="C39" s="180">
        <f ca="1">ROUND(C33*F20,0)</f>
        <v>1</v>
      </c>
      <c r="D39" s="180"/>
      <c r="E39" s="180"/>
      <c r="F39" s="181"/>
      <c r="G39" s="185" t="s">
        <v>990</v>
      </c>
    </row>
    <row r="40" spans="1:7" s="134" customFormat="1" ht="13.5" customHeight="1">
      <c r="A40" s="152" t="s">
        <v>952</v>
      </c>
      <c r="B40" s="153" t="s">
        <v>956</v>
      </c>
      <c r="C40" s="1966">
        <f>F21</f>
        <v>0.02</v>
      </c>
      <c r="D40" s="184" t="s">
        <v>991</v>
      </c>
      <c r="E40" s="180"/>
      <c r="F40" s="181"/>
      <c r="G40" s="185" t="s">
        <v>992</v>
      </c>
    </row>
    <row r="41" spans="1:7" s="134" customFormat="1" ht="13.5" customHeight="1">
      <c r="A41" s="152" t="s">
        <v>955</v>
      </c>
      <c r="B41" s="153" t="s">
        <v>960</v>
      </c>
      <c r="C41" s="180">
        <f ca="1">ROUND(SUM(C42:C43),0)</f>
        <v>3</v>
      </c>
      <c r="D41" s="183">
        <f ca="1">C44</f>
        <v>1E-3</v>
      </c>
      <c r="E41" s="184" t="s">
        <v>991</v>
      </c>
      <c r="F41" s="187"/>
      <c r="G41" s="185" t="str">
        <f>IF('数据-取费表'!B22&lt;=1,"单利计息","复利计息")</f>
        <v>复利计息</v>
      </c>
    </row>
    <row r="42" spans="1:7" ht="13.5" customHeight="1">
      <c r="A42" s="188" t="s">
        <v>923</v>
      </c>
      <c r="B42" s="158" t="s">
        <v>961</v>
      </c>
      <c r="C42" s="190">
        <f ca="1">ROUND(IF('数据-取费表'!B22&lt;=1,C33*F22*'数据-取费表'!B21/2,C33*(POWER((1+F22),'数据-取费表'!B21/2)-1)),0)</f>
        <v>3</v>
      </c>
      <c r="D42" s="190"/>
      <c r="E42" s="190"/>
      <c r="F42" s="191"/>
      <c r="G42" s="3165" t="s">
        <v>993</v>
      </c>
    </row>
    <row r="43" spans="1:7" ht="13.5" customHeight="1">
      <c r="A43" s="188" t="s">
        <v>925</v>
      </c>
      <c r="B43" s="158" t="s">
        <v>963</v>
      </c>
      <c r="C43" s="190">
        <f ca="1">ROUND(IF('数据-取费表'!B22&lt;=1,C39*F22*'数据-取费表'!B21/2,C39*(POWER((1+F22),'数据-取费表'!B21/2)-1)),0)</f>
        <v>0</v>
      </c>
      <c r="D43" s="190"/>
      <c r="E43" s="190"/>
      <c r="F43" s="191"/>
      <c r="G43" s="3166"/>
    </row>
    <row r="44" spans="1:7" ht="13.5" customHeight="1">
      <c r="A44" s="188" t="s">
        <v>927</v>
      </c>
      <c r="B44" s="158" t="s">
        <v>965</v>
      </c>
      <c r="C44" s="190">
        <f ca="1">ROUND(IF('数据-取费表'!B22&lt;=1,C40*F22*'数据-取费表'!B21/2,C40*(POWER((1+F22),'数据-取费表'!B21/2)-1)),4)</f>
        <v>1E-3</v>
      </c>
      <c r="D44" s="190"/>
      <c r="E44" s="190"/>
      <c r="F44" s="191"/>
      <c r="G44" s="3167"/>
    </row>
    <row r="45" spans="1:7" s="134" customFormat="1" ht="13.5" customHeight="1">
      <c r="A45" s="152" t="s">
        <v>959</v>
      </c>
      <c r="B45" s="196" t="s">
        <v>970</v>
      </c>
      <c r="C45" s="197">
        <f ca="1">C46</f>
        <v>15</v>
      </c>
      <c r="D45" s="183">
        <f ca="1">C47</f>
        <v>5.0000000000000001E-3</v>
      </c>
      <c r="E45" s="184" t="s">
        <v>991</v>
      </c>
      <c r="F45" s="198"/>
      <c r="G45" s="199" t="s">
        <v>994</v>
      </c>
    </row>
    <row r="46" spans="1:7" s="134" customFormat="1" ht="13.5" customHeight="1">
      <c r="A46" s="188" t="s">
        <v>923</v>
      </c>
      <c r="B46" s="200" t="s">
        <v>995</v>
      </c>
      <c r="C46" s="201">
        <f ca="1">ROUND((C33+C39)*F27,0)</f>
        <v>15</v>
      </c>
      <c r="D46" s="214"/>
      <c r="E46" s="184"/>
      <c r="F46" s="198"/>
      <c r="G46" s="199"/>
    </row>
    <row r="47" spans="1:7" s="134" customFormat="1" ht="13.5" customHeight="1">
      <c r="A47" s="188" t="s">
        <v>925</v>
      </c>
      <c r="B47" s="200" t="s">
        <v>996</v>
      </c>
      <c r="C47" s="190">
        <f ca="1">ROUND(C40*F27,4)</f>
        <v>5.0000000000000001E-3</v>
      </c>
      <c r="D47" s="214"/>
      <c r="E47" s="184"/>
      <c r="F47" s="198"/>
      <c r="G47" s="199"/>
    </row>
    <row r="48" spans="1:7" s="134" customFormat="1" ht="13.5" customHeight="1">
      <c r="A48" s="152" t="s">
        <v>969</v>
      </c>
      <c r="B48" s="153" t="s">
        <v>975</v>
      </c>
      <c r="C48" s="1966">
        <f>ROUND(F30/(1+'数据-取费表'!C42),4)</f>
        <v>5.33E-2</v>
      </c>
      <c r="D48" s="184" t="s">
        <v>991</v>
      </c>
      <c r="E48" s="180"/>
      <c r="F48" s="187"/>
      <c r="G48" s="185" t="s">
        <v>997</v>
      </c>
    </row>
    <row r="49" spans="1:7" ht="16.5" customHeight="1">
      <c r="A49" s="152" t="s">
        <v>974</v>
      </c>
      <c r="B49" s="153" t="s">
        <v>998</v>
      </c>
      <c r="C49" s="180">
        <f ca="1">ROUND((C33+C39+C41+C45)/(1-C40-D41-D45-C48),0)</f>
        <v>86</v>
      </c>
      <c r="D49" s="180"/>
      <c r="E49" s="180"/>
      <c r="F49" s="215"/>
      <c r="G49" s="185" t="s">
        <v>999</v>
      </c>
    </row>
    <row r="50" spans="1:7" s="136" customFormat="1" ht="24">
      <c r="A50" s="152" t="s">
        <v>1000</v>
      </c>
      <c r="B50" s="153" t="s">
        <v>1001</v>
      </c>
      <c r="C50" s="180"/>
      <c r="D50" s="180"/>
      <c r="E50" s="180"/>
      <c r="F50" s="215">
        <f>IF('数据-取费表'!B24=0,'数据-取费表'!N16,1)</f>
        <v>0.77</v>
      </c>
      <c r="G50" s="199" t="s">
        <v>1002</v>
      </c>
    </row>
    <row r="51" spans="1:7" ht="16.5" customHeight="1">
      <c r="A51" s="152" t="s">
        <v>1003</v>
      </c>
      <c r="B51" s="153" t="s">
        <v>1004</v>
      </c>
      <c r="C51" s="180">
        <f ca="1">ROUND(C49*F50,0)</f>
        <v>66</v>
      </c>
      <c r="D51" s="180"/>
      <c r="E51" s="180"/>
      <c r="F51" s="215"/>
      <c r="G51" s="185" t="s">
        <v>1005</v>
      </c>
    </row>
    <row r="52" spans="1:7" s="133" customFormat="1" ht="15.75">
      <c r="A52" s="216" t="s">
        <v>1006</v>
      </c>
      <c r="B52" s="217"/>
      <c r="C52" s="218">
        <f ca="1">C31+C51</f>
        <v>71</v>
      </c>
      <c r="D52" s="217"/>
      <c r="E52" s="217"/>
      <c r="F52" s="217"/>
      <c r="G52" s="219"/>
    </row>
    <row r="55" spans="1:7" ht="15">
      <c r="B55" s="220" t="s">
        <v>1007</v>
      </c>
      <c r="C55" s="221"/>
    </row>
    <row r="56" spans="1:7">
      <c r="B56" s="222" t="s">
        <v>1008</v>
      </c>
      <c r="C56" s="224">
        <f ca="1">1-C57</f>
        <v>6.9999999999999951E-2</v>
      </c>
    </row>
    <row r="57" spans="1:7">
      <c r="B57" s="222" t="s">
        <v>1009</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79" t="str">
        <f>项目基本情况!B1</f>
        <v>北京市海淀区北洼路32号1号楼3层304、13层1305房地产市场价值预评估</v>
      </c>
      <c r="C37" s="2979"/>
      <c r="D37" s="2979"/>
      <c r="E37" s="2979"/>
      <c r="F37" s="2979"/>
      <c r="G37" s="2979"/>
      <c r="H37" s="2979"/>
      <c r="I37" s="2979"/>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913</v>
      </c>
      <c r="B1" s="1956"/>
      <c r="C1" s="1957" t="s">
        <v>1010</v>
      </c>
      <c r="D1" s="142"/>
      <c r="E1" s="142"/>
      <c r="F1" s="142"/>
      <c r="G1" s="1958">
        <f>MATCH(B1,'数据-取费表'!A6:A16,0)+5</f>
        <v>8</v>
      </c>
      <c r="H1" s="1481" t="str">
        <f>IF(ISERROR(FIND("住宅",B1)),"非住宅","住宅")</f>
        <v>非住宅</v>
      </c>
    </row>
    <row r="2" spans="1:8" s="132" customFormat="1" ht="18" customHeight="1">
      <c r="A2" s="144" t="s">
        <v>914</v>
      </c>
      <c r="B2" s="145">
        <f ca="1">ROUND(IF(D2="——",C52/10000,C52/10000-E2),0)</f>
        <v>76</v>
      </c>
      <c r="C2" s="143" t="s">
        <v>915</v>
      </c>
      <c r="D2" s="1959" t="s">
        <v>124</v>
      </c>
      <c r="E2" s="1960" t="e">
        <f ca="1">SUMIF(INDIRECT("'"&amp;G2&amp;"'"&amp;"!A:A"),"承租人权益价值",INDIRECT("'"&amp;G2&amp;"'"&amp;"!c:c"))</f>
        <v>#REF!</v>
      </c>
      <c r="F2" s="1961" t="s">
        <v>915</v>
      </c>
      <c r="G2" s="1962"/>
    </row>
    <row r="3" spans="1:8" s="132" customFormat="1" ht="18" customHeight="1">
      <c r="A3" s="147" t="s">
        <v>916</v>
      </c>
      <c r="B3" s="148">
        <f ca="1">ROUND(B2*10000/(IF(B1="",'数据-汇总表'!E3,INDIRECT("'数据-取费表'!k"&amp;$G$1))),0)</f>
        <v>3782</v>
      </c>
      <c r="C3" s="143" t="s">
        <v>917</v>
      </c>
      <c r="D3" s="143"/>
      <c r="E3" s="143"/>
      <c r="F3" s="143"/>
      <c r="G3" s="143"/>
    </row>
    <row r="4" spans="1:8" s="133" customFormat="1" ht="15.75">
      <c r="A4" s="149" t="s">
        <v>918</v>
      </c>
      <c r="B4" s="150"/>
      <c r="C4" s="150"/>
      <c r="D4" s="150"/>
      <c r="E4" s="150"/>
      <c r="F4" s="150"/>
      <c r="G4" s="151"/>
    </row>
    <row r="5" spans="1:8" s="134" customFormat="1" ht="13.5" customHeight="1">
      <c r="A5" s="152" t="s">
        <v>919</v>
      </c>
      <c r="B5" s="153" t="s">
        <v>920</v>
      </c>
      <c r="C5" s="154">
        <f ca="1">C6+C7+C8</f>
        <v>32154</v>
      </c>
      <c r="D5" s="154" t="s">
        <v>921</v>
      </c>
      <c r="E5" s="155" t="s">
        <v>922</v>
      </c>
      <c r="F5" s="155" t="s">
        <v>820</v>
      </c>
      <c r="G5" s="156"/>
    </row>
    <row r="6" spans="1:8" s="134" customFormat="1" ht="13.5" customHeight="1">
      <c r="A6" s="157" t="s">
        <v>923</v>
      </c>
      <c r="B6" s="158" t="s">
        <v>924</v>
      </c>
      <c r="C6" s="159"/>
      <c r="D6" s="160"/>
      <c r="E6" s="161"/>
      <c r="F6" s="161"/>
      <c r="G6" s="162"/>
    </row>
    <row r="7" spans="1:8" s="134" customFormat="1" ht="13.5" customHeight="1">
      <c r="A7" s="157" t="s">
        <v>925</v>
      </c>
      <c r="B7" s="158" t="s">
        <v>926</v>
      </c>
      <c r="C7" s="163">
        <f>ROUND(C6*F7,0)</f>
        <v>0</v>
      </c>
      <c r="D7" s="163"/>
      <c r="E7" s="161"/>
      <c r="F7" s="164">
        <f>'数据-取费表'!B48+'数据-取费表'!B49</f>
        <v>3.0499999999999999E-2</v>
      </c>
      <c r="G7" s="162"/>
    </row>
    <row r="8" spans="1:8" s="135" customFormat="1">
      <c r="A8" s="157" t="s">
        <v>927</v>
      </c>
      <c r="B8" s="158" t="s">
        <v>928</v>
      </c>
      <c r="C8" s="163">
        <f ca="1">IF(G8="已包含在土地购买价格中",0,C9+C10)</f>
        <v>32154</v>
      </c>
      <c r="D8" s="165"/>
      <c r="E8" s="163"/>
      <c r="F8" s="164"/>
      <c r="G8" s="1963"/>
    </row>
    <row r="9" spans="1:8" s="134" customFormat="1" ht="13.5" customHeight="1">
      <c r="A9" s="167" t="s">
        <v>929</v>
      </c>
      <c r="B9" s="168" t="s">
        <v>930</v>
      </c>
      <c r="C9" s="169">
        <f ca="1">ROUND(D9*E9,0)</f>
        <v>32154</v>
      </c>
      <c r="D9" s="170">
        <f ca="1">IF(B1="",'数据-汇总表'!E5,IF(INDIRECT("'数据-取费表'!c"&amp;$G$1)="住宅",INDIRECT("'数据-取费表'!k"&amp;$G$1),0))</f>
        <v>200.96</v>
      </c>
      <c r="E9" s="169">
        <f>'数据-取费表'!B27</f>
        <v>160</v>
      </c>
      <c r="F9" s="164"/>
      <c r="G9" s="171"/>
    </row>
    <row r="10" spans="1:8" s="134" customFormat="1" ht="13.5" customHeight="1">
      <c r="A10" s="167" t="s">
        <v>932</v>
      </c>
      <c r="B10" s="168" t="s">
        <v>933</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934</v>
      </c>
      <c r="B11" s="158" t="s">
        <v>935</v>
      </c>
      <c r="C11" s="154"/>
      <c r="D11" s="173"/>
      <c r="E11" s="161"/>
      <c r="F11" s="161"/>
      <c r="G11" s="162"/>
    </row>
    <row r="12" spans="1:8" s="134" customFormat="1" ht="13.5" hidden="1" customHeight="1">
      <c r="A12" s="172" t="s">
        <v>936</v>
      </c>
      <c r="B12" s="158" t="s">
        <v>857</v>
      </c>
      <c r="C12" s="154">
        <v>0</v>
      </c>
      <c r="D12" s="173"/>
      <c r="E12" s="174"/>
      <c r="F12" s="164">
        <v>3.0499999999999999E-2</v>
      </c>
      <c r="G12" s="162"/>
    </row>
    <row r="13" spans="1:8" s="134" customFormat="1" ht="13.5" hidden="1" customHeight="1">
      <c r="A13" s="172" t="s">
        <v>937</v>
      </c>
      <c r="B13" s="158" t="s">
        <v>938</v>
      </c>
      <c r="C13" s="154"/>
      <c r="D13" s="173"/>
      <c r="E13" s="161"/>
      <c r="F13" s="161"/>
      <c r="G13" s="162"/>
    </row>
    <row r="14" spans="1:8" s="134" customFormat="1" ht="13.5" hidden="1" customHeight="1">
      <c r="A14" s="172" t="s">
        <v>939</v>
      </c>
      <c r="B14" s="158" t="s">
        <v>928</v>
      </c>
      <c r="C14" s="154"/>
      <c r="D14" s="173"/>
      <c r="E14" s="161"/>
      <c r="F14" s="161"/>
      <c r="G14" s="162" t="s">
        <v>940</v>
      </c>
    </row>
    <row r="15" spans="1:8" s="134" customFormat="1" ht="13.5" hidden="1" customHeight="1">
      <c r="A15" s="172" t="s">
        <v>941</v>
      </c>
      <c r="B15" s="158" t="s">
        <v>942</v>
      </c>
      <c r="C15" s="163"/>
      <c r="D15" s="173"/>
      <c r="E15" s="161"/>
      <c r="F15" s="161"/>
      <c r="G15" s="162" t="s">
        <v>943</v>
      </c>
    </row>
    <row r="16" spans="1:8"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IF(G19="已包含在土地取得成本中","0",ROUND(D19*E19,0))</f>
        <v>40192</v>
      </c>
      <c r="D19" s="178">
        <f ca="1">D9+D10</f>
        <v>200.96</v>
      </c>
      <c r="E19" s="154">
        <f>'数据-取费表'!B31</f>
        <v>200</v>
      </c>
      <c r="F19" s="179"/>
      <c r="G19" s="1963"/>
    </row>
    <row r="20" spans="1:7" s="134" customFormat="1" ht="13.5" customHeight="1">
      <c r="A20" s="152" t="s">
        <v>952</v>
      </c>
      <c r="B20" s="153" t="s">
        <v>953</v>
      </c>
      <c r="C20" s="180">
        <f ca="1">ROUND((C5+C19)*F20,0)</f>
        <v>1447</v>
      </c>
      <c r="D20" s="180"/>
      <c r="E20" s="180"/>
      <c r="F20" s="181">
        <f>'数据-取费表'!B37</f>
        <v>0.02</v>
      </c>
      <c r="G20" s="185" t="s">
        <v>954</v>
      </c>
    </row>
    <row r="21" spans="1:7" s="134" customFormat="1" ht="13.5" customHeight="1">
      <c r="A21" s="152" t="s">
        <v>955</v>
      </c>
      <c r="B21" s="153" t="s">
        <v>956</v>
      </c>
      <c r="C21" s="183">
        <f>F21</f>
        <v>0.02</v>
      </c>
      <c r="D21" s="184" t="s">
        <v>957</v>
      </c>
      <c r="E21" s="180"/>
      <c r="F21" s="181">
        <f>'数据-取费表'!B38</f>
        <v>0.02</v>
      </c>
      <c r="G21" s="185" t="s">
        <v>958</v>
      </c>
    </row>
    <row r="22" spans="1:7" s="134" customFormat="1" ht="13.5" customHeight="1">
      <c r="A22" s="152" t="s">
        <v>959</v>
      </c>
      <c r="B22" s="153" t="s">
        <v>960</v>
      </c>
      <c r="C22" s="1964">
        <f ca="1">ROUND(SUM(C23:C25),0)</f>
        <v>7105</v>
      </c>
      <c r="D22" s="183">
        <f ca="1">C26</f>
        <v>1E-3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965">
        <f ca="1">ROUND(IF('数据-取费表'!B22&lt;=1,C5*F22*'数据-取费表'!B22,C5*(POWER((1+F22),'数据-取费表'!B22)-1)),0)</f>
        <v>3127</v>
      </c>
      <c r="D23" s="190"/>
      <c r="E23" s="190"/>
      <c r="F23" s="191"/>
      <c r="G23" s="192" t="s">
        <v>962</v>
      </c>
    </row>
    <row r="24" spans="1:7" s="134" customFormat="1" ht="13.5" customHeight="1">
      <c r="A24" s="188" t="s">
        <v>925</v>
      </c>
      <c r="B24" s="158" t="s">
        <v>963</v>
      </c>
      <c r="C24" s="1965">
        <f ca="1">ROUND(IF('数据-取费表'!B22&lt;=1,C19*F22*('数据-取费表'!B19/2+'数据-取费表'!B20),C19*(POWER((1+F22),('数据-取费表'!B19/2+'数据-取费表'!B20))-1)),0)</f>
        <v>3909</v>
      </c>
      <c r="D24" s="190"/>
      <c r="E24" s="190"/>
      <c r="F24" s="191"/>
      <c r="G24" s="192" t="s">
        <v>964</v>
      </c>
    </row>
    <row r="25" spans="1:7" s="134" customFormat="1" ht="24">
      <c r="A25" s="188" t="s">
        <v>927</v>
      </c>
      <c r="B25" s="158" t="s">
        <v>965</v>
      </c>
      <c r="C25" s="1965">
        <f ca="1">ROUND(IF('数据-取费表'!B22&lt;=1,C20*F22*'数据-取费表'!B22/2,C20*(POWER((1+F22),'数据-取费表'!B22/2)-1)),0)</f>
        <v>69</v>
      </c>
      <c r="D25" s="190"/>
      <c r="E25" s="193"/>
      <c r="F25" s="191"/>
      <c r="G25" s="194" t="s">
        <v>966</v>
      </c>
    </row>
    <row r="26" spans="1:7" s="134" customFormat="1">
      <c r="A26" s="188" t="s">
        <v>967</v>
      </c>
      <c r="B26" s="158" t="s">
        <v>968</v>
      </c>
      <c r="C26" s="190">
        <f ca="1">ROUND(IF('数据-取费表'!B22&lt;=1,F21*F22*'数据-取费表'!B22/2,F21*(POWER((1+F22),'数据-取费表'!B22/2)-1)),4)</f>
        <v>1E-3</v>
      </c>
      <c r="D26" s="190"/>
      <c r="E26" s="193"/>
      <c r="F26" s="191"/>
      <c r="G26" s="195"/>
    </row>
    <row r="27" spans="1:7" s="134" customFormat="1" ht="24.75">
      <c r="A27" s="152" t="s">
        <v>969</v>
      </c>
      <c r="B27" s="196" t="s">
        <v>970</v>
      </c>
      <c r="C27" s="197">
        <f ca="1">C28</f>
        <v>18448</v>
      </c>
      <c r="D27" s="183">
        <f ca="1">C29</f>
        <v>5.0000000000000001E-3</v>
      </c>
      <c r="E27" s="184" t="s">
        <v>957</v>
      </c>
      <c r="F27" s="198">
        <f ca="1">IF(B1="",'数据-取费表'!Q16,INDIRECT("'数据-取费表'!q"&amp;$G$1))</f>
        <v>0.25</v>
      </c>
      <c r="G27" s="199" t="s">
        <v>971</v>
      </c>
    </row>
    <row r="28" spans="1:7" s="134" customFormat="1" ht="13.5" customHeight="1">
      <c r="A28" s="188" t="s">
        <v>923</v>
      </c>
      <c r="B28" s="200" t="s">
        <v>972</v>
      </c>
      <c r="C28" s="201">
        <f ca="1">ROUND((C5+C19+C20)*F27,0)</f>
        <v>18448</v>
      </c>
      <c r="D28" s="183"/>
      <c r="E28" s="184"/>
      <c r="F28" s="198"/>
      <c r="G28" s="199"/>
    </row>
    <row r="29" spans="1:7" s="134" customFormat="1" ht="13.5" customHeight="1">
      <c r="A29" s="188" t="s">
        <v>925</v>
      </c>
      <c r="B29" s="200" t="s">
        <v>973</v>
      </c>
      <c r="C29" s="190">
        <f ca="1">ROUND(C21*F27,4)</f>
        <v>5.0000000000000001E-3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107903</v>
      </c>
      <c r="D31" s="203"/>
      <c r="E31" s="154"/>
      <c r="F31" s="204"/>
      <c r="G31" s="185" t="s">
        <v>978</v>
      </c>
    </row>
    <row r="32" spans="1:7" s="133" customFormat="1" ht="15.75">
      <c r="A32" s="205" t="s">
        <v>1011</v>
      </c>
      <c r="B32" s="206"/>
      <c r="C32" s="206"/>
      <c r="D32" s="206"/>
      <c r="E32" s="206"/>
      <c r="F32" s="206"/>
      <c r="G32" s="207"/>
    </row>
    <row r="33" spans="1:7" s="134" customFormat="1" ht="13.5" customHeight="1">
      <c r="A33" s="152" t="s">
        <v>919</v>
      </c>
      <c r="B33" s="153" t="s">
        <v>1012</v>
      </c>
      <c r="C33" s="208">
        <f ca="1">SUM(C34:C38)</f>
        <v>590320</v>
      </c>
      <c r="D33" s="180"/>
      <c r="E33" s="155"/>
      <c r="F33" s="193"/>
      <c r="G33" s="185"/>
    </row>
    <row r="34" spans="1:7" s="136" customFormat="1" ht="13.5" customHeight="1">
      <c r="A34" s="188" t="s">
        <v>923</v>
      </c>
      <c r="B34" s="158" t="s">
        <v>981</v>
      </c>
      <c r="C34" s="163">
        <f ca="1">ROUND(IF(B1="",SUMPRODUCT('数据-取费表'!K6:K14,'数据-取费表'!L6:L14),INDIRECT("'数据-取费表'!l"&amp;$G$1)*INDIRECT("'数据-取费表'!k"&amp;$G$1)+'数据-取费表'!L14*INDIRECT("'数据-取费表'!S"&amp;$G$1)),0)</f>
        <v>502400</v>
      </c>
      <c r="D34" s="160"/>
      <c r="E34" s="163"/>
      <c r="F34" s="209"/>
      <c r="G34" s="162"/>
    </row>
    <row r="35" spans="1:7" ht="13.5" customHeight="1">
      <c r="A35" s="188" t="s">
        <v>925</v>
      </c>
      <c r="B35" s="158" t="s">
        <v>983</v>
      </c>
      <c r="C35" s="163">
        <f ca="1">ROUND(C34*F35,0)</f>
        <v>15072</v>
      </c>
      <c r="D35" s="163"/>
      <c r="E35" s="163"/>
      <c r="F35" s="210">
        <f>'数据-取费表'!B33</f>
        <v>0.03</v>
      </c>
      <c r="G35" s="162" t="s">
        <v>984</v>
      </c>
    </row>
    <row r="36" spans="1:7" ht="24">
      <c r="A36" s="188" t="s">
        <v>927</v>
      </c>
      <c r="B36" s="158" t="s">
        <v>985</v>
      </c>
      <c r="C36" s="163">
        <f ca="1">ROUND(IF(B1="",SUM('数据-取费表'!AP6:AP13)*F36,IF(INDIRECT("'数据-取费表'!c"&amp;$G$1)="住宅",INDIRECT("'数据-取费表'!k"&amp;$G$1)*INDIRECT("'数据-取费表'!l"&amp;$G$1)*F36,0)),0)</f>
        <v>25120</v>
      </c>
      <c r="D36" s="163"/>
      <c r="E36" s="163"/>
      <c r="F36" s="210">
        <f>'数据-取费表'!B34</f>
        <v>0.05</v>
      </c>
      <c r="G36" s="211" t="s">
        <v>986</v>
      </c>
    </row>
    <row r="37" spans="1:7" s="136" customFormat="1" ht="13.5" customHeight="1">
      <c r="A37" s="188" t="s">
        <v>967</v>
      </c>
      <c r="B37" s="158" t="s">
        <v>987</v>
      </c>
      <c r="C37" s="201">
        <f ca="1">ROUND(E37*D37,0)</f>
        <v>40192</v>
      </c>
      <c r="D37" s="160">
        <f ca="1">D19</f>
        <v>200.96</v>
      </c>
      <c r="E37" s="201">
        <f>'数据-取费表'!B35</f>
        <v>200</v>
      </c>
      <c r="F37" s="210"/>
      <c r="G37" s="212"/>
    </row>
    <row r="38" spans="1:7" ht="13.5" customHeight="1">
      <c r="A38" s="188" t="s">
        <v>989</v>
      </c>
      <c r="B38" s="158" t="s">
        <v>857</v>
      </c>
      <c r="C38" s="163">
        <f ca="1">ROUND(C34*F38,0)</f>
        <v>7536</v>
      </c>
      <c r="D38" s="163"/>
      <c r="E38" s="163"/>
      <c r="F38" s="210">
        <f>'数据-取费表'!B36</f>
        <v>1.4999999999999999E-2</v>
      </c>
      <c r="G38" s="162" t="s">
        <v>984</v>
      </c>
    </row>
    <row r="39" spans="1:7" s="134" customFormat="1" ht="13.5" customHeight="1">
      <c r="A39" s="152" t="s">
        <v>950</v>
      </c>
      <c r="B39" s="153" t="s">
        <v>953</v>
      </c>
      <c r="C39" s="180">
        <f ca="1">ROUND(C33*F20,0)</f>
        <v>11806</v>
      </c>
      <c r="D39" s="180"/>
      <c r="E39" s="180"/>
      <c r="F39" s="181"/>
      <c r="G39" s="185" t="s">
        <v>990</v>
      </c>
    </row>
    <row r="40" spans="1:7" s="134" customFormat="1" ht="13.5" customHeight="1">
      <c r="A40" s="152" t="s">
        <v>952</v>
      </c>
      <c r="B40" s="153" t="s">
        <v>956</v>
      </c>
      <c r="C40" s="1966">
        <f>F21</f>
        <v>0.02</v>
      </c>
      <c r="D40" s="184" t="s">
        <v>991</v>
      </c>
      <c r="E40" s="180"/>
      <c r="F40" s="181"/>
      <c r="G40" s="185" t="s">
        <v>992</v>
      </c>
    </row>
    <row r="41" spans="1:7" s="134" customFormat="1" ht="13.5" customHeight="1">
      <c r="A41" s="152" t="s">
        <v>955</v>
      </c>
      <c r="B41" s="153" t="s">
        <v>960</v>
      </c>
      <c r="C41" s="180">
        <f ca="1">ROUND(SUM(C42:C43),0)</f>
        <v>28601</v>
      </c>
      <c r="D41" s="183">
        <f ca="1">C44</f>
        <v>1E-3</v>
      </c>
      <c r="E41" s="184" t="s">
        <v>991</v>
      </c>
      <c r="F41" s="187"/>
      <c r="G41" s="185" t="str">
        <f>IF('数据-取费表'!B22&lt;=1,"单利计息","复利计息")</f>
        <v>复利计息</v>
      </c>
    </row>
    <row r="42" spans="1:7" ht="13.5" customHeight="1">
      <c r="A42" s="188" t="s">
        <v>923</v>
      </c>
      <c r="B42" s="158" t="s">
        <v>961</v>
      </c>
      <c r="C42" s="190">
        <f ca="1">ROUND(IF('数据-取费表'!B22&lt;=1,C33*F22*'数据-取费表'!B20/2,C33*(POWER((1+F22),'数据-取费表'!B20/2)-1)),0)</f>
        <v>28040</v>
      </c>
      <c r="D42" s="190"/>
      <c r="E42" s="190"/>
      <c r="F42" s="191"/>
      <c r="G42" s="3165" t="s">
        <v>1013</v>
      </c>
    </row>
    <row r="43" spans="1:7" ht="13.5" customHeight="1">
      <c r="A43" s="188" t="s">
        <v>925</v>
      </c>
      <c r="B43" s="158" t="s">
        <v>963</v>
      </c>
      <c r="C43" s="190">
        <f ca="1">ROUND(IF('数据-取费表'!B22&lt;=1,C39*F22*'数据-取费表'!B20/2,C39*(POWER((1+F22),'数据-取费表'!B20/2)-1)),0)</f>
        <v>561</v>
      </c>
      <c r="D43" s="190"/>
      <c r="E43" s="190"/>
      <c r="F43" s="191"/>
      <c r="G43" s="3166"/>
    </row>
    <row r="44" spans="1:7" ht="13.5" customHeight="1">
      <c r="A44" s="188" t="s">
        <v>927</v>
      </c>
      <c r="B44" s="158" t="s">
        <v>965</v>
      </c>
      <c r="C44" s="190">
        <f ca="1">ROUND(IF('数据-取费表'!B22&lt;=1,C40*F22*'数据-取费表'!B20/2,C40*(POWER((1+F22),'数据-取费表'!B20/2)-1)),4)</f>
        <v>1E-3</v>
      </c>
      <c r="D44" s="190"/>
      <c r="E44" s="190"/>
      <c r="F44" s="191"/>
      <c r="G44" s="3167"/>
    </row>
    <row r="45" spans="1:7" s="134" customFormat="1" ht="13.5" customHeight="1">
      <c r="A45" s="152" t="s">
        <v>959</v>
      </c>
      <c r="B45" s="196" t="s">
        <v>970</v>
      </c>
      <c r="C45" s="197">
        <f ca="1">C46</f>
        <v>150532</v>
      </c>
      <c r="D45" s="183">
        <f ca="1">C47</f>
        <v>5.0000000000000001E-3</v>
      </c>
      <c r="E45" s="184" t="s">
        <v>991</v>
      </c>
      <c r="F45" s="198"/>
      <c r="G45" s="199" t="s">
        <v>994</v>
      </c>
    </row>
    <row r="46" spans="1:7" s="134" customFormat="1" ht="13.5" customHeight="1">
      <c r="A46" s="188" t="s">
        <v>923</v>
      </c>
      <c r="B46" s="200" t="s">
        <v>995</v>
      </c>
      <c r="C46" s="201">
        <f ca="1">ROUND((C33+C39)*F27,0)</f>
        <v>150532</v>
      </c>
      <c r="D46" s="214"/>
      <c r="E46" s="184"/>
      <c r="F46" s="198"/>
      <c r="G46" s="199"/>
    </row>
    <row r="47" spans="1:7" s="134" customFormat="1" ht="13.5" customHeight="1">
      <c r="A47" s="188" t="s">
        <v>925</v>
      </c>
      <c r="B47" s="200" t="s">
        <v>996</v>
      </c>
      <c r="C47" s="190">
        <f ca="1">ROUND(C40*F27,4)</f>
        <v>5.0000000000000001E-3</v>
      </c>
      <c r="D47" s="214"/>
      <c r="E47" s="184"/>
      <c r="F47" s="198"/>
      <c r="G47" s="199"/>
    </row>
    <row r="48" spans="1:7" s="134" customFormat="1" ht="13.5" customHeight="1">
      <c r="A48" s="152" t="s">
        <v>969</v>
      </c>
      <c r="B48" s="153" t="s">
        <v>975</v>
      </c>
      <c r="C48" s="213">
        <f>ROUND(F30/(1+'数据-取费表'!C42),4)</f>
        <v>5.33E-2</v>
      </c>
      <c r="D48" s="184" t="s">
        <v>991</v>
      </c>
      <c r="E48" s="180"/>
      <c r="F48" s="187"/>
      <c r="G48" s="185" t="s">
        <v>997</v>
      </c>
    </row>
    <row r="49" spans="1:7" ht="16.5" customHeight="1">
      <c r="A49" s="152" t="s">
        <v>974</v>
      </c>
      <c r="B49" s="153" t="s">
        <v>1014</v>
      </c>
      <c r="C49" s="180">
        <f ca="1">ROUND((C33+C39+C41+C45)/(1-C40-D41-D45-C48),0)</f>
        <v>848549</v>
      </c>
      <c r="D49" s="180"/>
      <c r="E49" s="180"/>
      <c r="F49" s="215"/>
      <c r="G49" s="185" t="s">
        <v>999</v>
      </c>
    </row>
    <row r="50" spans="1:7" s="136" customFormat="1">
      <c r="A50" s="152" t="s">
        <v>1000</v>
      </c>
      <c r="B50" s="153" t="s">
        <v>1001</v>
      </c>
      <c r="C50" s="180"/>
      <c r="D50" s="180"/>
      <c r="E50" s="180"/>
      <c r="F50" s="215">
        <f>IF('数据-取费表'!B24=0,'数据-取费表'!N16,1)</f>
        <v>0.77</v>
      </c>
      <c r="G50" s="199"/>
    </row>
    <row r="51" spans="1:7" ht="16.5" customHeight="1">
      <c r="A51" s="152" t="s">
        <v>1003</v>
      </c>
      <c r="B51" s="153" t="s">
        <v>1015</v>
      </c>
      <c r="C51" s="180">
        <f ca="1">ROUND(C49*F50,0)</f>
        <v>653383</v>
      </c>
      <c r="D51" s="180"/>
      <c r="E51" s="180"/>
      <c r="F51" s="215"/>
      <c r="G51" s="185" t="s">
        <v>1005</v>
      </c>
    </row>
    <row r="52" spans="1:7" s="133" customFormat="1" ht="15.75">
      <c r="A52" s="216" t="s">
        <v>1006</v>
      </c>
      <c r="B52" s="217"/>
      <c r="C52" s="218">
        <f ca="1">C31+C51</f>
        <v>761286</v>
      </c>
      <c r="D52" s="217"/>
      <c r="E52" s="217"/>
      <c r="F52" s="217"/>
      <c r="G52" s="219"/>
    </row>
    <row r="55" spans="1:7" ht="15">
      <c r="B55" s="220" t="s">
        <v>1007</v>
      </c>
      <c r="C55" s="221"/>
    </row>
    <row r="56" spans="1:7">
      <c r="B56" s="222" t="s">
        <v>1008</v>
      </c>
      <c r="C56" s="224">
        <f ca="1">1-C57</f>
        <v>0.14200000000000002</v>
      </c>
    </row>
    <row r="57" spans="1:7">
      <c r="B57" s="222" t="s">
        <v>1009</v>
      </c>
      <c r="C57" s="223">
        <f ca="1">ROUND(C51/C52,3)</f>
        <v>0.85799999999999998</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1016</v>
      </c>
      <c r="B1" s="1873"/>
      <c r="C1" s="1874"/>
      <c r="D1" s="1875"/>
      <c r="E1" s="1876"/>
      <c r="F1" s="1876"/>
      <c r="G1" s="1873"/>
      <c r="H1" s="1876"/>
      <c r="I1" s="1876"/>
      <c r="J1" s="1876"/>
      <c r="K1" s="1876">
        <f>MATCH(C1,'数据-取费表'!A6:A16,0)+5</f>
        <v>8</v>
      </c>
    </row>
    <row r="2" spans="1:33" ht="18" customHeight="1">
      <c r="A2" s="144" t="s">
        <v>914</v>
      </c>
      <c r="B2" s="148">
        <f ca="1">C32</f>
        <v>-4</v>
      </c>
      <c r="C2" s="1876" t="s">
        <v>1017</v>
      </c>
      <c r="D2" s="1876"/>
      <c r="E2" s="1876"/>
      <c r="F2" s="1876"/>
      <c r="G2" s="1876"/>
      <c r="H2" s="1876"/>
      <c r="I2" s="1876"/>
      <c r="J2" s="1876"/>
      <c r="K2" s="1876"/>
    </row>
    <row r="3" spans="1:33" ht="18" customHeight="1">
      <c r="A3" s="147" t="s">
        <v>916</v>
      </c>
      <c r="B3" s="148">
        <f ca="1">ROUND(B2*10000/IF(C1="",'数据-汇总表'!E3,INDIRECT("'数据-取费表'!K"&amp;$K$1)),0)</f>
        <v>-199</v>
      </c>
      <c r="C3" s="1876" t="s">
        <v>1018</v>
      </c>
      <c r="D3" s="1876"/>
      <c r="E3" s="1876"/>
      <c r="F3" s="1876"/>
      <c r="G3" s="1876"/>
      <c r="H3" s="1876"/>
      <c r="I3" s="1876"/>
      <c r="J3" s="1876"/>
      <c r="K3" s="1876"/>
    </row>
    <row r="4" spans="1:33" s="1862" customFormat="1" ht="16.5" customHeight="1">
      <c r="A4" s="1877" t="s">
        <v>1019</v>
      </c>
      <c r="B4" s="1878"/>
      <c r="C4" s="1879">
        <f>SUM(C8:K8)</f>
        <v>0</v>
      </c>
      <c r="D4" s="1878"/>
      <c r="E4" s="1878"/>
      <c r="F4" s="1878"/>
      <c r="G4" s="1878"/>
      <c r="H4" s="1878"/>
      <c r="I4" s="1878"/>
      <c r="J4" s="1878"/>
      <c r="K4" s="1944"/>
    </row>
    <row r="5" spans="1:33" s="1863" customFormat="1" ht="24.75">
      <c r="A5" s="1880" t="s">
        <v>1020</v>
      </c>
      <c r="B5" s="1881" t="s">
        <v>1021</v>
      </c>
      <c r="C5" s="1882" t="s">
        <v>1022</v>
      </c>
      <c r="D5" s="1882" t="s">
        <v>1023</v>
      </c>
      <c r="E5" s="1882" t="s">
        <v>1024</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825</v>
      </c>
      <c r="B6" s="1649" t="s">
        <v>1025</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829</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873</v>
      </c>
      <c r="B8" s="1887" t="s">
        <v>1026</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1027</v>
      </c>
      <c r="B9" s="1878"/>
      <c r="C9" s="1878"/>
      <c r="D9" s="1878"/>
      <c r="E9" s="1878"/>
      <c r="F9" s="1878"/>
      <c r="G9" s="1878"/>
      <c r="H9" s="1878"/>
      <c r="I9" s="1878"/>
      <c r="J9" s="1878"/>
      <c r="K9" s="1944"/>
    </row>
    <row r="10" spans="1:33" s="1865" customFormat="1" ht="13.5" customHeight="1">
      <c r="A10" s="1880" t="s">
        <v>1020</v>
      </c>
      <c r="B10" s="1890" t="s">
        <v>1021</v>
      </c>
      <c r="C10" s="1891" t="s">
        <v>1028</v>
      </c>
      <c r="D10" s="1892" t="s">
        <v>1029</v>
      </c>
      <c r="E10" s="1892" t="s">
        <v>1030</v>
      </c>
      <c r="F10" s="1892" t="s">
        <v>1031</v>
      </c>
      <c r="G10" s="1890"/>
      <c r="H10" s="1893"/>
      <c r="I10" s="1893"/>
      <c r="J10" s="1893"/>
      <c r="K10" s="1950"/>
    </row>
    <row r="11" spans="1:33" s="1866" customFormat="1" ht="13.5" customHeight="1">
      <c r="A11" s="1894" t="s">
        <v>929</v>
      </c>
      <c r="B11" s="1895" t="s">
        <v>1032</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932</v>
      </c>
      <c r="B12" s="1895" t="s">
        <v>1033</v>
      </c>
      <c r="C12" s="285">
        <f ca="1">ROUND(C11*F12,0)</f>
        <v>0</v>
      </c>
      <c r="D12" s="1897"/>
      <c r="E12" s="1652"/>
      <c r="F12" s="1899">
        <f>'数据-取费表'!B33</f>
        <v>0.03</v>
      </c>
      <c r="G12" s="1890" t="s">
        <v>1034</v>
      </c>
      <c r="H12" s="1893"/>
      <c r="I12" s="1893"/>
      <c r="J12" s="1893"/>
      <c r="K12" s="1950"/>
    </row>
    <row r="13" spans="1:33" s="1866" customFormat="1" ht="13.5" customHeight="1">
      <c r="A13" s="1894" t="s">
        <v>1035</v>
      </c>
      <c r="B13" s="1895" t="s">
        <v>1036</v>
      </c>
      <c r="C13" s="285">
        <f ca="1">ROUND(IF(C1="",SUMIF('数据-取费表'!C:C,"住宅",'数据-取费表'!P:P)*F13,IF(INDIRECT("'数据-取费表'!c"&amp;$K$1)="住宅",INDIRECT("'数据-取费表'!P"&amp;$K$1)*F13,0)),0)</f>
        <v>0</v>
      </c>
      <c r="D13" s="1900"/>
      <c r="E13" s="1652"/>
      <c r="F13" s="1899">
        <f>'数据-取费表'!B34</f>
        <v>0.05</v>
      </c>
      <c r="G13" s="1890" t="s">
        <v>1037</v>
      </c>
      <c r="H13" s="1893"/>
      <c r="I13" s="1893"/>
      <c r="J13" s="1893"/>
      <c r="K13" s="1950"/>
    </row>
    <row r="14" spans="1:33" s="1867" customFormat="1" ht="13.5" customHeight="1">
      <c r="A14" s="1894" t="s">
        <v>1038</v>
      </c>
      <c r="B14" s="1895" t="s">
        <v>1039</v>
      </c>
      <c r="C14" s="285">
        <f ca="1">ROUND(D14*E14*F11/10000,0)</f>
        <v>0</v>
      </c>
      <c r="D14" s="1900">
        <f ca="1">IF(C1="",'数据-汇总表'!E3,INDIRECT("'数据-取费表'!K"&amp;$K$1)+INDIRECT("'数据-取费表'!S"&amp;$K$1))</f>
        <v>200.96</v>
      </c>
      <c r="E14" s="285">
        <f>'数据-取费表'!B35</f>
        <v>200</v>
      </c>
      <c r="F14" s="1899"/>
      <c r="G14" s="1890" t="s">
        <v>1040</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1041</v>
      </c>
      <c r="B15" s="1895" t="s">
        <v>1042</v>
      </c>
      <c r="C15" s="1901">
        <f ca="1">ROUND(C11*F15,0)</f>
        <v>0</v>
      </c>
      <c r="D15" s="1902"/>
      <c r="E15" s="1901"/>
      <c r="F15" s="1903">
        <f>'数据-取费表'!B36</f>
        <v>1.4999999999999999E-2</v>
      </c>
      <c r="G15" s="1649" t="s">
        <v>1043</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848</v>
      </c>
      <c r="B16" s="1895" t="s">
        <v>1044</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853</v>
      </c>
      <c r="B17" s="1895" t="s">
        <v>1045</v>
      </c>
      <c r="C17" s="285">
        <f ca="1">ROUND(D17*E17/10000,0)</f>
        <v>0</v>
      </c>
      <c r="D17" s="1900">
        <f ca="1">D14</f>
        <v>200.96</v>
      </c>
      <c r="E17" s="285">
        <f>'数据-取费表'!B32</f>
        <v>0</v>
      </c>
      <c r="F17" s="1902"/>
      <c r="G17" s="1649" t="s">
        <v>1046</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1047</v>
      </c>
      <c r="B18" s="1895" t="s">
        <v>1048</v>
      </c>
      <c r="C18" s="285">
        <f ca="1">C19+C20-IF(C1="",'数据-取费表'!B29,IF(G18="已全部缴纳",C19+C20,H18))</f>
        <v>3</v>
      </c>
      <c r="D18" s="1900"/>
      <c r="E18" s="285"/>
      <c r="F18" s="1899"/>
      <c r="G18" s="1905"/>
      <c r="H18" s="1906"/>
      <c r="I18" s="1951" t="s">
        <v>1049</v>
      </c>
      <c r="J18" s="1760"/>
      <c r="K18" s="1761"/>
    </row>
    <row r="19" spans="1:33" s="1866" customFormat="1" ht="13.5" customHeight="1">
      <c r="A19" s="1894" t="s">
        <v>929</v>
      </c>
      <c r="B19" s="1895" t="s">
        <v>1050</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932</v>
      </c>
      <c r="B20" s="1895" t="s">
        <v>1051</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825</v>
      </c>
      <c r="B21" s="1909" t="s">
        <v>1052</v>
      </c>
      <c r="C21" s="1910">
        <f ca="1">C16+C17+C18</f>
        <v>3</v>
      </c>
      <c r="D21" s="1911"/>
      <c r="E21" s="1912"/>
      <c r="F21" s="1912"/>
      <c r="G21" s="1649" t="s">
        <v>1053</v>
      </c>
      <c r="H21" s="1760"/>
      <c r="I21" s="1760"/>
      <c r="J21" s="1760"/>
      <c r="K21" s="1761"/>
    </row>
    <row r="22" spans="1:33" s="1866" customFormat="1" ht="13.5" customHeight="1">
      <c r="A22" s="1883" t="s">
        <v>829</v>
      </c>
      <c r="B22" s="1909" t="s">
        <v>1054</v>
      </c>
      <c r="C22" s="1910">
        <f ca="1">ROUND(C21*F22,0)</f>
        <v>0</v>
      </c>
      <c r="D22" s="1912"/>
      <c r="E22" s="1912"/>
      <c r="F22" s="1913">
        <f>'数据-取费表'!B37</f>
        <v>0.02</v>
      </c>
      <c r="G22" s="1890" t="s">
        <v>1055</v>
      </c>
      <c r="H22" s="1893"/>
      <c r="I22" s="1893"/>
      <c r="J22" s="1893"/>
      <c r="K22" s="1950"/>
    </row>
    <row r="23" spans="1:33" s="1866" customFormat="1" ht="13.5" customHeight="1">
      <c r="A23" s="1883" t="s">
        <v>873</v>
      </c>
      <c r="B23" s="1909" t="s">
        <v>1056</v>
      </c>
      <c r="C23" s="1910">
        <f ca="1">ROUND(C4*F23*F11,0)</f>
        <v>0</v>
      </c>
      <c r="D23" s="1912"/>
      <c r="E23" s="1912"/>
      <c r="F23" s="1913">
        <f>'数据-取费表'!B38</f>
        <v>0.02</v>
      </c>
      <c r="G23" s="1890" t="s">
        <v>1057</v>
      </c>
      <c r="H23" s="1893"/>
      <c r="I23" s="1893"/>
      <c r="J23" s="1893"/>
      <c r="K23" s="1950"/>
    </row>
    <row r="24" spans="1:33" s="1866" customFormat="1" ht="13.5" customHeight="1">
      <c r="A24" s="1883" t="s">
        <v>877</v>
      </c>
      <c r="B24" s="1909" t="s">
        <v>1058</v>
      </c>
      <c r="C24" s="1914">
        <f>ROUND(F24/(1+'数据-取费表'!C42),4)</f>
        <v>2.9000000000000001E-2</v>
      </c>
      <c r="D24" s="1912" t="s">
        <v>1059</v>
      </c>
      <c r="E24" s="1912"/>
      <c r="F24" s="1913">
        <f>'数据-取费表'!B48+'数据-取费表'!B49</f>
        <v>3.0499999999999999E-2</v>
      </c>
      <c r="G24" s="1890" t="s">
        <v>1060</v>
      </c>
      <c r="H24" s="1915"/>
      <c r="I24" s="1915"/>
      <c r="J24" s="1915"/>
      <c r="K24" s="1953"/>
    </row>
    <row r="25" spans="1:33" s="1866" customFormat="1" ht="13.5" customHeight="1">
      <c r="A25" s="1883" t="s">
        <v>880</v>
      </c>
      <c r="B25" s="1911" t="s">
        <v>1061</v>
      </c>
      <c r="C25" s="1916">
        <f ca="1">C27</f>
        <v>0</v>
      </c>
      <c r="D25" s="1914">
        <f ca="1">C26</f>
        <v>0</v>
      </c>
      <c r="E25" s="1917" t="s">
        <v>1059</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848</v>
      </c>
      <c r="B26" s="1919" t="s">
        <v>1062</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853</v>
      </c>
      <c r="B27" s="1919" t="s">
        <v>1063</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881</v>
      </c>
      <c r="B28" s="1926" t="s">
        <v>1064</v>
      </c>
      <c r="C28" s="1927">
        <f ca="1">C30</f>
        <v>1</v>
      </c>
      <c r="D28" s="1914">
        <f ca="1">C29</f>
        <v>0</v>
      </c>
      <c r="E28" s="1917" t="s">
        <v>1059</v>
      </c>
      <c r="F28" s="1088">
        <f ca="1">IF(C1="",'数据-取费表'!Q16,INDIRECT("'数据-取费表'!q"&amp;$K$1))</f>
        <v>0.25</v>
      </c>
      <c r="G28" s="1928"/>
      <c r="H28" s="1915"/>
      <c r="I28" s="1915"/>
      <c r="J28" s="1915"/>
      <c r="K28" s="1953"/>
    </row>
    <row r="29" spans="1:33" s="1870" customFormat="1" ht="13.5" customHeight="1">
      <c r="A29" s="1894" t="s">
        <v>848</v>
      </c>
      <c r="B29" s="1929" t="s">
        <v>1065</v>
      </c>
      <c r="C29" s="1921">
        <f ca="1">ROUND((1+C24)*F28*'数据-取费表'!B24/'数据-取费表'!B20,4)</f>
        <v>0</v>
      </c>
      <c r="D29" s="1921"/>
      <c r="E29" s="1922"/>
      <c r="F29" s="1930"/>
      <c r="G29" s="1649" t="s">
        <v>1066</v>
      </c>
      <c r="H29" s="1760"/>
      <c r="I29" s="1760"/>
      <c r="J29" s="1760"/>
      <c r="K29" s="1761"/>
    </row>
    <row r="30" spans="1:33" s="1870" customFormat="1" ht="13.5" customHeight="1">
      <c r="A30" s="1894" t="s">
        <v>853</v>
      </c>
      <c r="B30" s="1929" t="s">
        <v>1067</v>
      </c>
      <c r="C30" s="1931">
        <f ca="1">ROUND((C21+C22+C23)*F28,0)</f>
        <v>1</v>
      </c>
      <c r="D30" s="1921"/>
      <c r="E30" s="1922"/>
      <c r="F30" s="1930"/>
      <c r="G30" s="1649"/>
      <c r="H30" s="1760"/>
      <c r="I30" s="1760"/>
      <c r="J30" s="1760"/>
      <c r="K30" s="1761"/>
    </row>
    <row r="31" spans="1:33" s="1866" customFormat="1" ht="13.5" customHeight="1">
      <c r="A31" s="1932" t="s">
        <v>1068</v>
      </c>
      <c r="B31" s="1933" t="s">
        <v>1069</v>
      </c>
      <c r="C31" s="1934">
        <f>ROUND(C4*F31/(1+'数据-取费表'!C42),0)</f>
        <v>0</v>
      </c>
      <c r="D31" s="1935"/>
      <c r="E31" s="1936"/>
      <c r="F31" s="1937">
        <f>'数据-取费表'!B41</f>
        <v>5.6000000000000001E-2</v>
      </c>
      <c r="G31" s="1938" t="s">
        <v>1070</v>
      </c>
      <c r="H31" s="1939"/>
      <c r="I31" s="1939"/>
      <c r="J31" s="1939"/>
      <c r="K31" s="1954"/>
    </row>
    <row r="32" spans="1:33" s="1865" customFormat="1" ht="13.5" customHeight="1">
      <c r="A32" s="1940" t="s">
        <v>1071</v>
      </c>
      <c r="B32" s="1941"/>
      <c r="C32" s="1942">
        <f ca="1">ROUND((C4-C21-C22-C23-C25-C28-C31)/(1+C24+D25+D28),0)</f>
        <v>-4</v>
      </c>
      <c r="D32" s="1941"/>
      <c r="E32" s="1941"/>
      <c r="F32" s="1941"/>
      <c r="G32" s="1943" t="s">
        <v>1072</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C40+J29+L46</f>
        <v>268</v>
      </c>
      <c r="C2" s="1586" t="s">
        <v>1076</v>
      </c>
      <c r="D2" s="1586"/>
      <c r="E2" s="1588"/>
      <c r="F2" s="1589"/>
      <c r="G2" s="1590"/>
      <c r="H2" s="1591"/>
      <c r="I2" s="1591"/>
      <c r="J2" s="1591"/>
      <c r="K2" s="1749"/>
      <c r="L2" s="1591"/>
      <c r="M2" s="1591"/>
    </row>
    <row r="3" spans="1:37" ht="18" customHeight="1">
      <c r="A3" s="1592" t="s">
        <v>1077</v>
      </c>
      <c r="B3" s="1593">
        <f ca="1">IF(ISERROR(B2*10000/F43),0,ROUND(B2*10000/F43,0))</f>
        <v>20706</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v>
      </c>
      <c r="D5" s="1603" t="s">
        <v>1086</v>
      </c>
      <c r="E5" s="1604"/>
      <c r="F5" s="1605"/>
      <c r="G5" s="1599"/>
      <c r="H5" s="1600">
        <v>1</v>
      </c>
      <c r="I5" s="1601" t="s">
        <v>1085</v>
      </c>
      <c r="J5" s="1602">
        <f ca="1">J6+J10+J12</f>
        <v>0</v>
      </c>
      <c r="K5" s="1603" t="s">
        <v>1086</v>
      </c>
      <c r="L5" s="1604"/>
      <c r="M5" s="1605"/>
    </row>
    <row r="6" spans="1:37" ht="18" customHeight="1">
      <c r="A6" s="1606" t="s">
        <v>825</v>
      </c>
      <c r="B6" s="3170" t="s">
        <v>1087</v>
      </c>
      <c r="C6" s="1607">
        <f ca="1">ROUND(F6*F8*F7*(1-F9)/10000,0)</f>
        <v>11</v>
      </c>
      <c r="D6" s="1608" t="s">
        <v>1088</v>
      </c>
      <c r="E6" s="1609" t="s">
        <v>1089</v>
      </c>
      <c r="F6" s="1610">
        <f ca="1">INDIRECT("'数据-取费表'!u"&amp;$G$1)</f>
        <v>10000</v>
      </c>
      <c r="G6" s="1599"/>
      <c r="H6" s="1606" t="s">
        <v>825</v>
      </c>
      <c r="I6" s="3170" t="s">
        <v>1087</v>
      </c>
      <c r="J6" s="1679">
        <f ca="1">ROUND(M6*M8*M7*(1-M9)/10000,0)</f>
        <v>0</v>
      </c>
      <c r="K6" s="1608" t="s">
        <v>1090</v>
      </c>
      <c r="L6" s="1609" t="s">
        <v>1089</v>
      </c>
      <c r="M6" s="1610">
        <f ca="1">INDIRECT("'数据-取费表'!z"&amp;$G$1)</f>
        <v>0</v>
      </c>
    </row>
    <row r="7" spans="1:37" ht="18" customHeight="1">
      <c r="A7" s="1611"/>
      <c r="B7" s="3171"/>
      <c r="C7" s="1612"/>
      <c r="D7" s="1613"/>
      <c r="E7" s="1614" t="s">
        <v>1091</v>
      </c>
      <c r="F7" s="1610">
        <f ca="1">IF(INDIRECT("'数据-取费表'!ah"&amp;$G$1)="",INDIRECT("'数据-取费表'!k"&amp;$G$1),INDIRECT("'数据-取费表'!ah"&amp;$G$1))</f>
        <v>1</v>
      </c>
      <c r="G7" s="1599"/>
      <c r="H7" s="1615"/>
      <c r="I7" s="3171"/>
      <c r="J7" s="1616"/>
      <c r="K7" s="1613"/>
      <c r="L7" s="1609" t="s">
        <v>1091</v>
      </c>
      <c r="M7" s="1610">
        <f ca="1">F7</f>
        <v>1</v>
      </c>
    </row>
    <row r="8" spans="1:37" ht="18" customHeight="1">
      <c r="A8" s="1615"/>
      <c r="B8" s="3171"/>
      <c r="C8" s="1616"/>
      <c r="D8" s="1613"/>
      <c r="E8" s="1609" t="s">
        <v>1092</v>
      </c>
      <c r="F8" s="1610">
        <f ca="1">INDIRECT("'数据-取费表'!ai"&amp;$G$1)</f>
        <v>12</v>
      </c>
      <c r="G8" s="1599"/>
      <c r="H8" s="1615"/>
      <c r="I8" s="3171"/>
      <c r="J8" s="1616"/>
      <c r="K8" s="1613"/>
      <c r="L8" s="1609" t="s">
        <v>1092</v>
      </c>
      <c r="M8" s="1610">
        <f ca="1">INDIRECT("'数据-取费表'!ai"&amp;$G$1)</f>
        <v>12</v>
      </c>
    </row>
    <row r="9" spans="1:37" ht="18" customHeight="1">
      <c r="A9" s="1615"/>
      <c r="B9" s="3172"/>
      <c r="C9" s="1616"/>
      <c r="D9" s="1613"/>
      <c r="E9" s="1609" t="s">
        <v>1093</v>
      </c>
      <c r="F9" s="1617">
        <f ca="1">INDIRECT("'数据-取费表'!w"&amp;$G$1)</f>
        <v>0.05</v>
      </c>
      <c r="G9" s="1599"/>
      <c r="H9" s="1615"/>
      <c r="I9" s="3172"/>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0</v>
      </c>
      <c r="D10" s="1619" t="s">
        <v>1095</v>
      </c>
      <c r="E10" s="1620" t="s">
        <v>1096</v>
      </c>
      <c r="F10" s="1621" t="s">
        <v>1097</v>
      </c>
      <c r="G10" s="1599"/>
      <c r="H10" s="1606" t="s">
        <v>829</v>
      </c>
      <c r="I10" s="1618" t="s">
        <v>1094</v>
      </c>
      <c r="J10" s="1679">
        <f ca="1">ROUND(IF(M10="押一",J6/12*M11,IF(M10="押二",J6/12*2*M11,IF(M10="押三",J6/12*3*M11,J11*M11))),0)</f>
        <v>0</v>
      </c>
      <c r="K10" s="1619" t="s">
        <v>1095</v>
      </c>
      <c r="L10" s="1620" t="s">
        <v>1096</v>
      </c>
      <c r="M10" s="1621" t="s">
        <v>1098</v>
      </c>
    </row>
    <row r="11" spans="1:37" ht="18" customHeight="1">
      <c r="A11" s="1622"/>
      <c r="B11" s="1623" t="s">
        <v>1099</v>
      </c>
      <c r="C11" s="1624"/>
      <c r="D11" s="1855"/>
      <c r="E11" s="1620" t="s">
        <v>1100</v>
      </c>
      <c r="F11" s="1625">
        <f ca="1">'数据-取费表'!B39</f>
        <v>1.4999999999999999E-2</v>
      </c>
      <c r="G11" s="1599"/>
      <c r="H11" s="1626"/>
      <c r="I11" s="1623" t="s">
        <v>1099</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42</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INDIRECT("'数据-取费表'!m"&amp;$G$1)+INDIRECT("'数据-取费表'!t"&amp;$G$1)</f>
        <v>32</v>
      </c>
      <c r="D14" s="1640" t="s">
        <v>1106</v>
      </c>
      <c r="E14" s="1641"/>
      <c r="F14" s="1642"/>
      <c r="G14" s="1599"/>
      <c r="H14" s="1638" t="s">
        <v>825</v>
      </c>
      <c r="I14" s="1609" t="s">
        <v>1107</v>
      </c>
      <c r="J14" s="285">
        <f ca="1">C29</f>
        <v>55</v>
      </c>
      <c r="K14" s="1759"/>
      <c r="L14" s="1760"/>
      <c r="M14" s="1761"/>
    </row>
    <row r="15" spans="1:37" s="1575" customFormat="1" ht="18" customHeight="1">
      <c r="A15" s="1638" t="s">
        <v>853</v>
      </c>
      <c r="B15" s="1609" t="s">
        <v>1033</v>
      </c>
      <c r="C15" s="285">
        <f ca="1">ROUND(C14*F15,0)</f>
        <v>1</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ROUND(INDIRECT("'数据-取费表'!m"&amp;$G$1)*F16,0)</f>
        <v>2</v>
      </c>
      <c r="D16" s="1609" t="s">
        <v>1108</v>
      </c>
      <c r="E16" s="1609" t="s">
        <v>1109</v>
      </c>
      <c r="F16" s="1647">
        <f ca="1">IF(INDIRECT("'数据-取费表'!c"&amp;$G$1)="住宅",'数据-取费表'!B34,0)</f>
        <v>0.05</v>
      </c>
      <c r="G16" s="1599"/>
      <c r="H16" s="1633" t="s">
        <v>1110</v>
      </c>
      <c r="I16" s="1634" t="s">
        <v>1111</v>
      </c>
      <c r="J16" s="1635">
        <f ca="1">ROUND(J17+J22+J23+J24,0)</f>
        <v>1</v>
      </c>
      <c r="K16" s="1659" t="s">
        <v>1112</v>
      </c>
      <c r="L16" s="1660"/>
      <c r="M16" s="1605"/>
    </row>
    <row r="17" spans="1:37" s="1575" customFormat="1" ht="18" customHeight="1">
      <c r="A17" s="1638" t="s">
        <v>1113</v>
      </c>
      <c r="B17" s="1609" t="s">
        <v>1114</v>
      </c>
      <c r="C17" s="285">
        <f ca="1">ROUND(F17*(F43+INDIRECT("'数据-取费表'!S"&amp;$G$1))/10000,0)</f>
        <v>3</v>
      </c>
      <c r="D17" s="1609" t="s">
        <v>1115</v>
      </c>
      <c r="E17" s="1609" t="s">
        <v>1116</v>
      </c>
      <c r="F17" s="1648">
        <f>'数据-取费表'!B35</f>
        <v>200</v>
      </c>
      <c r="G17" s="1645"/>
      <c r="H17" s="1638" t="s">
        <v>825</v>
      </c>
      <c r="I17" s="1609" t="s">
        <v>1117</v>
      </c>
      <c r="J17" s="285">
        <f ca="1">ROUND(IF(项目基本情况!B11="自然人",J5*M17,J18+J19+J20),1)</f>
        <v>0.5</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0</v>
      </c>
      <c r="D18" s="1609" t="s">
        <v>1108</v>
      </c>
      <c r="E18" s="1609" t="s">
        <v>1109</v>
      </c>
      <c r="F18" s="1647">
        <f>'数据-取费表'!B36</f>
        <v>1.4999999999999999E-2</v>
      </c>
      <c r="G18" s="1645"/>
      <c r="H18" s="1638" t="s">
        <v>848</v>
      </c>
      <c r="I18" s="1609" t="s">
        <v>1121</v>
      </c>
      <c r="J18" s="285">
        <f ca="1">ROUND(J5*M18/(1+'数据-取费表'!C42),2)</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38</v>
      </c>
      <c r="D19" s="1649" t="s">
        <v>1124</v>
      </c>
      <c r="E19" s="287"/>
      <c r="F19" s="1648"/>
      <c r="G19" s="1599"/>
      <c r="H19" s="1638" t="s">
        <v>853</v>
      </c>
      <c r="I19" s="1609" t="s">
        <v>1125</v>
      </c>
      <c r="J19" s="285">
        <f ca="1">IF(K19="按租金收入计税",ROUND(J5*M19,2),ROUND(C29*M19*0.7,2))</f>
        <v>0.46</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1</v>
      </c>
      <c r="D20" s="1650" t="s">
        <v>1128</v>
      </c>
      <c r="E20" s="1609" t="s">
        <v>1109</v>
      </c>
      <c r="F20" s="1647">
        <f>'数据-取费表'!B37</f>
        <v>0.02</v>
      </c>
      <c r="G20" s="1645"/>
      <c r="H20" s="1638" t="s">
        <v>856</v>
      </c>
      <c r="I20" s="1608" t="s">
        <v>1129</v>
      </c>
      <c r="J20" s="1666">
        <f ca="1">ROUND(M20*M21/10000,2)</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0.02</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ROUND(J14*M22,1)</f>
        <v>0.8</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2</v>
      </c>
      <c r="D23" s="1652" t="str">
        <f>IF(F23&lt;=1,"(建造成本+管理费用)×利率×(建设周期÷2)","(建造成本+管理费用)×((1+利率)^(建设周期÷2)-1)")</f>
        <v>(建造成本+管理费用)×((1+利率)^(建设周期÷2)-1)</v>
      </c>
      <c r="E23" s="1609" t="s">
        <v>1140</v>
      </c>
      <c r="F23" s="1653">
        <f>'数据-取费表'!B20</f>
        <v>2</v>
      </c>
      <c r="G23" s="1645"/>
      <c r="H23" s="1638" t="s">
        <v>873</v>
      </c>
      <c r="I23" s="1609" t="s">
        <v>1141</v>
      </c>
      <c r="J23" s="285">
        <f ca="1">ROUND(J13*M23,1)</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ROUND(J5*M24,1)</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880</v>
      </c>
      <c r="B25" s="1609" t="s">
        <v>1146</v>
      </c>
      <c r="C25" s="285"/>
      <c r="D25" s="1649" t="s">
        <v>1147</v>
      </c>
      <c r="E25" s="287"/>
      <c r="F25" s="1648"/>
      <c r="G25" s="1599"/>
      <c r="H25" s="1633" t="s">
        <v>1148</v>
      </c>
      <c r="I25" s="1675" t="s">
        <v>1149</v>
      </c>
      <c r="J25" s="1635">
        <f ca="1">J5-J16</f>
        <v>-1</v>
      </c>
      <c r="K25" s="1676" t="s">
        <v>1150</v>
      </c>
      <c r="L25" s="1677"/>
      <c r="M25" s="1678"/>
    </row>
    <row r="26" spans="1:37">
      <c r="A26" s="1638" t="s">
        <v>848</v>
      </c>
      <c r="B26" s="1609" t="s">
        <v>1151</v>
      </c>
      <c r="C26" s="285">
        <f ca="1">ROUND((C19+C20)*F26,0)</f>
        <v>10</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5.0000000000000001E-3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55</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3</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ROUND(IF(项目基本情况!B11="自然人",C5*F31,C32+C33+C34),1)</f>
        <v>1.9</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IF(项目基本情况!B11="自然人","——",ROUND(C5*F32/(1+'数据-取费表'!C42),2))</f>
        <v>0.59</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IF(项目基本情况!B11="自然人","——",IF(D33="按租金收入计税",ROUND(C5*F33,2),IF(D33="按房产原值计税",ROUND(C29*F33*0.7,2),INDIRECT("'数据-取费表'!Aj"&amp;$G$1))))</f>
        <v>1.32</v>
      </c>
      <c r="D33" s="1856"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IF(项目基本情况!B11="自然人","——",ROUND(F34*F35/10000,2))</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ROUND(C29*F36,1)</f>
        <v>0.8</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ROUND(C13*F37,1)</f>
        <v>0.1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268</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38</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ROUND(C40*10000/F43,0)</f>
        <v>20706</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1175</v>
      </c>
      <c r="P45" s="1680"/>
      <c r="Q45" s="1680"/>
      <c r="R45" s="1680"/>
    </row>
    <row r="46" spans="1:18" s="734" customFormat="1">
      <c r="A46" s="1695" t="s">
        <v>1176</v>
      </c>
      <c r="C46" s="1696">
        <f ca="1">C68-C40</f>
        <v>-384</v>
      </c>
      <c r="D46" s="1697" t="str">
        <f>C2</f>
        <v>万元</v>
      </c>
      <c r="E46" s="1691"/>
      <c r="F46" s="1691"/>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857"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268</v>
      </c>
      <c r="R47" s="1830" t="s">
        <v>1186</v>
      </c>
    </row>
    <row r="48" spans="1:18" s="734" customFormat="1" ht="27.75">
      <c r="A48" s="1702" t="s">
        <v>1187</v>
      </c>
      <c r="B48" s="1601" t="s">
        <v>1085</v>
      </c>
      <c r="C48" s="286">
        <f ca="1">C49+C53+C55</f>
        <v>0</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ROUND(F49*F51*F50*(1-F52)/10000,0)</f>
        <v>0</v>
      </c>
      <c r="D49" s="1710" t="s">
        <v>1090</v>
      </c>
      <c r="E49" s="1711" t="s">
        <v>1195</v>
      </c>
      <c r="F49" s="1712"/>
      <c r="G49" s="1713"/>
      <c r="H49" s="1706"/>
      <c r="I49" s="791" t="s">
        <v>1196</v>
      </c>
      <c r="J49" s="1796">
        <v>1994</v>
      </c>
      <c r="K49" s="1794" t="s">
        <v>1197</v>
      </c>
      <c r="L49" s="1797"/>
      <c r="O49" s="1798" t="s">
        <v>1198</v>
      </c>
      <c r="P49" s="1792" t="s">
        <v>1199</v>
      </c>
      <c r="Q49" s="1830">
        <f ca="1">C29</f>
        <v>55</v>
      </c>
      <c r="R49" s="1830" t="s">
        <v>1186</v>
      </c>
    </row>
    <row r="50" spans="1:18" s="734" customFormat="1">
      <c r="A50" s="1714"/>
      <c r="B50" s="1715"/>
      <c r="C50" s="1858"/>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100</v>
      </c>
      <c r="M51" s="1805"/>
      <c r="O51" s="1798" t="s">
        <v>1206</v>
      </c>
      <c r="P51" s="1792" t="s">
        <v>1207</v>
      </c>
      <c r="Q51" s="1831">
        <f>J52</f>
        <v>0.09</v>
      </c>
      <c r="R51" s="1830"/>
    </row>
    <row r="52" spans="1:18" s="734" customFormat="1">
      <c r="A52" s="1720"/>
      <c r="B52" s="1715"/>
      <c r="C52" s="1716"/>
      <c r="D52" s="1717"/>
      <c r="E52" s="1721" t="s">
        <v>1093</v>
      </c>
      <c r="F52" s="1722"/>
      <c r="I52" s="1806" t="s">
        <v>1208</v>
      </c>
      <c r="J52" s="1807">
        <f>'数据-取费表'!J6+0.5%</f>
        <v>0.09</v>
      </c>
      <c r="K52" s="1806" t="s">
        <v>1209</v>
      </c>
      <c r="L52" s="1807"/>
      <c r="O52" s="1798" t="s">
        <v>1210</v>
      </c>
      <c r="P52" s="1792" t="s">
        <v>1211</v>
      </c>
      <c r="Q52" s="1830">
        <f ca="1">J53</f>
        <v>38</v>
      </c>
      <c r="R52" s="1830" t="s">
        <v>1212</v>
      </c>
    </row>
    <row r="53" spans="1:18" s="734" customFormat="1" ht="24">
      <c r="A53" s="1859" t="s">
        <v>1213</v>
      </c>
      <c r="B53" s="1860" t="s">
        <v>1094</v>
      </c>
      <c r="C53" s="284">
        <f ca="1">ROUND(IF(F53="押一",C49/12*F11,IF(F53="押二",C49/12*2*F11,IF(F53="押三",C49/12*3*F11,C54*F11))),0)</f>
        <v>0</v>
      </c>
      <c r="D53" s="1619" t="s">
        <v>1095</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68" t="s">
        <v>1215</v>
      </c>
      <c r="L53" s="3169"/>
      <c r="O53" s="1791" t="s">
        <v>1035</v>
      </c>
      <c r="P53" s="1792" t="s">
        <v>1216</v>
      </c>
      <c r="Q53" s="1830">
        <f ca="1">Q47+Q48</f>
        <v>268</v>
      </c>
      <c r="R53" s="1830" t="s">
        <v>1217</v>
      </c>
    </row>
    <row r="54" spans="1:18" s="734" customFormat="1">
      <c r="A54" s="1861"/>
      <c r="B54" s="1623" t="s">
        <v>1099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t="s">
        <v>1221</v>
      </c>
      <c r="O55" s="1784" t="s">
        <v>1178</v>
      </c>
      <c r="P55" s="1785" t="s">
        <v>1179</v>
      </c>
      <c r="Q55" s="1829" t="s">
        <v>1180</v>
      </c>
      <c r="R55" s="1829" t="s">
        <v>1181</v>
      </c>
    </row>
    <row r="56" spans="1:18" s="734" customFormat="1" ht="24">
      <c r="A56" s="1727">
        <v>2</v>
      </c>
      <c r="B56" s="1728" t="s">
        <v>1102</v>
      </c>
      <c r="C56" s="180">
        <f ca="1">C13</f>
        <v>42</v>
      </c>
      <c r="D56" s="1729"/>
      <c r="E56" s="1730"/>
      <c r="F56" s="1726"/>
      <c r="I56" s="1816" t="s">
        <v>1222</v>
      </c>
      <c r="J56" s="1817" t="s">
        <v>366</v>
      </c>
      <c r="K56" s="791" t="s">
        <v>1223</v>
      </c>
      <c r="L56" s="1795">
        <f ca="1">IF(L48&lt;J51,"——",L48-J53)</f>
        <v>0</v>
      </c>
      <c r="O56" s="1791" t="s">
        <v>929</v>
      </c>
      <c r="P56" s="1792" t="s">
        <v>1185</v>
      </c>
      <c r="Q56" s="1830">
        <f ca="1">C40+J29</f>
        <v>268</v>
      </c>
      <c r="R56" s="1830" t="s">
        <v>1186</v>
      </c>
    </row>
    <row r="57" spans="1:18" s="734" customFormat="1" ht="24">
      <c r="A57" s="1731"/>
      <c r="B57" s="1732" t="s">
        <v>1165</v>
      </c>
      <c r="C57" s="190">
        <f ca="1">C29</f>
        <v>55</v>
      </c>
      <c r="D57" s="1733"/>
      <c r="E57" s="1734"/>
      <c r="F57" s="1735"/>
      <c r="I57" s="1818" t="s">
        <v>1224</v>
      </c>
      <c r="J57" s="1819" t="str">
        <f ca="1">IF(OR(M47="住宅",J51&lt;L48,J56="是"),"——",J51-L48)</f>
        <v>——</v>
      </c>
      <c r="K57" s="791" t="s">
        <v>1225</v>
      </c>
      <c r="L57" s="1795">
        <f ca="1">IF(L48&lt;J51,"——",IF(L55="比较法",L49,IF(L55="基准地价",L50,L51)))</f>
        <v>100</v>
      </c>
      <c r="O57" s="1791" t="s">
        <v>932</v>
      </c>
      <c r="P57" s="1792" t="s">
        <v>1226</v>
      </c>
      <c r="Q57" s="1830">
        <f ca="1">L60</f>
        <v>0</v>
      </c>
      <c r="R57" s="1830" t="s">
        <v>1227</v>
      </c>
    </row>
    <row r="58" spans="1:18" s="734" customFormat="1" ht="24">
      <c r="A58" s="1736" t="s">
        <v>1110</v>
      </c>
      <c r="B58" s="1728" t="s">
        <v>1111</v>
      </c>
      <c r="C58" s="284">
        <f ca="1">ROUND(C59+C64+C65+C66,0)</f>
        <v>6</v>
      </c>
      <c r="D58" s="1737" t="s">
        <v>1112</v>
      </c>
      <c r="E58" s="1738"/>
      <c r="F58" s="1705"/>
      <c r="I58" s="1818" t="s">
        <v>1228</v>
      </c>
      <c r="J58" s="1820" t="e">
        <f ca="1">IF(J55&lt;0.4,0.4,J55)</f>
        <v>#VALUE!</v>
      </c>
      <c r="K58" s="1803" t="s">
        <v>1229</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ROUND(IF(项目基本情况!B11="自然人",C48*F59,C60+C61+C62),1)</f>
        <v>4.5999999999999996</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IF(项目基本情况!B11="自然人","——",ROUND(C48*F60/(1+'数据-取费表'!C42),2))</f>
        <v>0</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IF(项目基本情况!B11="自然人","——",IF(D61="按租金收入计税",ROUND(C48*F61,2),IF(D61="按房产原值计税",ROUND(C57*F61*0.7,2),INDIRECT("'数据-取费表'!Aj"&amp;$G$1))))</f>
        <v>4.62</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IF(项目基本情况!B11="自然人","——",ROUND(F62*F63/10000,2))</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268</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ROUND(C57*F64,1)</f>
        <v>0.8</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ROUND(C56*F65,1)</f>
        <v>0.1</v>
      </c>
      <c r="D65" s="1740" t="s">
        <v>1142</v>
      </c>
      <c r="E65" s="1732" t="s">
        <v>1109</v>
      </c>
      <c r="F65" s="1674">
        <f t="shared" ca="1" si="0"/>
        <v>1.5E-3</v>
      </c>
      <c r="I65" s="1825" t="s">
        <v>1246</v>
      </c>
      <c r="J65" s="1826">
        <v>40</v>
      </c>
      <c r="K65" s="1826">
        <v>30</v>
      </c>
      <c r="L65" s="1826">
        <v>50</v>
      </c>
      <c r="M65" s="1828">
        <v>0.02</v>
      </c>
      <c r="O65" s="1791" t="s">
        <v>929</v>
      </c>
      <c r="P65" s="1792" t="s">
        <v>1185</v>
      </c>
      <c r="Q65" s="1830">
        <f ca="1">C40+J29</f>
        <v>268</v>
      </c>
      <c r="R65" s="1830" t="s">
        <v>1186</v>
      </c>
    </row>
    <row r="66" spans="1:18" s="734" customFormat="1" ht="15.75">
      <c r="A66" s="1638" t="s">
        <v>877</v>
      </c>
      <c r="B66" s="1732" t="s">
        <v>1127</v>
      </c>
      <c r="C66" s="285">
        <f ca="1">ROUND(C48*F66,1)</f>
        <v>0</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-6</v>
      </c>
      <c r="D67" s="1739" t="s">
        <v>1150</v>
      </c>
      <c r="E67" s="1833"/>
      <c r="F67" s="1834"/>
      <c r="O67" s="1798" t="s">
        <v>1198</v>
      </c>
      <c r="P67" s="1792" t="s">
        <v>1230</v>
      </c>
      <c r="Q67" s="1854">
        <f ca="1">L51</f>
        <v>100</v>
      </c>
      <c r="R67" s="1830" t="s">
        <v>1247</v>
      </c>
    </row>
    <row r="68" spans="1:18" s="734" customFormat="1" ht="15.75">
      <c r="A68" s="1835" t="s">
        <v>1154</v>
      </c>
      <c r="B68" s="1836" t="s">
        <v>1171</v>
      </c>
      <c r="C68" s="1679">
        <f ca="1">ROUND(C67*(1-((1+F70)/(1+F68))^F69)/(F68-F70),0)</f>
        <v>-116</v>
      </c>
      <c r="D68" s="1743" t="s">
        <v>1156</v>
      </c>
      <c r="E68" s="1732" t="s">
        <v>1157</v>
      </c>
      <c r="F68" s="1617">
        <f ca="1">F40</f>
        <v>0.04</v>
      </c>
      <c r="O68" s="1798" t="s">
        <v>1202</v>
      </c>
      <c r="P68" s="1853" t="s">
        <v>1248</v>
      </c>
      <c r="Q68" s="1830">
        <f ca="1">ROUND(Q69-Q70*Q71,0)</f>
        <v>4</v>
      </c>
      <c r="R68" s="1830" t="s">
        <v>1249</v>
      </c>
    </row>
    <row r="69" spans="1:18" s="734" customFormat="1">
      <c r="A69" s="1837"/>
      <c r="B69" s="1838"/>
      <c r="C69" s="1616"/>
      <c r="D69" s="1839" t="s">
        <v>1160</v>
      </c>
      <c r="E69" s="1732" t="s">
        <v>1161</v>
      </c>
      <c r="F69" s="1683">
        <f ca="1">F41</f>
        <v>38</v>
      </c>
      <c r="O69" s="1798" t="s">
        <v>1250</v>
      </c>
      <c r="P69" s="1853" t="s">
        <v>1251</v>
      </c>
      <c r="Q69" s="1830">
        <f ca="1">C39</f>
        <v>8</v>
      </c>
      <c r="R69" s="1830" t="s">
        <v>1186</v>
      </c>
    </row>
    <row r="70" spans="1:18" s="734" customFormat="1">
      <c r="A70" s="1840"/>
      <c r="B70" s="1841"/>
      <c r="C70" s="1635"/>
      <c r="D70" s="1745"/>
      <c r="E70" s="1732" t="s">
        <v>1164</v>
      </c>
      <c r="F70" s="1722"/>
      <c r="O70" s="1798" t="s">
        <v>1252</v>
      </c>
      <c r="P70" s="1853" t="s">
        <v>1253</v>
      </c>
      <c r="Q70" s="1830">
        <f ca="1">C13</f>
        <v>42</v>
      </c>
      <c r="R70" s="1830" t="s">
        <v>1186</v>
      </c>
    </row>
    <row r="71" spans="1:18" s="734" customFormat="1">
      <c r="A71" s="1842" t="s">
        <v>1166</v>
      </c>
      <c r="B71" s="1843" t="s">
        <v>1172</v>
      </c>
      <c r="C71" s="1687">
        <f ca="1">ROUND(C68*10000/F71,0)</f>
        <v>-8962</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4</v>
      </c>
      <c r="D75" s="734"/>
      <c r="E75" s="734"/>
      <c r="F75" s="734"/>
      <c r="K75" s="1778"/>
      <c r="L75" s="734"/>
      <c r="O75" s="1791" t="s">
        <v>1035</v>
      </c>
      <c r="P75" s="1792" t="s">
        <v>1216</v>
      </c>
      <c r="Q75" s="1830">
        <f ca="1">Q65+Q66</f>
        <v>268</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v>
      </c>
    </row>
    <row r="80" spans="1:18">
      <c r="B80" s="1847" t="s">
        <v>1263</v>
      </c>
      <c r="C80" s="223">
        <f ca="1">ROUND(C75/C39,3)</f>
        <v>0.5</v>
      </c>
    </row>
    <row r="81" spans="2:3">
      <c r="B81" s="220" t="s">
        <v>1264</v>
      </c>
      <c r="C81" s="190"/>
    </row>
    <row r="82" spans="2:3">
      <c r="B82" s="222" t="s">
        <v>1008</v>
      </c>
      <c r="C82" s="224">
        <f ca="1">1-C83</f>
        <v>0.84299999999999997</v>
      </c>
    </row>
    <row r="83" spans="2:3">
      <c r="B83" s="222" t="s">
        <v>1009</v>
      </c>
      <c r="C83" s="223">
        <f ca="1">ROUND(C13/C40,3)</f>
        <v>0.157</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90" zoomScaleSheetLayoutView="85" workbookViewId="0">
      <selection activeCell="F41" sqref="F4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ROUND(D2/10000,0)</f>
        <v>282</v>
      </c>
      <c r="C2" s="1586" t="s">
        <v>1076</v>
      </c>
      <c r="D2" s="1587">
        <f ca="1">C40+J29+L46</f>
        <v>2824340</v>
      </c>
      <c r="E2" s="1588" t="s">
        <v>1265</v>
      </c>
      <c r="F2" s="1589"/>
      <c r="G2" s="1590"/>
      <c r="H2" s="1591"/>
      <c r="I2" s="1591"/>
      <c r="J2" s="1591"/>
      <c r="K2" s="1749"/>
      <c r="L2" s="1591"/>
      <c r="M2" s="1591"/>
    </row>
    <row r="3" spans="1:37" ht="18" customHeight="1">
      <c r="A3" s="1592" t="s">
        <v>1077</v>
      </c>
      <c r="B3" s="1593">
        <f ca="1">IF(ISERROR(D2/F43),0,ROUND(D2/F43,0))</f>
        <v>21821</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114143</v>
      </c>
      <c r="D5" s="1603" t="s">
        <v>1086</v>
      </c>
      <c r="E5" s="1604"/>
      <c r="F5" s="1605"/>
      <c r="G5" s="1599"/>
      <c r="H5" s="1600">
        <v>1</v>
      </c>
      <c r="I5" s="1601" t="s">
        <v>1085</v>
      </c>
      <c r="J5" s="1602">
        <f ca="1">J6+J10+J12</f>
        <v>0</v>
      </c>
      <c r="K5" s="1603" t="s">
        <v>1086</v>
      </c>
      <c r="L5" s="1604"/>
      <c r="M5" s="1605"/>
    </row>
    <row r="6" spans="1:37" ht="18" customHeight="1">
      <c r="A6" s="1606" t="s">
        <v>825</v>
      </c>
      <c r="B6" s="3170" t="s">
        <v>1087</v>
      </c>
      <c r="C6" s="1607">
        <f ca="1">ROUND(F6*F8*F7*(1-F9),0)</f>
        <v>114000</v>
      </c>
      <c r="D6" s="1608" t="s">
        <v>1266</v>
      </c>
      <c r="E6" s="1609" t="s">
        <v>1089</v>
      </c>
      <c r="F6" s="1610">
        <f ca="1">INDIRECT("'数据-取费表'!u"&amp;$G$1)</f>
        <v>10000</v>
      </c>
      <c r="G6" s="1599"/>
      <c r="H6" s="1606" t="s">
        <v>825</v>
      </c>
      <c r="I6" s="3170" t="s">
        <v>1087</v>
      </c>
      <c r="J6" s="1679">
        <f ca="1">ROUND(M6*M8*M7*(1-M9),0)</f>
        <v>0</v>
      </c>
      <c r="K6" s="1750" t="s">
        <v>1267</v>
      </c>
      <c r="L6" s="1609" t="s">
        <v>1089</v>
      </c>
      <c r="M6" s="1610">
        <f ca="1">INDIRECT("'数据-取费表'!z"&amp;$G$1)</f>
        <v>0</v>
      </c>
    </row>
    <row r="7" spans="1:37" ht="18" customHeight="1">
      <c r="A7" s="1611"/>
      <c r="B7" s="3171"/>
      <c r="C7" s="1612"/>
      <c r="D7" s="1613"/>
      <c r="E7" s="1614" t="s">
        <v>1091</v>
      </c>
      <c r="F7" s="1610">
        <f ca="1">IF(INDIRECT("'数据-取费表'!ah"&amp;$G$1)="",INDIRECT("'数据-取费表'!k"&amp;$G$1),INDIRECT("'数据-取费表'!ah"&amp;$G$1))</f>
        <v>1</v>
      </c>
      <c r="G7" s="1599"/>
      <c r="H7" s="1615"/>
      <c r="I7" s="3171"/>
      <c r="J7" s="1616"/>
      <c r="K7" s="1613"/>
      <c r="L7" s="1609" t="s">
        <v>1091</v>
      </c>
      <c r="M7" s="1610">
        <f ca="1">F7</f>
        <v>1</v>
      </c>
    </row>
    <row r="8" spans="1:37" ht="18" customHeight="1">
      <c r="A8" s="1615"/>
      <c r="B8" s="3171"/>
      <c r="C8" s="1616"/>
      <c r="D8" s="1613"/>
      <c r="E8" s="1609" t="s">
        <v>1092</v>
      </c>
      <c r="F8" s="1610">
        <f ca="1">INDIRECT("'数据-取费表'!ai"&amp;$G$1)</f>
        <v>12</v>
      </c>
      <c r="G8" s="1599"/>
      <c r="H8" s="1615"/>
      <c r="I8" s="3171"/>
      <c r="J8" s="1616"/>
      <c r="K8" s="1613"/>
      <c r="L8" s="1609" t="s">
        <v>1092</v>
      </c>
      <c r="M8" s="1610">
        <f ca="1">INDIRECT("'数据-取费表'!ai"&amp;$G$1)</f>
        <v>12</v>
      </c>
    </row>
    <row r="9" spans="1:37" ht="18" customHeight="1">
      <c r="A9" s="1615"/>
      <c r="B9" s="3172"/>
      <c r="C9" s="1616"/>
      <c r="D9" s="1613"/>
      <c r="E9" s="1609" t="s">
        <v>1093</v>
      </c>
      <c r="F9" s="1617">
        <f ca="1">INDIRECT("'数据-取费表'!w"&amp;$G$1)</f>
        <v>0.05</v>
      </c>
      <c r="G9" s="1599"/>
      <c r="H9" s="1615"/>
      <c r="I9" s="3172"/>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143</v>
      </c>
      <c r="D10" s="1619" t="s">
        <v>1095</v>
      </c>
      <c r="E10" s="1620" t="s">
        <v>1096</v>
      </c>
      <c r="F10" s="1621" t="s">
        <v>1097</v>
      </c>
      <c r="G10" s="1599"/>
      <c r="H10" s="1606" t="s">
        <v>829</v>
      </c>
      <c r="I10" s="1618" t="s">
        <v>1094</v>
      </c>
      <c r="J10" s="1679">
        <f ca="1">ROUND(IF(M10="押一",J6/12*M11,IF(M10="押二",J6/12*2*M11,IF(M10="押三",J6/12*3*M11,J11*M11))),0)</f>
        <v>0</v>
      </c>
      <c r="K10" s="1751" t="s">
        <v>1268</v>
      </c>
      <c r="L10" s="1620" t="s">
        <v>1096</v>
      </c>
      <c r="M10" s="1621"/>
    </row>
    <row r="11" spans="1:37" ht="18" customHeight="1">
      <c r="A11" s="1622"/>
      <c r="B11" s="1623" t="s">
        <v>1269</v>
      </c>
      <c r="C11" s="1624"/>
      <c r="D11" s="1613"/>
      <c r="E11" s="1620" t="s">
        <v>1100</v>
      </c>
      <c r="F11" s="1625">
        <f ca="1">'数据-取费表'!B39</f>
        <v>1.4999999999999999E-2</v>
      </c>
      <c r="G11" s="1599"/>
      <c r="H11" s="1626"/>
      <c r="I11" s="1623" t="s">
        <v>1270</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420817</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ROUND(INDIRECT("'数据-取费表'!l"&amp;$G$1)*F43+'数据-取费表'!L14*INDIRECT("'数据-取费表'!S"&amp;$G$1),0)</f>
        <v>323575</v>
      </c>
      <c r="D14" s="1640" t="s">
        <v>1106</v>
      </c>
      <c r="E14" s="1641"/>
      <c r="F14" s="1642"/>
      <c r="G14" s="1599"/>
      <c r="H14" s="1638" t="s">
        <v>825</v>
      </c>
      <c r="I14" s="1609" t="s">
        <v>1107</v>
      </c>
      <c r="J14" s="285">
        <f ca="1">C29</f>
        <v>546516</v>
      </c>
      <c r="K14" s="1759"/>
      <c r="L14" s="1760"/>
      <c r="M14" s="1761"/>
    </row>
    <row r="15" spans="1:37" s="1575" customFormat="1" ht="18" customHeight="1">
      <c r="A15" s="1638" t="s">
        <v>853</v>
      </c>
      <c r="B15" s="1609" t="s">
        <v>1033</v>
      </c>
      <c r="C15" s="285">
        <f ca="1">ROUND(C14*F15,0)</f>
        <v>9707</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ROUND(INDIRECT("'数据-取费表'!l"&amp;$G$1)*F43*F16,0)</f>
        <v>16179</v>
      </c>
      <c r="D16" s="1609" t="s">
        <v>1108</v>
      </c>
      <c r="E16" s="1609" t="s">
        <v>1109</v>
      </c>
      <c r="F16" s="1647">
        <f ca="1">IF(INDIRECT("'数据-取费表'!c"&amp;$G$1)="住宅",'数据-取费表'!B34,0)</f>
        <v>0.05</v>
      </c>
      <c r="G16" s="1599"/>
      <c r="H16" s="1633" t="s">
        <v>1110</v>
      </c>
      <c r="I16" s="1634" t="s">
        <v>1111</v>
      </c>
      <c r="J16" s="1635">
        <f ca="1">ROUND(J17+J22+J23+J24,0)</f>
        <v>12789</v>
      </c>
      <c r="K16" s="1659" t="s">
        <v>1112</v>
      </c>
      <c r="L16" s="1660"/>
      <c r="M16" s="1605"/>
    </row>
    <row r="17" spans="1:37" s="1575" customFormat="1" ht="18" customHeight="1">
      <c r="A17" s="1638" t="s">
        <v>1113</v>
      </c>
      <c r="B17" s="1609" t="s">
        <v>1114</v>
      </c>
      <c r="C17" s="285">
        <f ca="1">ROUND(F17*(F43+INDIRECT("'数据-取费表'!S"&amp;$G$1)),0)</f>
        <v>25886</v>
      </c>
      <c r="D17" s="1609" t="s">
        <v>1115</v>
      </c>
      <c r="E17" s="1609" t="s">
        <v>1116</v>
      </c>
      <c r="F17" s="1648">
        <f>'数据-取费表'!B35</f>
        <v>200</v>
      </c>
      <c r="G17" s="1645"/>
      <c r="H17" s="1638" t="s">
        <v>825</v>
      </c>
      <c r="I17" s="1609" t="s">
        <v>1117</v>
      </c>
      <c r="J17" s="285">
        <f ca="1">ROUND(IF(项目基本情况!B11="自然人",J5*M17,J18+J19+J20),0)</f>
        <v>4591</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4854</v>
      </c>
      <c r="D18" s="1609" t="s">
        <v>1108</v>
      </c>
      <c r="E18" s="1609" t="s">
        <v>1109</v>
      </c>
      <c r="F18" s="1647">
        <f>'数据-取费表'!B36</f>
        <v>1.4999999999999999E-2</v>
      </c>
      <c r="G18" s="1645"/>
      <c r="H18" s="1638" t="s">
        <v>848</v>
      </c>
      <c r="I18" s="1609" t="s">
        <v>1121</v>
      </c>
      <c r="J18" s="285">
        <f ca="1">ROUND(J5*M18/(1+'数据-取费表'!C42),0)</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380201</v>
      </c>
      <c r="D19" s="1649" t="s">
        <v>1124</v>
      </c>
      <c r="E19" s="287"/>
      <c r="F19" s="1648"/>
      <c r="G19" s="1599"/>
      <c r="H19" s="1638" t="s">
        <v>853</v>
      </c>
      <c r="I19" s="1609" t="s">
        <v>1125</v>
      </c>
      <c r="J19" s="285">
        <f ca="1">IF(K19="按租金收入计税",ROUND(J5*M19,0),ROUND(C29*M19*0.7,0))</f>
        <v>4591</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7604</v>
      </c>
      <c r="D20" s="1650" t="s">
        <v>1128</v>
      </c>
      <c r="E20" s="1609" t="s">
        <v>1109</v>
      </c>
      <c r="F20" s="1647">
        <f>'数据-取费表'!B37</f>
        <v>0.02</v>
      </c>
      <c r="G20" s="1645"/>
      <c r="H20" s="1638" t="s">
        <v>856</v>
      </c>
      <c r="I20" s="1608" t="s">
        <v>1129</v>
      </c>
      <c r="J20" s="1666">
        <f ca="1">ROUND(M20*M21,0)</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0.02</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ROUND(J14*M22,0)</f>
        <v>8198</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18421</v>
      </c>
      <c r="D23" s="1652" t="str">
        <f>IF(F23&lt;=1,"(建造成本+管理费用)×利率×(建设周期÷2)","(建造成本+管理费用)×((1+利率)^(建设周期÷2)-1)")</f>
        <v>(建造成本+管理费用)×((1+利率)^(建设周期÷2)-1)</v>
      </c>
      <c r="E23" s="1609" t="s">
        <v>1140</v>
      </c>
      <c r="F23" s="1653">
        <f>'数据-取费表'!B20</f>
        <v>2</v>
      </c>
      <c r="G23" s="1645"/>
      <c r="H23" s="1638" t="s">
        <v>873</v>
      </c>
      <c r="I23" s="1609" t="s">
        <v>1141</v>
      </c>
      <c r="J23" s="285">
        <f ca="1">ROUND(J13*M23,0)</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ROUND(J5*M24,0)</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880</v>
      </c>
      <c r="B25" s="1609" t="s">
        <v>1146</v>
      </c>
      <c r="C25" s="285"/>
      <c r="D25" s="1649" t="s">
        <v>1147</v>
      </c>
      <c r="E25" s="287"/>
      <c r="F25" s="1648"/>
      <c r="G25" s="1599"/>
      <c r="H25" s="1633" t="s">
        <v>1148</v>
      </c>
      <c r="I25" s="1675" t="s">
        <v>1149</v>
      </c>
      <c r="J25" s="1635">
        <f ca="1">J5-J16</f>
        <v>-12789</v>
      </c>
      <c r="K25" s="1676" t="s">
        <v>1150</v>
      </c>
      <c r="L25" s="1677"/>
      <c r="M25" s="1678"/>
    </row>
    <row r="26" spans="1:37" ht="18" customHeight="1">
      <c r="A26" s="1638" t="s">
        <v>848</v>
      </c>
      <c r="B26" s="1609" t="s">
        <v>1151</v>
      </c>
      <c r="C26" s="285">
        <f ca="1">ROUND((C19+C20)*F26,0)</f>
        <v>96951</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5.0000000000000001E-3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546516</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29755</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ROUND(IF(项目基本情况!B11="自然人",C5*F31,C32+C33+C34),0)</f>
        <v>19785</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IF(项目基本情况!B11="自然人","——",ROUND(C5*F32/(1+'数据-取费表'!C42),0))</f>
        <v>6088</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IF(项目基本情况!B11="自然人","——",IF(D33="按租金收入计税",ROUND(C5*F33,0),IF(D33="按房产原值计税",ROUND(C29*F33*0.7,0),INDIRECT("'数据-取费表'!Aj"&amp;$G$1))))</f>
        <v>13697</v>
      </c>
      <c r="D33" s="1664"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ROUND(C29*F36,0)</f>
        <v>8198</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ROUND(C13*F37,0)</f>
        <v>631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1141.4000000000001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84388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2824340</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38</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ROUND(C40/F43,0)</f>
        <v>21821</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-1266348</v>
      </c>
      <c r="D45" s="1694" t="s">
        <v>1271</v>
      </c>
      <c r="E45" s="1691"/>
      <c r="F45" s="1691"/>
      <c r="O45" s="1779" t="s">
        <v>1175</v>
      </c>
      <c r="P45" s="1680"/>
      <c r="Q45" s="1680"/>
      <c r="R45" s="1680"/>
    </row>
    <row r="46" spans="1:18" s="734" customFormat="1">
      <c r="A46" s="1695" t="s">
        <v>1176</v>
      </c>
      <c r="C46" s="1696">
        <f ca="1">ROUND(C45/10000,0)</f>
        <v>-127</v>
      </c>
      <c r="D46" s="1697" t="str">
        <f>C2</f>
        <v>万元</v>
      </c>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699"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2824340</v>
      </c>
      <c r="R47" s="1830" t="s">
        <v>1186</v>
      </c>
    </row>
    <row r="48" spans="1:18" s="734" customFormat="1" ht="27.75">
      <c r="A48" s="1702" t="s">
        <v>1187</v>
      </c>
      <c r="B48" s="1601" t="s">
        <v>1085</v>
      </c>
      <c r="C48" s="286">
        <f ca="1">C49+C53+C55</f>
        <v>108135</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ROUND(F49*F51*F50*(1-F52),0)</f>
        <v>108000</v>
      </c>
      <c r="D49" s="1710" t="s">
        <v>1272</v>
      </c>
      <c r="E49" s="1711" t="s">
        <v>1195</v>
      </c>
      <c r="F49" s="1712">
        <v>9000</v>
      </c>
      <c r="G49" s="1713"/>
      <c r="H49" s="1706"/>
      <c r="I49" s="791" t="s">
        <v>1196</v>
      </c>
      <c r="J49" s="1796">
        <v>1994</v>
      </c>
      <c r="K49" s="1794" t="s">
        <v>1197</v>
      </c>
      <c r="L49" s="1797"/>
      <c r="O49" s="1798" t="s">
        <v>1198</v>
      </c>
      <c r="P49" s="1792" t="s">
        <v>1199</v>
      </c>
      <c r="Q49" s="1830">
        <f ca="1">C29</f>
        <v>546516</v>
      </c>
      <c r="R49" s="1830" t="s">
        <v>1186</v>
      </c>
    </row>
    <row r="50" spans="1:18" s="734" customFormat="1">
      <c r="A50" s="1714"/>
      <c r="B50" s="1715"/>
      <c r="C50" s="1716"/>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1093551</v>
      </c>
      <c r="M51" s="1805"/>
      <c r="O51" s="1798" t="s">
        <v>1206</v>
      </c>
      <c r="P51" s="1792" t="s">
        <v>1207</v>
      </c>
      <c r="Q51" s="1831">
        <f>J52</f>
        <v>0.09</v>
      </c>
      <c r="R51" s="1830"/>
    </row>
    <row r="52" spans="1:18" s="734" customFormat="1">
      <c r="A52" s="1720"/>
      <c r="B52" s="1715"/>
      <c r="C52" s="1716"/>
      <c r="D52" s="1717"/>
      <c r="E52" s="1721" t="s">
        <v>1093</v>
      </c>
      <c r="F52" s="1722"/>
      <c r="I52" s="1806" t="s">
        <v>1208</v>
      </c>
      <c r="J52" s="1807">
        <v>0.09</v>
      </c>
      <c r="K52" s="1806" t="s">
        <v>1209</v>
      </c>
      <c r="L52" s="1807"/>
      <c r="O52" s="1798" t="s">
        <v>1210</v>
      </c>
      <c r="P52" s="1792" t="s">
        <v>1211</v>
      </c>
      <c r="Q52" s="1830">
        <f ca="1">J53</f>
        <v>38</v>
      </c>
      <c r="R52" s="1830" t="s">
        <v>1212</v>
      </c>
    </row>
    <row r="53" spans="1:18" s="734" customFormat="1" ht="30.75" customHeight="1">
      <c r="A53" s="1723" t="s">
        <v>1213</v>
      </c>
      <c r="B53" s="1650" t="s">
        <v>1094</v>
      </c>
      <c r="C53" s="284">
        <f ca="1">ROUND(IF(F53="押一",C49/12*F11,IF(F53="押二",C49/12*2*F11,IF(F53="押三",C49/12*3*F11,C54*F11))),0)</f>
        <v>135</v>
      </c>
      <c r="D53" s="1619" t="s">
        <v>1273</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68" t="s">
        <v>1215</v>
      </c>
      <c r="L53" s="3169"/>
      <c r="O53" s="1791" t="s">
        <v>1035</v>
      </c>
      <c r="P53" s="1792" t="s">
        <v>1216</v>
      </c>
      <c r="Q53" s="1830">
        <f ca="1">Q47+Q48</f>
        <v>2824340</v>
      </c>
      <c r="R53" s="1830" t="s">
        <v>1217</v>
      </c>
    </row>
    <row r="54" spans="1:18" s="734" customFormat="1">
      <c r="A54" s="1707"/>
      <c r="B54" s="1724" t="s">
        <v>1270</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c r="O55" s="1784" t="s">
        <v>1178</v>
      </c>
      <c r="P55" s="1785" t="s">
        <v>1179</v>
      </c>
      <c r="Q55" s="1829" t="s">
        <v>1180</v>
      </c>
      <c r="R55" s="1829" t="s">
        <v>1181</v>
      </c>
    </row>
    <row r="56" spans="1:18" s="734" customFormat="1" ht="36" customHeight="1">
      <c r="A56" s="1727">
        <v>2</v>
      </c>
      <c r="B56" s="1728" t="s">
        <v>1102</v>
      </c>
      <c r="C56" s="180">
        <f ca="1">C13</f>
        <v>420817</v>
      </c>
      <c r="D56" s="1729"/>
      <c r="E56" s="1730"/>
      <c r="F56" s="1726"/>
      <c r="I56" s="1816" t="s">
        <v>1222</v>
      </c>
      <c r="J56" s="1817" t="s">
        <v>366</v>
      </c>
      <c r="K56" s="791" t="s">
        <v>1223</v>
      </c>
      <c r="L56" s="1795">
        <f ca="1">IF(L48&lt;J51,"——",L48-J51)</f>
        <v>2</v>
      </c>
      <c r="O56" s="1791" t="s">
        <v>929</v>
      </c>
      <c r="P56" s="1792" t="s">
        <v>1185</v>
      </c>
      <c r="Q56" s="1830">
        <f ca="1">C40+J29</f>
        <v>2824340</v>
      </c>
      <c r="R56" s="1830" t="s">
        <v>1186</v>
      </c>
    </row>
    <row r="57" spans="1:18" s="734" customFormat="1" ht="24">
      <c r="A57" s="1731"/>
      <c r="B57" s="1732" t="s">
        <v>1165</v>
      </c>
      <c r="C57" s="190">
        <f ca="1">C29</f>
        <v>546516</v>
      </c>
      <c r="D57" s="1733"/>
      <c r="E57" s="1734"/>
      <c r="F57" s="1735"/>
      <c r="I57" s="1818" t="s">
        <v>1224</v>
      </c>
      <c r="J57" s="1819" t="str">
        <f ca="1">IF(OR(M47="住宅",J51&lt;L48,J56="是"),"——",J51-L48)</f>
        <v>——</v>
      </c>
      <c r="K57" s="791" t="s">
        <v>1274</v>
      </c>
      <c r="L57" s="1795">
        <f ca="1">IF(L48&lt;J51,"——",IF(L55="比较法",L49,IF(L55="基准地价",L50,L51)))</f>
        <v>1093551</v>
      </c>
      <c r="O57" s="1791" t="s">
        <v>932</v>
      </c>
      <c r="P57" s="1792" t="s">
        <v>1226</v>
      </c>
      <c r="Q57" s="1830">
        <f ca="1">L60</f>
        <v>0</v>
      </c>
      <c r="R57" s="1830" t="s">
        <v>1227</v>
      </c>
    </row>
    <row r="58" spans="1:18" s="734" customFormat="1" ht="24">
      <c r="A58" s="1736" t="s">
        <v>1110</v>
      </c>
      <c r="B58" s="1728" t="s">
        <v>1111</v>
      </c>
      <c r="C58" s="284">
        <f ca="1">ROUND(C59+C64+C65+C66,0)</f>
        <v>61584</v>
      </c>
      <c r="D58" s="1737" t="s">
        <v>1112</v>
      </c>
      <c r="E58" s="1738"/>
      <c r="F58" s="1705"/>
      <c r="I58" s="1818" t="s">
        <v>1228</v>
      </c>
      <c r="J58" s="1820" t="e">
        <f ca="1">IF(J55&lt;0.4,0.4,J55)</f>
        <v>#VALUE!</v>
      </c>
      <c r="K58" s="1803" t="s">
        <v>1275</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ROUND(IF(项目基本情况!B11="自然人",C48*F59,C60+C61+C62),0)</f>
        <v>51674</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IF(项目基本情况!B11="自然人","——",ROUND(C48*F60/(1+'数据-取费表'!C42),0))</f>
        <v>5767</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IF(项目基本情况!B11="自然人","——",IF(D61="按租金收入计税",ROUND(C48*F61,0),IF(D61="按房产原值计税",ROUND(C57*F61*0.7,0),INDIRECT("'数据-取费表'!Aj"&amp;$G$1))))</f>
        <v>45907</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IF(项目基本情况!B11="自然人","——",ROUND(F62*F63,0))</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2824340</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ROUND(C57*F64,0)</f>
        <v>8198</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ROUND(C56*F65,0)</f>
        <v>631</v>
      </c>
      <c r="D65" s="1740" t="s">
        <v>1142</v>
      </c>
      <c r="E65" s="1732" t="s">
        <v>1109</v>
      </c>
      <c r="F65" s="1674">
        <f t="shared" ca="1" si="0"/>
        <v>1.5E-3</v>
      </c>
      <c r="I65" s="1825" t="s">
        <v>1246</v>
      </c>
      <c r="J65" s="1826">
        <v>40</v>
      </c>
      <c r="K65" s="1826">
        <v>30</v>
      </c>
      <c r="L65" s="1826">
        <v>50</v>
      </c>
      <c r="M65" s="1828">
        <v>0.02</v>
      </c>
      <c r="O65" s="1791" t="s">
        <v>929</v>
      </c>
      <c r="P65" s="1792" t="s">
        <v>1185</v>
      </c>
      <c r="Q65" s="1830">
        <f ca="1">C40+J29</f>
        <v>2824340</v>
      </c>
      <c r="R65" s="1830" t="s">
        <v>1186</v>
      </c>
    </row>
    <row r="66" spans="1:18" s="734" customFormat="1" ht="15.75">
      <c r="A66" s="1638" t="s">
        <v>877</v>
      </c>
      <c r="B66" s="1732" t="s">
        <v>1127</v>
      </c>
      <c r="C66" s="285">
        <f ca="1">ROUND(C48*F66,0)</f>
        <v>1081</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46551</v>
      </c>
      <c r="D67" s="1739" t="s">
        <v>1150</v>
      </c>
      <c r="E67" s="1833"/>
      <c r="F67" s="1834"/>
      <c r="O67" s="1798" t="s">
        <v>1198</v>
      </c>
      <c r="P67" s="1792" t="s">
        <v>1230</v>
      </c>
      <c r="Q67" s="1854">
        <f ca="1">L51</f>
        <v>1093551</v>
      </c>
      <c r="R67" s="1830" t="s">
        <v>1247</v>
      </c>
    </row>
    <row r="68" spans="1:18" s="734" customFormat="1" ht="15.75">
      <c r="A68" s="1835" t="s">
        <v>1154</v>
      </c>
      <c r="B68" s="1836" t="s">
        <v>1171</v>
      </c>
      <c r="C68" s="1679">
        <f ca="1">ROUND(C67*(1-((1+F70)/(1+F68))^F69)/(F68-F70),0)</f>
        <v>1557992</v>
      </c>
      <c r="D68" s="1743" t="s">
        <v>1156</v>
      </c>
      <c r="E68" s="1732" t="s">
        <v>1157</v>
      </c>
      <c r="F68" s="1617">
        <f ca="1">F40</f>
        <v>0.04</v>
      </c>
      <c r="O68" s="1798" t="s">
        <v>1202</v>
      </c>
      <c r="P68" s="1853" t="s">
        <v>1248</v>
      </c>
      <c r="Q68" s="1830">
        <f ca="1">ROUND(Q69-Q70*Q71,0)</f>
        <v>48619</v>
      </c>
      <c r="R68" s="1830" t="s">
        <v>1249</v>
      </c>
    </row>
    <row r="69" spans="1:18" s="734" customFormat="1">
      <c r="A69" s="1837"/>
      <c r="B69" s="1838"/>
      <c r="C69" s="1616"/>
      <c r="D69" s="1839" t="s">
        <v>1160</v>
      </c>
      <c r="E69" s="1732" t="s">
        <v>1161</v>
      </c>
      <c r="F69" s="1683">
        <f ca="1">F41</f>
        <v>38</v>
      </c>
      <c r="O69" s="1798" t="s">
        <v>1250</v>
      </c>
      <c r="P69" s="1853" t="s">
        <v>1251</v>
      </c>
      <c r="Q69" s="1830">
        <f ca="1">C39</f>
        <v>84388</v>
      </c>
      <c r="R69" s="1830" t="s">
        <v>1186</v>
      </c>
    </row>
    <row r="70" spans="1:18" s="734" customFormat="1">
      <c r="A70" s="1840"/>
      <c r="B70" s="1841"/>
      <c r="C70" s="1635"/>
      <c r="D70" s="1745"/>
      <c r="E70" s="1732" t="s">
        <v>1164</v>
      </c>
      <c r="F70" s="1722">
        <f ca="1">F42</f>
        <v>3.5000000000000003E-2</v>
      </c>
      <c r="O70" s="1798" t="s">
        <v>1252</v>
      </c>
      <c r="P70" s="1853" t="s">
        <v>1253</v>
      </c>
      <c r="Q70" s="1830">
        <f ca="1">C13</f>
        <v>420817</v>
      </c>
      <c r="R70" s="1830" t="s">
        <v>1186</v>
      </c>
    </row>
    <row r="71" spans="1:18" s="734" customFormat="1">
      <c r="A71" s="1842" t="s">
        <v>1166</v>
      </c>
      <c r="B71" s="1843" t="s">
        <v>1172</v>
      </c>
      <c r="C71" s="1687">
        <f ca="1">ROUND(C68/F71,0)</f>
        <v>12037</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35769</v>
      </c>
      <c r="D75" s="734"/>
      <c r="E75" s="734"/>
      <c r="F75" s="734"/>
      <c r="K75" s="1778"/>
      <c r="L75" s="734"/>
      <c r="O75" s="1791" t="s">
        <v>1035</v>
      </c>
      <c r="P75" s="1792" t="s">
        <v>1216</v>
      </c>
      <c r="Q75" s="1830">
        <f ca="1">Q65+Q66</f>
        <v>2824340</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0.57600000000000007</v>
      </c>
    </row>
    <row r="80" spans="1:18">
      <c r="B80" s="1847" t="s">
        <v>1263</v>
      </c>
      <c r="C80" s="223">
        <f ca="1">ROUND(C75/C39,3)</f>
        <v>0.42399999999999999</v>
      </c>
    </row>
    <row r="81" spans="2:3">
      <c r="B81" s="220" t="s">
        <v>1264</v>
      </c>
      <c r="C81" s="190"/>
    </row>
    <row r="82" spans="2:3">
      <c r="B82" s="222" t="s">
        <v>1008</v>
      </c>
      <c r="C82" s="224">
        <f ca="1">1-C83</f>
        <v>0.85099999999999998</v>
      </c>
    </row>
    <row r="83" spans="2:3">
      <c r="B83" s="222" t="s">
        <v>1009</v>
      </c>
      <c r="C83" s="223">
        <f ca="1">ROUND(C13/C40,3)</f>
        <v>0.14899999999999999</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1276</v>
      </c>
      <c r="B1" s="1555"/>
      <c r="C1" s="1555"/>
      <c r="D1" s="1555"/>
      <c r="E1" s="1556"/>
    </row>
    <row r="2" spans="1:6" ht="15.75">
      <c r="A2" s="1557" t="s">
        <v>914</v>
      </c>
      <c r="B2" s="1558">
        <f ca="1">SUMIF(B6:B13,"&lt;&gt;#ref!",B6:B13)</f>
        <v>282</v>
      </c>
      <c r="C2" s="1559" t="s">
        <v>1277</v>
      </c>
      <c r="D2" s="1560" t="s">
        <v>1278</v>
      </c>
      <c r="E2" s="1561">
        <f>SUM(E6:E13)</f>
        <v>129.43</v>
      </c>
    </row>
    <row r="3" spans="1:6" ht="15.75">
      <c r="A3" s="1557" t="s">
        <v>916</v>
      </c>
      <c r="B3" s="1558">
        <f ca="1">ROUND(B2*10000/E2,0)</f>
        <v>21788</v>
      </c>
      <c r="C3" s="1559" t="s">
        <v>1279</v>
      </c>
      <c r="D3" s="1562"/>
      <c r="E3" s="1563"/>
    </row>
    <row r="4" spans="1:6" ht="15.75">
      <c r="A4" s="1564"/>
      <c r="B4" s="1562"/>
      <c r="C4" s="1562"/>
      <c r="D4" s="1562"/>
      <c r="E4" s="1563"/>
    </row>
    <row r="5" spans="1:6" ht="15">
      <c r="A5" s="1565" t="s">
        <v>1280</v>
      </c>
      <c r="B5" s="3173" t="s">
        <v>1281</v>
      </c>
      <c r="C5" s="3173"/>
      <c r="D5" s="1566"/>
      <c r="E5" s="1567" t="s">
        <v>1282</v>
      </c>
      <c r="F5" s="494" t="s">
        <v>1283</v>
      </c>
    </row>
    <row r="6" spans="1:6">
      <c r="A6" s="1568">
        <f>'数据-取费表'!AN6</f>
        <v>0</v>
      </c>
      <c r="B6" s="494" t="e">
        <f ca="1">IF(F6="是",'数据-取费表'!AO6,0)</f>
        <v>#REF!</v>
      </c>
      <c r="C6" s="1559" t="s">
        <v>1277</v>
      </c>
      <c r="D6" s="1562"/>
      <c r="E6" s="1569">
        <f>IF(OR(A6=0,F6="否"),0,'数据-取费表'!K6+'数据-取费表'!S6)</f>
        <v>0</v>
      </c>
      <c r="F6" s="1570" t="s">
        <v>1284</v>
      </c>
    </row>
    <row r="7" spans="1:6">
      <c r="A7" s="1568" t="str">
        <f>'数据-取费表'!AN7</f>
        <v>收益法 (元)</v>
      </c>
      <c r="B7" s="494">
        <f ca="1">IF(F7="是",'数据-取费表'!AO7,0)</f>
        <v>282</v>
      </c>
      <c r="C7" s="1559" t="s">
        <v>1277</v>
      </c>
      <c r="D7" s="1562"/>
      <c r="E7" s="1569">
        <f>IF(OR(A7=0,F7="否"),0,'数据-取费表'!K7+'数据-取费表'!S7)</f>
        <v>129.43</v>
      </c>
      <c r="F7" s="1570" t="s">
        <v>1284</v>
      </c>
    </row>
    <row r="8" spans="1:6">
      <c r="A8" s="1568">
        <f>'数据-取费表'!AN8</f>
        <v>0</v>
      </c>
      <c r="B8" s="494" t="e">
        <f ca="1">IF(F8="是",'数据-取费表'!AO8,0)</f>
        <v>#REF!</v>
      </c>
      <c r="C8" s="1559" t="s">
        <v>1277</v>
      </c>
      <c r="D8" s="1562"/>
      <c r="E8" s="1569">
        <f>IF(OR(A8=0,F8="否"),0,'数据-取费表'!K8+'数据-取费表'!S8)</f>
        <v>0</v>
      </c>
      <c r="F8" s="1570" t="s">
        <v>1284</v>
      </c>
    </row>
    <row r="9" spans="1:6">
      <c r="A9" s="1568">
        <f>'数据-取费表'!AN9</f>
        <v>0</v>
      </c>
      <c r="B9" s="494" t="e">
        <f ca="1">IF(F9="是",'数据-取费表'!AO9,0)</f>
        <v>#REF!</v>
      </c>
      <c r="C9" s="1559" t="s">
        <v>1277</v>
      </c>
      <c r="D9" s="1562"/>
      <c r="E9" s="1569">
        <f>IF(OR(A9=0,F9="否"),0,'数据-取费表'!K9+'数据-取费表'!S9)</f>
        <v>0</v>
      </c>
      <c r="F9" s="1570" t="s">
        <v>1284</v>
      </c>
    </row>
    <row r="10" spans="1:6">
      <c r="A10" s="1568">
        <f>'数据-取费表'!AN10</f>
        <v>0</v>
      </c>
      <c r="B10" s="494" t="e">
        <f ca="1">IF(F10="是",'数据-取费表'!AO10,0)</f>
        <v>#REF!</v>
      </c>
      <c r="C10" s="1559" t="s">
        <v>1277</v>
      </c>
      <c r="D10" s="1562"/>
      <c r="E10" s="1569">
        <f>IF(OR(A10=0,F10="否"),0,'数据-取费表'!K10+'数据-取费表'!S10)</f>
        <v>0</v>
      </c>
      <c r="F10" s="1570" t="s">
        <v>1284</v>
      </c>
    </row>
    <row r="11" spans="1:6">
      <c r="A11" s="1568">
        <f>'数据-取费表'!AN11</f>
        <v>0</v>
      </c>
      <c r="B11" s="494" t="e">
        <f ca="1">IF(F11="是",'数据-取费表'!AO11,0)</f>
        <v>#REF!</v>
      </c>
      <c r="C11" s="1559" t="s">
        <v>1277</v>
      </c>
      <c r="D11" s="1562"/>
      <c r="E11" s="1569">
        <f>IF(OR(A11=0,F11="否"),0,'数据-取费表'!K11+'数据-取费表'!S11)</f>
        <v>0</v>
      </c>
      <c r="F11" s="1570" t="s">
        <v>1284</v>
      </c>
    </row>
    <row r="12" spans="1:6">
      <c r="A12" s="1568">
        <f>'数据-取费表'!AN12</f>
        <v>0</v>
      </c>
      <c r="B12" s="494" t="e">
        <f ca="1">IF(F12="是",'数据-取费表'!AO12,0)</f>
        <v>#REF!</v>
      </c>
      <c r="C12" s="1559" t="s">
        <v>1277</v>
      </c>
      <c r="D12" s="1562"/>
      <c r="E12" s="1569">
        <f>IF(OR(A12=0,F12="否"),0,'数据-取费表'!K12+'数据-取费表'!S12)</f>
        <v>0</v>
      </c>
      <c r="F12" s="1570" t="s">
        <v>1284</v>
      </c>
    </row>
    <row r="13" spans="1:6">
      <c r="A13" s="1571">
        <f>'数据-取费表'!AN13</f>
        <v>0</v>
      </c>
      <c r="B13" s="494" t="e">
        <f ca="1">IF(F13="是",'数据-取费表'!AO13,0)</f>
        <v>#REF!</v>
      </c>
      <c r="C13" s="1572" t="s">
        <v>1277</v>
      </c>
      <c r="D13" s="1573"/>
      <c r="E13" s="1569">
        <f>IF(OR(A13=0,F13="否"),0,'数据-取费表'!K13+'数据-取费表'!S13)</f>
        <v>0</v>
      </c>
      <c r="F13" s="1570" t="s">
        <v>1284</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4" t="s">
        <v>1285</v>
      </c>
      <c r="B1" s="3175"/>
      <c r="C1" s="3176"/>
      <c r="D1" s="3177">
        <f>SUM(I10,I15,I20,I21,I23)</f>
        <v>0</v>
      </c>
      <c r="E1" s="3177"/>
      <c r="F1" s="3177"/>
      <c r="G1" s="3177"/>
      <c r="H1" s="3177"/>
      <c r="I1" s="3178"/>
    </row>
    <row r="2" spans="1:9">
      <c r="A2" s="3186" t="s">
        <v>1286</v>
      </c>
      <c r="B2" s="3179" t="s">
        <v>1287</v>
      </c>
      <c r="C2" s="3179"/>
      <c r="D2" s="1525" t="s">
        <v>1288</v>
      </c>
      <c r="E2" s="1525" t="s">
        <v>1289</v>
      </c>
      <c r="F2" s="1525" t="s">
        <v>1290</v>
      </c>
      <c r="G2" s="1525" t="s">
        <v>1291</v>
      </c>
      <c r="H2" s="1525" t="s">
        <v>1292</v>
      </c>
      <c r="I2" s="1549" t="s">
        <v>1293</v>
      </c>
    </row>
    <row r="3" spans="1:9">
      <c r="A3" s="3186"/>
      <c r="B3" s="3179" t="s">
        <v>1294</v>
      </c>
      <c r="C3" s="3179"/>
      <c r="D3" s="1526"/>
      <c r="E3" s="1525"/>
      <c r="F3" s="1527"/>
      <c r="G3" s="1527"/>
      <c r="H3" s="1528"/>
      <c r="I3" s="1550">
        <f>ROUND(D3*E3*F3*G3*H3/10000,0)</f>
        <v>0</v>
      </c>
    </row>
    <row r="4" spans="1:9">
      <c r="A4" s="3186"/>
      <c r="B4" s="3179" t="s">
        <v>1295</v>
      </c>
      <c r="C4" s="3179"/>
      <c r="D4" s="1526"/>
      <c r="E4" s="1525"/>
      <c r="F4" s="1527"/>
      <c r="G4" s="1527"/>
      <c r="H4" s="1528"/>
      <c r="I4" s="1550">
        <f t="shared" ref="I4:I9" si="0">ROUND(D4*E4*F4*G4*H4/10000,0)</f>
        <v>0</v>
      </c>
    </row>
    <row r="5" spans="1:9">
      <c r="A5" s="3186"/>
      <c r="B5" s="3179" t="s">
        <v>1296</v>
      </c>
      <c r="C5" s="3179"/>
      <c r="D5" s="1526"/>
      <c r="E5" s="1525"/>
      <c r="F5" s="1527"/>
      <c r="G5" s="1527"/>
      <c r="H5" s="1528"/>
      <c r="I5" s="1550">
        <f t="shared" si="0"/>
        <v>0</v>
      </c>
    </row>
    <row r="6" spans="1:9">
      <c r="A6" s="3186"/>
      <c r="B6" s="3179" t="s">
        <v>1297</v>
      </c>
      <c r="C6" s="3179"/>
      <c r="D6" s="1526"/>
      <c r="E6" s="1525"/>
      <c r="F6" s="1527"/>
      <c r="G6" s="1527"/>
      <c r="H6" s="1528"/>
      <c r="I6" s="1550">
        <f t="shared" si="0"/>
        <v>0</v>
      </c>
    </row>
    <row r="7" spans="1:9">
      <c r="A7" s="3186"/>
      <c r="B7" s="3179" t="s">
        <v>1298</v>
      </c>
      <c r="C7" s="3179"/>
      <c r="D7" s="1526"/>
      <c r="E7" s="1525"/>
      <c r="F7" s="1527"/>
      <c r="G7" s="1527"/>
      <c r="H7" s="1528"/>
      <c r="I7" s="1550">
        <f t="shared" si="0"/>
        <v>0</v>
      </c>
    </row>
    <row r="8" spans="1:9">
      <c r="A8" s="3186"/>
      <c r="B8" s="3179" t="s">
        <v>1299</v>
      </c>
      <c r="C8" s="3179"/>
      <c r="D8" s="1526"/>
      <c r="E8" s="1525"/>
      <c r="F8" s="1527"/>
      <c r="G8" s="1527"/>
      <c r="H8" s="1528"/>
      <c r="I8" s="1550">
        <f t="shared" si="0"/>
        <v>0</v>
      </c>
    </row>
    <row r="9" spans="1:9">
      <c r="A9" s="3186"/>
      <c r="B9" s="3179" t="s">
        <v>1300</v>
      </c>
      <c r="C9" s="3179"/>
      <c r="D9" s="1526"/>
      <c r="E9" s="1525"/>
      <c r="F9" s="1527"/>
      <c r="G9" s="1527"/>
      <c r="H9" s="1528"/>
      <c r="I9" s="1550">
        <f t="shared" si="0"/>
        <v>0</v>
      </c>
    </row>
    <row r="10" spans="1:9">
      <c r="A10" s="3186"/>
      <c r="B10" s="3180" t="s">
        <v>485</v>
      </c>
      <c r="C10" s="3180"/>
      <c r="D10" s="1529"/>
      <c r="E10" s="1529" t="e">
        <f>ROUND(D1*10000/D10/H9,0)</f>
        <v>#DIV/0!</v>
      </c>
      <c r="F10" s="1530"/>
      <c r="G10" s="1530"/>
      <c r="H10" s="1531"/>
      <c r="I10" s="1551">
        <f>SUM(I3:I9)</f>
        <v>0</v>
      </c>
    </row>
    <row r="11" spans="1:9" ht="14.25">
      <c r="A11" s="3186" t="s">
        <v>1301</v>
      </c>
      <c r="B11" s="3179" t="s">
        <v>1302</v>
      </c>
      <c r="C11" s="3179"/>
      <c r="D11" s="1526" t="s">
        <v>1303</v>
      </c>
      <c r="E11" s="1526" t="s">
        <v>1304</v>
      </c>
      <c r="F11" s="1527" t="s">
        <v>1305</v>
      </c>
      <c r="G11" s="1527" t="s">
        <v>1292</v>
      </c>
      <c r="H11" s="1532" t="s">
        <v>124</v>
      </c>
      <c r="I11" s="1549" t="s">
        <v>1293</v>
      </c>
    </row>
    <row r="12" spans="1:9">
      <c r="A12" s="3186"/>
      <c r="B12" s="3179" t="s">
        <v>1306</v>
      </c>
      <c r="C12" s="3179"/>
      <c r="D12" s="1526"/>
      <c r="E12" s="1526"/>
      <c r="F12" s="1527"/>
      <c r="G12" s="1528"/>
      <c r="H12" s="1533"/>
      <c r="I12" s="1549">
        <f>ROUND(D12*E12*F12*G12/10000,0)</f>
        <v>0</v>
      </c>
    </row>
    <row r="13" spans="1:9">
      <c r="A13" s="3186"/>
      <c r="B13" s="3179" t="s">
        <v>1307</v>
      </c>
      <c r="C13" s="3179"/>
      <c r="D13" s="1526"/>
      <c r="E13" s="1526"/>
      <c r="F13" s="1527"/>
      <c r="G13" s="1528"/>
      <c r="H13" s="1533"/>
      <c r="I13" s="1549">
        <f>ROUND(D13*E13*F13*G13/10000,0)</f>
        <v>0</v>
      </c>
    </row>
    <row r="14" spans="1:9">
      <c r="A14" s="3186"/>
      <c r="B14" s="3179" t="s">
        <v>1308</v>
      </c>
      <c r="C14" s="3179"/>
      <c r="D14" s="1526"/>
      <c r="E14" s="1526"/>
      <c r="F14" s="1527"/>
      <c r="G14" s="1528"/>
      <c r="H14" s="1533"/>
      <c r="I14" s="1549">
        <f>ROUND(D14*E14*F14*G14/10000,0)</f>
        <v>0</v>
      </c>
    </row>
    <row r="15" spans="1:9">
      <c r="A15" s="3186"/>
      <c r="B15" s="3180" t="s">
        <v>485</v>
      </c>
      <c r="C15" s="3180"/>
      <c r="D15" s="1529"/>
      <c r="E15" s="1529">
        <f>SUM(E12:E14)</f>
        <v>0</v>
      </c>
      <c r="F15" s="1530"/>
      <c r="G15" s="1528"/>
      <c r="H15" s="1533"/>
      <c r="I15" s="1552">
        <f>SUM(I12:I14)</f>
        <v>0</v>
      </c>
    </row>
    <row r="16" spans="1:9" ht="24">
      <c r="A16" s="3186" t="s">
        <v>1309</v>
      </c>
      <c r="B16" s="3179" t="s">
        <v>1310</v>
      </c>
      <c r="C16" s="3179"/>
      <c r="D16" s="1526" t="s">
        <v>1288</v>
      </c>
      <c r="E16" s="1534" t="s">
        <v>1311</v>
      </c>
      <c r="F16" s="1527" t="s">
        <v>1312</v>
      </c>
      <c r="G16" s="1528" t="s">
        <v>1292</v>
      </c>
      <c r="H16" s="1532" t="s">
        <v>124</v>
      </c>
      <c r="I16" s="1549" t="s">
        <v>1293</v>
      </c>
    </row>
    <row r="17" spans="1:9" ht="14.25">
      <c r="A17" s="3186"/>
      <c r="B17" s="3179" t="s">
        <v>1313</v>
      </c>
      <c r="C17" s="3179"/>
      <c r="D17" s="1526"/>
      <c r="E17" s="1526"/>
      <c r="F17" s="1527"/>
      <c r="G17" s="1528"/>
      <c r="H17" s="1535"/>
      <c r="I17" s="1553">
        <f>ROUND(D17*E17*F17*G17/10000,0)</f>
        <v>0</v>
      </c>
    </row>
    <row r="18" spans="1:9" ht="14.25">
      <c r="A18" s="3186"/>
      <c r="B18" s="3179" t="s">
        <v>1314</v>
      </c>
      <c r="C18" s="3179"/>
      <c r="D18" s="1526"/>
      <c r="E18" s="1526"/>
      <c r="F18" s="1527"/>
      <c r="G18" s="1528"/>
      <c r="H18" s="1535"/>
      <c r="I18" s="1553">
        <f>ROUND(D18*E18*F18*G18/10000,0)</f>
        <v>0</v>
      </c>
    </row>
    <row r="19" spans="1:9" ht="14.25">
      <c r="A19" s="3186"/>
      <c r="B19" s="3179" t="s">
        <v>1315</v>
      </c>
      <c r="C19" s="3179"/>
      <c r="D19" s="1526"/>
      <c r="E19" s="1526"/>
      <c r="F19" s="1527"/>
      <c r="G19" s="1528"/>
      <c r="H19" s="1535"/>
      <c r="I19" s="1553">
        <f>ROUND(D19*E19*F19*G19/10000,0)</f>
        <v>0</v>
      </c>
    </row>
    <row r="20" spans="1:9">
      <c r="A20" s="3186"/>
      <c r="B20" s="3180" t="s">
        <v>485</v>
      </c>
      <c r="C20" s="3180"/>
      <c r="D20" s="1529">
        <f>SUM(D17:D19)</f>
        <v>0</v>
      </c>
      <c r="E20" s="1529"/>
      <c r="F20" s="1530"/>
      <c r="G20" s="1528"/>
      <c r="H20" s="1533"/>
      <c r="I20" s="1552">
        <f>SUM(I17:I19)</f>
        <v>0</v>
      </c>
    </row>
    <row r="21" spans="1:9">
      <c r="A21" s="3186" t="s">
        <v>1316</v>
      </c>
      <c r="B21" s="3194"/>
      <c r="C21" s="3194"/>
      <c r="D21" s="3194"/>
      <c r="E21" s="3194"/>
      <c r="F21" s="3194"/>
      <c r="G21" s="3194"/>
      <c r="H21" s="1536">
        <v>0.1</v>
      </c>
      <c r="I21" s="1551">
        <f>ROUND(I10*H21,0)</f>
        <v>0</v>
      </c>
    </row>
    <row r="22" spans="1:9" ht="14.25">
      <c r="A22" s="3187" t="s">
        <v>1317</v>
      </c>
      <c r="B22" s="3188"/>
      <c r="C22" s="3189"/>
      <c r="D22" s="1537" t="s">
        <v>481</v>
      </c>
      <c r="E22" s="1537" t="s">
        <v>1318</v>
      </c>
      <c r="F22" s="1538" t="s">
        <v>1292</v>
      </c>
      <c r="G22" s="1538" t="s">
        <v>1319</v>
      </c>
      <c r="H22" s="1532" t="s">
        <v>124</v>
      </c>
      <c r="I22" s="1549" t="s">
        <v>1293</v>
      </c>
    </row>
    <row r="23" spans="1:9">
      <c r="A23" s="3190"/>
      <c r="B23" s="3191"/>
      <c r="C23" s="3192"/>
      <c r="D23" s="1539"/>
      <c r="E23" s="1539"/>
      <c r="F23" s="1539"/>
      <c r="G23" s="1540"/>
      <c r="H23" s="1541"/>
      <c r="I23" s="1554">
        <f>ROUND(E23*D23*F23*(1-G23)/10000,0)</f>
        <v>0</v>
      </c>
    </row>
    <row r="26" spans="1:9">
      <c r="A26" s="1542" t="s">
        <v>1320</v>
      </c>
      <c r="B26" s="1542"/>
      <c r="C26" s="1542"/>
      <c r="D26" s="1542"/>
      <c r="E26" s="3185">
        <f>C27-C30-C31-C32</f>
        <v>0</v>
      </c>
      <c r="F26" s="3185"/>
      <c r="G26" s="3185"/>
      <c r="H26" s="1543" t="s">
        <v>1321</v>
      </c>
    </row>
    <row r="27" spans="1:9">
      <c r="A27" s="1544">
        <v>1</v>
      </c>
      <c r="B27" s="1545" t="s">
        <v>1322</v>
      </c>
      <c r="C27" s="1545">
        <f>C28+C29</f>
        <v>0</v>
      </c>
      <c r="D27" s="1545"/>
      <c r="E27" s="3181"/>
      <c r="F27" s="3181"/>
      <c r="G27" s="3181"/>
    </row>
    <row r="28" spans="1:9">
      <c r="A28" s="1546" t="s">
        <v>1323</v>
      </c>
      <c r="B28" s="1545" t="s">
        <v>1324</v>
      </c>
      <c r="C28" s="1545"/>
      <c r="D28" s="1545"/>
      <c r="E28" s="3181"/>
      <c r="F28" s="3181"/>
      <c r="G28" s="3181"/>
    </row>
    <row r="29" spans="1:9">
      <c r="A29" s="1546" t="s">
        <v>1325</v>
      </c>
      <c r="B29" s="1545" t="s">
        <v>1326</v>
      </c>
      <c r="C29" s="1545"/>
      <c r="D29" s="1545"/>
      <c r="E29" s="1545" t="s">
        <v>1327</v>
      </c>
      <c r="F29" s="1545"/>
      <c r="G29" s="1545"/>
    </row>
    <row r="30" spans="1:9">
      <c r="A30" s="1544">
        <v>2</v>
      </c>
      <c r="B30" s="1545" t="s">
        <v>1328</v>
      </c>
      <c r="C30" s="1545">
        <f>C27*D30</f>
        <v>0</v>
      </c>
      <c r="D30" s="1547">
        <v>0.2</v>
      </c>
      <c r="E30" s="1545" t="s">
        <v>1329</v>
      </c>
      <c r="F30" s="1545"/>
      <c r="G30" s="1545"/>
    </row>
    <row r="31" spans="1:9">
      <c r="A31" s="1544">
        <v>3</v>
      </c>
      <c r="B31" s="1545" t="s">
        <v>1330</v>
      </c>
      <c r="C31" s="1545">
        <f>C25*D31</f>
        <v>0</v>
      </c>
      <c r="D31" s="1547">
        <v>0.15</v>
      </c>
      <c r="E31" s="1545" t="s">
        <v>1331</v>
      </c>
      <c r="F31" s="1545"/>
      <c r="G31" s="1545"/>
    </row>
    <row r="32" spans="1:9">
      <c r="A32" s="1544">
        <v>4</v>
      </c>
      <c r="B32" s="1545" t="s">
        <v>1332</v>
      </c>
      <c r="C32" s="1545">
        <f>C27*D32</f>
        <v>0</v>
      </c>
      <c r="D32" s="1547">
        <v>0.05</v>
      </c>
      <c r="E32" s="3193"/>
      <c r="F32" s="3193"/>
      <c r="G32" s="3193"/>
    </row>
    <row r="33" spans="1:7" hidden="1">
      <c r="A33" s="3182" t="s">
        <v>1333</v>
      </c>
      <c r="B33" s="3183"/>
      <c r="C33" s="3183"/>
      <c r="D33" s="3184"/>
      <c r="E33" s="3185"/>
      <c r="F33" s="3185"/>
      <c r="G33" s="3185"/>
    </row>
    <row r="34" spans="1:7" hidden="1">
      <c r="A34" s="1548">
        <v>1</v>
      </c>
      <c r="B34" s="1545" t="s">
        <v>1334</v>
      </c>
      <c r="C34" s="1545"/>
      <c r="D34" s="1545"/>
      <c r="E34" s="3181"/>
      <c r="F34" s="3181"/>
      <c r="G34" s="3181"/>
    </row>
    <row r="35" spans="1:7" hidden="1">
      <c r="A35" s="1548">
        <v>2</v>
      </c>
      <c r="B35" s="1545" t="s">
        <v>1335</v>
      </c>
      <c r="C35" s="1545"/>
      <c r="D35" s="1545"/>
      <c r="E35" s="3181"/>
      <c r="F35" s="3181"/>
      <c r="G35" s="3181"/>
    </row>
    <row r="36" spans="1:7" hidden="1">
      <c r="A36" s="1548">
        <v>3</v>
      </c>
      <c r="B36" s="1545" t="s">
        <v>1336</v>
      </c>
      <c r="C36" s="1545"/>
      <c r="D36" s="1545"/>
      <c r="E36" s="3181"/>
      <c r="F36" s="3181"/>
      <c r="G36" s="3181"/>
    </row>
    <row r="37" spans="1:7" hidden="1">
      <c r="A37" s="1548">
        <v>4</v>
      </c>
      <c r="B37" s="1545" t="s">
        <v>1337</v>
      </c>
      <c r="C37" s="1545"/>
      <c r="D37" s="1545"/>
      <c r="E37" s="3181"/>
      <c r="F37" s="3181"/>
      <c r="G37" s="3181"/>
    </row>
    <row r="38" spans="1:7" hidden="1">
      <c r="A38" s="3182" t="s">
        <v>1338</v>
      </c>
      <c r="B38" s="3183"/>
      <c r="C38" s="3183"/>
      <c r="D38" s="3184"/>
      <c r="E38" s="3185"/>
      <c r="F38" s="3185"/>
      <c r="G38" s="318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18" zoomScale="85" zoomScaleNormal="85" workbookViewId="0">
      <selection activeCell="G19" sqref="G19"/>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1340</v>
      </c>
      <c r="C1" s="1289" t="s">
        <v>1341</v>
      </c>
      <c r="D1" s="1233" t="s">
        <v>538</v>
      </c>
      <c r="E1" s="1433"/>
      <c r="F1" s="1235" t="s">
        <v>1342</v>
      </c>
      <c r="G1" s="1236" t="s">
        <v>1343</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914</v>
      </c>
      <c r="B2" s="1238">
        <f>IF(C2="——",ROUND(C49*D3/10000,0),ROUND(C49*D3/10000,0)-D2)</f>
        <v>1001</v>
      </c>
      <c r="C2" s="1239" t="s">
        <v>124</v>
      </c>
      <c r="D2" s="1378">
        <f ca="1">SUMIF(INDIRECT("'"&amp;F2&amp;"'"&amp;"!A:A"),"承租人权益价值",INDIRECT("'"&amp;F2&amp;"'"&amp;"!c:c"))</f>
        <v>0</v>
      </c>
      <c r="E2" s="1240" t="s">
        <v>915</v>
      </c>
      <c r="F2" s="1241" t="s">
        <v>708</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916</v>
      </c>
      <c r="B3" s="1243">
        <f>IF(C2="——",C49,ROUND(B2*10000/D3,0))</f>
        <v>77361</v>
      </c>
      <c r="C3" s="1242" t="s">
        <v>1344</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1345</v>
      </c>
      <c r="B4" s="881"/>
      <c r="C4" s="3195" t="s">
        <v>1346</v>
      </c>
      <c r="D4" s="3196"/>
      <c r="E4" s="3197" t="s">
        <v>1347</v>
      </c>
      <c r="F4" s="3198"/>
      <c r="G4" s="3197" t="s">
        <v>1348</v>
      </c>
      <c r="H4" s="3198"/>
      <c r="I4" s="3197" t="s">
        <v>1349</v>
      </c>
      <c r="J4" s="3198"/>
      <c r="K4" s="1464"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1" t="s">
        <v>1348</v>
      </c>
      <c r="AC4" s="3231" t="s">
        <v>1349</v>
      </c>
    </row>
    <row r="5" spans="1:29" ht="15">
      <c r="A5" s="882"/>
      <c r="B5" s="883"/>
      <c r="C5" s="3199" t="s">
        <v>1352</v>
      </c>
      <c r="D5" s="3200"/>
      <c r="E5" s="3201" t="s">
        <v>1353</v>
      </c>
      <c r="F5" s="3202"/>
      <c r="G5" s="3201" t="s">
        <v>1353</v>
      </c>
      <c r="H5" s="3202"/>
      <c r="I5" s="3203" t="s">
        <v>1353</v>
      </c>
      <c r="J5" s="3204"/>
      <c r="K5" s="1465"/>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07" t="s">
        <v>1354</v>
      </c>
      <c r="F6" s="3208"/>
      <c r="G6" s="3209" t="s">
        <v>1354</v>
      </c>
      <c r="H6" s="3210"/>
      <c r="I6" s="3211" t="s">
        <v>1354</v>
      </c>
      <c r="J6" s="3212"/>
      <c r="K6" s="1465"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1435"/>
      <c r="C7" s="888">
        <f>'数据-取费表'!B2</f>
        <v>43360</v>
      </c>
      <c r="D7" s="889">
        <v>100</v>
      </c>
      <c r="E7" s="890">
        <v>43334</v>
      </c>
      <c r="F7" s="891">
        <f>SUMIF(58:58,YEAR(E7)&amp;"-"&amp;MONTH(E7),59:59)</f>
        <v>100</v>
      </c>
      <c r="G7" s="890">
        <v>43330</v>
      </c>
      <c r="H7" s="889">
        <f>SUMIF(58:58,YEAR(G7)&amp;"-"&amp;MONTH(G7),59:59)</f>
        <v>100</v>
      </c>
      <c r="I7" s="890">
        <v>43229</v>
      </c>
      <c r="J7" s="889">
        <f>SUMIF(58:58,YEAR(I7)&amp;"-"&amp;MONTH(I7),59:59)</f>
        <v>99</v>
      </c>
      <c r="K7" s="1466"/>
      <c r="L7" s="1026"/>
      <c r="M7" s="1027"/>
      <c r="N7" s="1027"/>
      <c r="O7" s="1027"/>
      <c r="P7" s="3213" t="s">
        <v>1357</v>
      </c>
      <c r="Q7" s="3214"/>
      <c r="R7" s="1065" t="s">
        <v>1358</v>
      </c>
      <c r="S7" s="1066">
        <f t="shared" ref="S7:S15" si="0">F7</f>
        <v>100</v>
      </c>
      <c r="T7" s="1065" t="s">
        <v>1358</v>
      </c>
      <c r="U7" s="1066">
        <f t="shared" ref="U7:U15" si="1">H7</f>
        <v>100</v>
      </c>
      <c r="V7" s="1065" t="s">
        <v>1358</v>
      </c>
      <c r="W7" s="1066">
        <f t="shared" ref="W7:W15" si="2">J7</f>
        <v>99</v>
      </c>
      <c r="X7" s="1067"/>
      <c r="Y7" s="3213" t="s">
        <v>1357</v>
      </c>
      <c r="Z7" s="3215"/>
      <c r="AA7" s="1079">
        <f>D7/F7</f>
        <v>1</v>
      </c>
      <c r="AB7" s="1079">
        <f>D7/H7</f>
        <v>1</v>
      </c>
      <c r="AC7" s="1079">
        <f>D7/J7</f>
        <v>1.0101010101010102</v>
      </c>
    </row>
    <row r="8" spans="1:29" s="861" customFormat="1" ht="15">
      <c r="A8" s="886" t="s">
        <v>1359</v>
      </c>
      <c r="B8" s="887"/>
      <c r="C8" s="893" t="s">
        <v>1360</v>
      </c>
      <c r="D8" s="889">
        <v>100</v>
      </c>
      <c r="E8" s="1436" t="s">
        <v>1361</v>
      </c>
      <c r="F8" s="891">
        <f>SUMIF(61:61,E8,62:62)-SUMIF(61:61,C8,62:62)+100</f>
        <v>100</v>
      </c>
      <c r="G8" s="893" t="s">
        <v>1361</v>
      </c>
      <c r="H8" s="889">
        <f>SUMIF(61:61,G8,62:62)-SUMIF(61:61,C8,62:62)+100</f>
        <v>100</v>
      </c>
      <c r="I8" s="1436" t="s">
        <v>1361</v>
      </c>
      <c r="J8" s="889">
        <f>SUMIF(61:61,I8,62:62)-SUMIF(61:61,C8,62:62)+100</f>
        <v>100</v>
      </c>
      <c r="K8" s="1466"/>
      <c r="L8" s="1026"/>
      <c r="M8" s="1027"/>
      <c r="N8" s="1027"/>
      <c r="O8" s="1027"/>
      <c r="P8" s="3213" t="s">
        <v>1362</v>
      </c>
      <c r="Q8" s="3215"/>
      <c r="R8" s="1065" t="s">
        <v>1358</v>
      </c>
      <c r="S8" s="1066">
        <f t="shared" si="0"/>
        <v>100</v>
      </c>
      <c r="T8" s="1065" t="s">
        <v>1358</v>
      </c>
      <c r="U8" s="1066">
        <f t="shared" si="1"/>
        <v>100</v>
      </c>
      <c r="V8" s="1065" t="s">
        <v>1358</v>
      </c>
      <c r="W8" s="1066">
        <f t="shared" si="2"/>
        <v>100</v>
      </c>
      <c r="X8" s="1067"/>
      <c r="Y8" s="3213" t="s">
        <v>1362</v>
      </c>
      <c r="Z8" s="3215"/>
      <c r="AA8" s="1079">
        <f t="shared" ref="AA8:AA19" si="3">D8/F8</f>
        <v>1</v>
      </c>
      <c r="AB8" s="1079">
        <f t="shared" ref="AB8:AB19" si="4">D8/H8</f>
        <v>1</v>
      </c>
      <c r="AC8" s="1079">
        <f t="shared" ref="AC8:AC19" si="5">D8/J8</f>
        <v>1</v>
      </c>
    </row>
    <row r="9" spans="1:29" s="861" customFormat="1">
      <c r="A9" s="894" t="s">
        <v>1363</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1438" t="s">
        <v>1367</v>
      </c>
      <c r="D10" s="901">
        <v>100</v>
      </c>
      <c r="E10" s="1438" t="s">
        <v>1367</v>
      </c>
      <c r="F10" s="1248">
        <f>SUMIF(65:65,E10,66:66)-SUMIF(65:65,C10,66:66)+100</f>
        <v>100</v>
      </c>
      <c r="G10" s="1438" t="s">
        <v>1367</v>
      </c>
      <c r="H10" s="901">
        <f>SUMIF(65:65,G10,66:66)-SUMIF(65:65,C10,66:66)+100</f>
        <v>100</v>
      </c>
      <c r="I10" s="1438" t="s">
        <v>1367</v>
      </c>
      <c r="J10" s="901">
        <f>SUMIF(65:65,I10,66:66)-SUMIF(65:65,C10,66:66)+100</f>
        <v>100</v>
      </c>
      <c r="K10" s="1467"/>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hidden="1">
      <c r="A11" s="902"/>
      <c r="B11" s="1439" t="s">
        <v>1368</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18"/>
      <c r="Q11" s="1069" t="str">
        <f t="shared" si="6"/>
        <v>容积率</v>
      </c>
      <c r="R11" s="1065" t="s">
        <v>1358</v>
      </c>
      <c r="S11" s="1066">
        <f t="shared" si="0"/>
        <v>100</v>
      </c>
      <c r="T11" s="1065" t="s">
        <v>1358</v>
      </c>
      <c r="U11" s="1066">
        <f t="shared" si="1"/>
        <v>100</v>
      </c>
      <c r="V11" s="1065" t="s">
        <v>1358</v>
      </c>
      <c r="W11" s="1066">
        <f t="shared" si="2"/>
        <v>100</v>
      </c>
      <c r="X11" s="1067"/>
      <c r="Y11" s="3045"/>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85.5">
      <c r="A15" s="916" t="s">
        <v>1369</v>
      </c>
      <c r="B15" s="1200" t="s">
        <v>219</v>
      </c>
      <c r="C15" s="1201" t="str">
        <f>估价对象房地状况!C3</f>
        <v>估价对象周边有万景公寓、富丽小区、中海雅园、北洼路住宅楼等居住社区，综合评价居住社区成熟度好</v>
      </c>
      <c r="D15" s="919">
        <v>100</v>
      </c>
      <c r="E15" s="1440" t="s">
        <v>2498</v>
      </c>
      <c r="F15" s="919">
        <f>SUMIF(76:76,E16,77:77)-SUMIF(76:76,C16,77:77)+100</f>
        <v>100</v>
      </c>
      <c r="G15" s="1440" t="s">
        <v>1370</v>
      </c>
      <c r="H15" s="919">
        <f>SUMIF(76:76,G16,77:77)-SUMIF(76:76,C16,77:77)+100</f>
        <v>100</v>
      </c>
      <c r="I15" s="1440" t="s">
        <v>1370</v>
      </c>
      <c r="J15" s="919">
        <f>SUMIF(76:76,I16,77:77)-SUMIF(76:76,C16,77:77)+100</f>
        <v>100</v>
      </c>
      <c r="K15" s="1469"/>
      <c r="L15" s="1036"/>
      <c r="M15" s="1024"/>
      <c r="N15" s="1024"/>
      <c r="O15" s="1024"/>
      <c r="P15" s="3219" t="s">
        <v>1371</v>
      </c>
      <c r="Q15" s="647" t="str">
        <f t="shared" si="6"/>
        <v>居住社区成熟度</v>
      </c>
      <c r="R15" s="1070" t="s">
        <v>1358</v>
      </c>
      <c r="S15" s="1071">
        <f t="shared" si="0"/>
        <v>100</v>
      </c>
      <c r="T15" s="1070" t="s">
        <v>1358</v>
      </c>
      <c r="U15" s="1071">
        <f t="shared" si="1"/>
        <v>100</v>
      </c>
      <c r="V15" s="1070" t="s">
        <v>1358</v>
      </c>
      <c r="W15" s="1071">
        <f t="shared" si="2"/>
        <v>100</v>
      </c>
      <c r="X15" s="1064"/>
      <c r="Y15" s="3224" t="s">
        <v>1371</v>
      </c>
      <c r="Z15" s="1056" t="str">
        <f t="shared" si="7"/>
        <v>居住社区成熟度</v>
      </c>
      <c r="AA15" s="1081">
        <f t="shared" si="3"/>
        <v>1</v>
      </c>
      <c r="AB15" s="1081">
        <f t="shared" si="4"/>
        <v>1</v>
      </c>
      <c r="AC15" s="1081">
        <f t="shared" si="5"/>
        <v>1</v>
      </c>
    </row>
    <row r="16" spans="1:29" ht="15">
      <c r="A16" s="902"/>
      <c r="B16" s="1202"/>
      <c r="C16" s="922" t="s">
        <v>1372</v>
      </c>
      <c r="D16" s="923"/>
      <c r="E16" s="1039" t="s">
        <v>1372</v>
      </c>
      <c r="F16" s="923"/>
      <c r="G16" s="931" t="s">
        <v>1372</v>
      </c>
      <c r="H16" s="925"/>
      <c r="I16" s="931" t="s">
        <v>1372</v>
      </c>
      <c r="J16" s="923"/>
      <c r="K16" s="1470"/>
      <c r="L16" s="1036"/>
      <c r="M16" s="1024"/>
      <c r="N16" s="1024"/>
      <c r="O16" s="1024"/>
      <c r="P16" s="3220"/>
      <c r="Q16" s="647"/>
      <c r="R16" s="1070"/>
      <c r="S16" s="1071"/>
      <c r="T16" s="1070"/>
      <c r="U16" s="1071"/>
      <c r="V16" s="1070"/>
      <c r="W16" s="1071"/>
      <c r="X16" s="1064"/>
      <c r="Y16" s="3225"/>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2527</v>
      </c>
      <c r="F17" s="925">
        <f>SUMIF(78:78,E18,79:79)-SUMIF(78:78,C18,79:79)+100</f>
        <v>100</v>
      </c>
      <c r="G17" s="1441" t="s">
        <v>2527</v>
      </c>
      <c r="H17" s="929">
        <f>SUMIF(78:78,G18,79:79)-SUMIF(78:78,C18,79:79)+100</f>
        <v>100</v>
      </c>
      <c r="I17" s="1441" t="s">
        <v>2527</v>
      </c>
      <c r="J17" s="929">
        <f>SUMIF(78:78,I18,79:79)-SUMIF(78:78,C18,79:79)+100</f>
        <v>100</v>
      </c>
      <c r="K17" s="1469"/>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t="s">
        <v>1372</v>
      </c>
      <c r="D18" s="925"/>
      <c r="E18" s="1213" t="s">
        <v>1372</v>
      </c>
      <c r="F18" s="925"/>
      <c r="G18" s="1205" t="s">
        <v>1372</v>
      </c>
      <c r="H18" s="923"/>
      <c r="I18" s="1205" t="s">
        <v>1372</v>
      </c>
      <c r="J18" s="923"/>
      <c r="K18" s="1470"/>
      <c r="L18" s="1036"/>
      <c r="M18" s="1024"/>
      <c r="N18" s="1024"/>
      <c r="O18" s="1024"/>
      <c r="P18" s="3220"/>
      <c r="Q18" s="647"/>
      <c r="R18" s="1070"/>
      <c r="S18" s="1071"/>
      <c r="T18" s="1070"/>
      <c r="U18" s="1071"/>
      <c r="V18" s="1070"/>
      <c r="W18" s="1071"/>
      <c r="X18" s="1064"/>
      <c r="Y18" s="3225"/>
      <c r="Z18" s="1056"/>
      <c r="AA18" s="1081">
        <v>1</v>
      </c>
      <c r="AB18" s="1081">
        <v>1</v>
      </c>
      <c r="AC18" s="1081">
        <v>1</v>
      </c>
    </row>
    <row r="19" spans="1:29" ht="256.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2528</v>
      </c>
      <c r="F19" s="929">
        <f>SUMIF(80:80,E20,81:81)-SUMIF(80:80,C20,81:81)+100</f>
        <v>100</v>
      </c>
      <c r="G19" s="1441" t="s">
        <v>2528</v>
      </c>
      <c r="H19" s="925">
        <f>SUMIF(80:80,G20,81:81)-SUMIF(80:80,C20,81:81)+100</f>
        <v>100</v>
      </c>
      <c r="I19" s="1441" t="s">
        <v>2528</v>
      </c>
      <c r="J19" s="925">
        <f>SUMIF(80:80,I20,81:81)-SUMIF(80:80,C20,81:81)+100</f>
        <v>100</v>
      </c>
      <c r="K19" s="1469"/>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t="s">
        <v>1373</v>
      </c>
      <c r="D20" s="923"/>
      <c r="E20" s="1039" t="s">
        <v>1373</v>
      </c>
      <c r="F20" s="923"/>
      <c r="G20" s="931" t="s">
        <v>1373</v>
      </c>
      <c r="H20" s="923"/>
      <c r="I20" s="931" t="s">
        <v>1373</v>
      </c>
      <c r="J20" s="923"/>
      <c r="K20" s="1470"/>
      <c r="L20" s="1036"/>
      <c r="M20" s="1024"/>
      <c r="N20" s="1024"/>
      <c r="O20" s="1024"/>
      <c r="P20" s="3220"/>
      <c r="Q20" s="647"/>
      <c r="R20" s="1070"/>
      <c r="S20" s="1071"/>
      <c r="T20" s="1070"/>
      <c r="U20" s="1071"/>
      <c r="V20" s="1070"/>
      <c r="W20" s="1071"/>
      <c r="X20" s="1064"/>
      <c r="Y20" s="3225"/>
      <c r="Z20" s="1056"/>
      <c r="AA20" s="1081">
        <v>1</v>
      </c>
      <c r="AB20" s="1081">
        <v>1</v>
      </c>
      <c r="AC20" s="1081">
        <v>1</v>
      </c>
    </row>
    <row r="21" spans="1:29" ht="15">
      <c r="A21" s="902"/>
      <c r="B21" s="1207" t="s">
        <v>663</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20"/>
      <c r="Q22" s="647"/>
      <c r="R22" s="1070"/>
      <c r="S22" s="1071"/>
      <c r="T22" s="1070"/>
      <c r="U22" s="1071"/>
      <c r="V22" s="1070"/>
      <c r="W22" s="1071"/>
      <c r="X22" s="1064"/>
      <c r="Y22" s="3225"/>
      <c r="Z22" s="1056"/>
      <c r="AA22" s="1081">
        <v>1</v>
      </c>
      <c r="AB22" s="1081">
        <v>1</v>
      </c>
      <c r="AC22" s="1081">
        <v>1</v>
      </c>
    </row>
    <row r="23" spans="1:29" ht="81" customHeight="1">
      <c r="A23" s="902"/>
      <c r="B23" s="1203" t="s">
        <v>667</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2529</v>
      </c>
      <c r="F23" s="925">
        <f>SUMIF(84:84,E24,85:85)-SUMIF(84:84,C24,85:85)+100</f>
        <v>100</v>
      </c>
      <c r="G23" s="1443" t="s">
        <v>2529</v>
      </c>
      <c r="H23" s="925">
        <f>SUMIF(84:84,G24,85:85)-SUMIF(84:84,C24,85:85)+100</f>
        <v>100</v>
      </c>
      <c r="I23" s="1443" t="s">
        <v>2529</v>
      </c>
      <c r="J23" s="925">
        <f>SUMIF(84:84,I24,85:85)-SUMIF(84:84,C24,85:85)+100</f>
        <v>100</v>
      </c>
      <c r="K23" s="1469"/>
      <c r="L23" s="1036"/>
      <c r="M23" s="1024"/>
      <c r="N23" s="1024"/>
      <c r="O23" s="1024"/>
      <c r="P23" s="3220"/>
      <c r="Q23" s="647" t="str">
        <f>B23</f>
        <v>自然及人文环境</v>
      </c>
      <c r="R23" s="1070" t="s">
        <v>1358</v>
      </c>
      <c r="S23" s="1071">
        <f>F23</f>
        <v>100</v>
      </c>
      <c r="T23" s="1070" t="s">
        <v>1358</v>
      </c>
      <c r="U23" s="1071">
        <f>H23</f>
        <v>100</v>
      </c>
      <c r="V23" s="1070" t="s">
        <v>1358</v>
      </c>
      <c r="W23" s="1071">
        <f>J23</f>
        <v>100</v>
      </c>
      <c r="X23" s="1064"/>
      <c r="Y23" s="3225"/>
      <c r="Z23" s="1056" t="str">
        <f>Q23</f>
        <v>自然及人文环境</v>
      </c>
      <c r="AA23" s="1081">
        <f>D23/F23</f>
        <v>1</v>
      </c>
      <c r="AB23" s="1081">
        <f>D23/H23</f>
        <v>1</v>
      </c>
      <c r="AC23" s="1081">
        <f>D23/J23</f>
        <v>1</v>
      </c>
    </row>
    <row r="24" spans="1:29" ht="15">
      <c r="A24" s="902"/>
      <c r="B24" s="950"/>
      <c r="C24" s="922" t="s">
        <v>2530</v>
      </c>
      <c r="D24" s="923"/>
      <c r="E24" s="1039" t="s">
        <v>2530</v>
      </c>
      <c r="F24" s="923"/>
      <c r="G24" s="931" t="s">
        <v>2530</v>
      </c>
      <c r="H24" s="923"/>
      <c r="I24" s="931" t="s">
        <v>2530</v>
      </c>
      <c r="J24" s="923"/>
      <c r="K24" s="1470"/>
      <c r="L24" s="1036"/>
      <c r="M24" s="1024"/>
      <c r="N24" s="1024"/>
      <c r="O24" s="1024"/>
      <c r="P24" s="3220"/>
      <c r="Q24" s="647"/>
      <c r="R24" s="1070"/>
      <c r="S24" s="1071"/>
      <c r="T24" s="1070"/>
      <c r="U24" s="1071"/>
      <c r="V24" s="1070"/>
      <c r="W24" s="1071"/>
      <c r="X24" s="1064"/>
      <c r="Y24" s="3225"/>
      <c r="Z24" s="1056"/>
      <c r="AA24" s="1081">
        <v>1</v>
      </c>
      <c r="AB24" s="1081">
        <v>1</v>
      </c>
      <c r="AC24" s="1081">
        <v>1</v>
      </c>
    </row>
    <row r="25" spans="1:29" ht="15">
      <c r="A25" s="902"/>
      <c r="B25" s="1444" t="s">
        <v>1374</v>
      </c>
      <c r="C25" s="1446" t="s">
        <v>2499</v>
      </c>
      <c r="D25" s="911">
        <v>100</v>
      </c>
      <c r="E25" s="1447" t="s">
        <v>2500</v>
      </c>
      <c r="F25" s="911">
        <f>SUMIF(86:86,E25,87:87)-SUMIF(86:86,C25,87:87)+100</f>
        <v>100</v>
      </c>
      <c r="G25" s="1445" t="s">
        <v>2501</v>
      </c>
      <c r="H25" s="911">
        <f>SUMIF(86:86,G25,87:87)-SUMIF(86:86,C25,87:87)+100</f>
        <v>100</v>
      </c>
      <c r="I25" s="1445" t="s">
        <v>2502</v>
      </c>
      <c r="J25" s="911">
        <f>SUMIF(86:86,I25,87:87)-SUMIF(86:86,C25,87:87)+100</f>
        <v>100</v>
      </c>
      <c r="K25" s="1472"/>
      <c r="L25" s="1036"/>
      <c r="M25" s="1024"/>
      <c r="N25" s="1024"/>
      <c r="O25" s="1024"/>
      <c r="P25" s="3220"/>
      <c r="Q25" s="647" t="str">
        <f t="shared" ref="Q25:Q46" si="11">B25</f>
        <v>楼层-1</v>
      </c>
      <c r="R25" s="1070" t="s">
        <v>1358</v>
      </c>
      <c r="S25" s="1071">
        <f t="shared" ref="S25:S46" si="12">F25</f>
        <v>100</v>
      </c>
      <c r="T25" s="1070" t="s">
        <v>1358</v>
      </c>
      <c r="U25" s="1071">
        <f t="shared" ref="U25:U46" si="13">H25</f>
        <v>100</v>
      </c>
      <c r="V25" s="1070" t="s">
        <v>1358</v>
      </c>
      <c r="W25" s="1071">
        <f t="shared" ref="W25:W46" si="14">J25</f>
        <v>100</v>
      </c>
      <c r="X25" s="1064"/>
      <c r="Y25" s="3225"/>
      <c r="Z25" s="1056" t="str">
        <f>Q25</f>
        <v>楼层-1</v>
      </c>
      <c r="AA25" s="1081">
        <f t="shared" ref="AA25:AA46" si="15">D25/F25</f>
        <v>1</v>
      </c>
      <c r="AB25" s="1081">
        <f t="shared" ref="AB25:AB46" si="16">D25/H25</f>
        <v>1</v>
      </c>
      <c r="AC25" s="1081">
        <f t="shared" ref="AC25:AC46" si="17">D25/J25</f>
        <v>1</v>
      </c>
    </row>
    <row r="26" spans="1:29" ht="15">
      <c r="A26" s="902"/>
      <c r="B26" s="1444" t="s">
        <v>1375</v>
      </c>
      <c r="C26" s="1446" t="s">
        <v>1376</v>
      </c>
      <c r="D26" s="911">
        <v>100</v>
      </c>
      <c r="E26" s="1447" t="s">
        <v>1377</v>
      </c>
      <c r="F26" s="911">
        <f>SUMIF(88:88,E26,89:89)-SUMIF(88:88,C26,89:89)+100</f>
        <v>101.5</v>
      </c>
      <c r="G26" s="1445" t="s">
        <v>1378</v>
      </c>
      <c r="H26" s="911">
        <f>SUMIF(88:88,G26,89:89)-SUMIF(88:88,C26,89:89)+100</f>
        <v>101</v>
      </c>
      <c r="I26" s="1445" t="s">
        <v>1377</v>
      </c>
      <c r="J26" s="911">
        <f>SUMIF(88:88,I26,89:89)-SUMIF(88:88,C26,89:89)+100</f>
        <v>101.5</v>
      </c>
      <c r="K26" s="1467">
        <v>0.5</v>
      </c>
      <c r="L26" s="1036"/>
      <c r="M26" s="1024"/>
      <c r="N26" s="1024"/>
      <c r="O26" s="1024"/>
      <c r="P26" s="3220"/>
      <c r="Q26" s="647" t="str">
        <f t="shared" si="11"/>
        <v>朝向</v>
      </c>
      <c r="R26" s="1070" t="s">
        <v>1358</v>
      </c>
      <c r="S26" s="1071">
        <f t="shared" si="12"/>
        <v>101.5</v>
      </c>
      <c r="T26" s="1070" t="s">
        <v>1358</v>
      </c>
      <c r="U26" s="1071">
        <f t="shared" si="13"/>
        <v>101</v>
      </c>
      <c r="V26" s="1070" t="s">
        <v>1358</v>
      </c>
      <c r="W26" s="1071">
        <f t="shared" si="14"/>
        <v>101.5</v>
      </c>
      <c r="X26" s="1064"/>
      <c r="Y26" s="3225"/>
      <c r="Z26" s="1056" t="str">
        <f>Q26</f>
        <v>朝向</v>
      </c>
      <c r="AA26" s="1081">
        <f t="shared" si="15"/>
        <v>0.98522167487684731</v>
      </c>
      <c r="AB26" s="1081">
        <f t="shared" si="16"/>
        <v>0.99009900990099009</v>
      </c>
      <c r="AC26" s="1081">
        <f t="shared" si="17"/>
        <v>0.98522167487684731</v>
      </c>
    </row>
    <row r="27" spans="1:29" s="861" customFormat="1" ht="15">
      <c r="A27" s="905"/>
      <c r="B27" s="1448" t="s">
        <v>1379</v>
      </c>
      <c r="C27" s="1449">
        <v>13</v>
      </c>
      <c r="D27" s="1375">
        <v>100</v>
      </c>
      <c r="E27" s="1450" t="s">
        <v>2519</v>
      </c>
      <c r="F27" s="1375">
        <f>SUMIF(90:90,E27,91:91)-SUMIF(90:90,C27,91:91)+100</f>
        <v>99</v>
      </c>
      <c r="G27" s="1451" t="s">
        <v>2520</v>
      </c>
      <c r="H27" s="1375">
        <f>SUMIF(90:90,G27,91:91)-SUMIF(90:90,C27,91:91)+100</f>
        <v>100</v>
      </c>
      <c r="I27" s="1451" t="s">
        <v>2521</v>
      </c>
      <c r="J27" s="1375">
        <f>SUMIF(90:90,I27,91:91)-SUMIF(90:90,C27,91:91)+100</f>
        <v>97.5</v>
      </c>
      <c r="K27" s="1468"/>
      <c r="L27" s="1026"/>
      <c r="M27" s="1027"/>
      <c r="N27" s="1027"/>
      <c r="O27" s="1027"/>
      <c r="P27" s="3220"/>
      <c r="Q27" s="1069" t="str">
        <f t="shared" si="11"/>
        <v>楼层</v>
      </c>
      <c r="R27" s="1065" t="s">
        <v>1358</v>
      </c>
      <c r="S27" s="1066">
        <f t="shared" si="12"/>
        <v>99</v>
      </c>
      <c r="T27" s="1065" t="s">
        <v>1358</v>
      </c>
      <c r="U27" s="1066">
        <f t="shared" si="13"/>
        <v>100</v>
      </c>
      <c r="V27" s="1065" t="s">
        <v>1358</v>
      </c>
      <c r="W27" s="1066">
        <f t="shared" si="14"/>
        <v>97.5</v>
      </c>
      <c r="X27" s="1067"/>
      <c r="Y27" s="3225"/>
      <c r="Z27" s="1080" t="str">
        <f>Q27</f>
        <v>楼层</v>
      </c>
      <c r="AA27" s="1081">
        <f t="shared" si="15"/>
        <v>1.0101010101010102</v>
      </c>
      <c r="AB27" s="1081">
        <f t="shared" si="16"/>
        <v>1</v>
      </c>
      <c r="AC27" s="1081">
        <f t="shared" si="17"/>
        <v>1.0256410256410255</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20"/>
      <c r="Q28" s="647">
        <f t="shared" si="11"/>
        <v>0</v>
      </c>
      <c r="R28" s="1070" t="s">
        <v>1358</v>
      </c>
      <c r="S28" s="1071">
        <f t="shared" si="12"/>
        <v>100</v>
      </c>
      <c r="T28" s="1070" t="s">
        <v>1358</v>
      </c>
      <c r="U28" s="1071">
        <f t="shared" si="13"/>
        <v>100</v>
      </c>
      <c r="V28" s="1070" t="s">
        <v>1358</v>
      </c>
      <c r="W28" s="1071">
        <f t="shared" si="14"/>
        <v>100</v>
      </c>
      <c r="X28" s="1064"/>
      <c r="Y28" s="3225"/>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20"/>
      <c r="Q29" s="647">
        <f t="shared" si="11"/>
        <v>0</v>
      </c>
      <c r="R29" s="1070" t="s">
        <v>1358</v>
      </c>
      <c r="S29" s="1071">
        <f t="shared" si="12"/>
        <v>100</v>
      </c>
      <c r="T29" s="1070" t="s">
        <v>1358</v>
      </c>
      <c r="U29" s="1071">
        <f t="shared" si="13"/>
        <v>100</v>
      </c>
      <c r="V29" s="1070" t="s">
        <v>1358</v>
      </c>
      <c r="W29" s="1071">
        <f t="shared" si="14"/>
        <v>100</v>
      </c>
      <c r="X29" s="1064"/>
      <c r="Y29" s="3225"/>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20"/>
      <c r="Q30" s="647">
        <f t="shared" si="11"/>
        <v>0</v>
      </c>
      <c r="R30" s="1070" t="s">
        <v>1358</v>
      </c>
      <c r="S30" s="1071">
        <f t="shared" si="12"/>
        <v>100</v>
      </c>
      <c r="T30" s="1070" t="s">
        <v>1358</v>
      </c>
      <c r="U30" s="1071">
        <f t="shared" si="13"/>
        <v>100</v>
      </c>
      <c r="V30" s="1070" t="s">
        <v>1358</v>
      </c>
      <c r="W30" s="1071">
        <f t="shared" si="14"/>
        <v>100</v>
      </c>
      <c r="X30" s="1064"/>
      <c r="Y30" s="3225"/>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20"/>
      <c r="Q31" s="647">
        <f t="shared" si="11"/>
        <v>0</v>
      </c>
      <c r="R31" s="1070" t="s">
        <v>1358</v>
      </c>
      <c r="S31" s="1071">
        <f t="shared" si="12"/>
        <v>100</v>
      </c>
      <c r="T31" s="1070" t="s">
        <v>1358</v>
      </c>
      <c r="U31" s="1071">
        <f t="shared" si="13"/>
        <v>100</v>
      </c>
      <c r="V31" s="1070" t="s">
        <v>1358</v>
      </c>
      <c r="W31" s="1071">
        <f t="shared" si="14"/>
        <v>100</v>
      </c>
      <c r="X31" s="1064"/>
      <c r="Y31" s="3225"/>
      <c r="Z31" s="1056">
        <f t="shared" si="18"/>
        <v>0</v>
      </c>
      <c r="AA31" s="1081">
        <f t="shared" si="15"/>
        <v>1</v>
      </c>
      <c r="AB31" s="1081">
        <f t="shared" si="16"/>
        <v>1</v>
      </c>
      <c r="AC31" s="1081">
        <f t="shared" si="17"/>
        <v>1</v>
      </c>
    </row>
    <row r="32" spans="1:29" ht="15">
      <c r="A32" s="916" t="s">
        <v>1380</v>
      </c>
      <c r="B32" s="895" t="s">
        <v>1381</v>
      </c>
      <c r="C32" s="1453" t="s">
        <v>1382</v>
      </c>
      <c r="D32" s="952">
        <v>100</v>
      </c>
      <c r="E32" s="1453" t="s">
        <v>1382</v>
      </c>
      <c r="F32" s="1255">
        <f>SUMIF(100:100,E32,101:101)-SUMIF(100:100,C32,101:101)+100</f>
        <v>100</v>
      </c>
      <c r="G32" s="1453" t="s">
        <v>1382</v>
      </c>
      <c r="H32" s="952">
        <f>SUMIF(100:100,G32,101:101)-SUMIF(100:100,C32,101:101)+100</f>
        <v>100</v>
      </c>
      <c r="I32" s="1453" t="s">
        <v>1382</v>
      </c>
      <c r="J32" s="911">
        <f>SUMIF(100:100,I32,101:101)-SUMIF(100:100,C32,101:101)+100</f>
        <v>100</v>
      </c>
      <c r="K32" s="1467"/>
      <c r="L32" s="1036"/>
      <c r="M32" s="1024"/>
      <c r="N32" s="1024"/>
      <c r="O32" s="1024"/>
      <c r="P32" s="3221" t="s">
        <v>1383</v>
      </c>
      <c r="Q32" s="647" t="str">
        <f t="shared" si="11"/>
        <v>建筑类型</v>
      </c>
      <c r="R32" s="1070" t="s">
        <v>1358</v>
      </c>
      <c r="S32" s="1071">
        <f t="shared" si="12"/>
        <v>100</v>
      </c>
      <c r="T32" s="1070" t="s">
        <v>1358</v>
      </c>
      <c r="U32" s="1071">
        <f t="shared" si="13"/>
        <v>100</v>
      </c>
      <c r="V32" s="1070" t="s">
        <v>1358</v>
      </c>
      <c r="W32" s="1071">
        <f t="shared" si="14"/>
        <v>100</v>
      </c>
      <c r="X32" s="1064"/>
      <c r="Y32" s="3226" t="s">
        <v>1383</v>
      </c>
      <c r="Z32" s="1056" t="str">
        <f t="shared" si="18"/>
        <v>建筑类型</v>
      </c>
      <c r="AA32" s="1081">
        <f t="shared" si="15"/>
        <v>1</v>
      </c>
      <c r="AB32" s="1081">
        <f t="shared" si="16"/>
        <v>1</v>
      </c>
      <c r="AC32" s="1081">
        <f t="shared" si="17"/>
        <v>1</v>
      </c>
    </row>
    <row r="33" spans="1:29" s="863" customFormat="1" ht="15" hidden="1">
      <c r="A33" s="958"/>
      <c r="B33" s="1444" t="s">
        <v>1384</v>
      </c>
      <c r="C33" s="1249"/>
      <c r="D33" s="901">
        <v>100</v>
      </c>
      <c r="E33" s="904"/>
      <c r="F33" s="1248">
        <f>LOOKUP(E33,103:103,104:104)-LOOKUP(C33,103:103,104:104)+100</f>
        <v>100</v>
      </c>
      <c r="G33" s="903"/>
      <c r="H33" s="901">
        <f>LOOKUP(G33,103:103,104:104)-LOOKUP(C33,103:103,104:104)+100</f>
        <v>100</v>
      </c>
      <c r="I33" s="904"/>
      <c r="J33" s="901">
        <f>LOOKUP(I33,103:103,104:104)-LOOKUP(C33,103:103,104:104)+100</f>
        <v>100</v>
      </c>
      <c r="K33" s="1468"/>
      <c r="L33" s="1034"/>
      <c r="M33" s="1043"/>
      <c r="N33" s="1043"/>
      <c r="O33" s="1043"/>
      <c r="P33" s="3222"/>
      <c r="Q33" s="1294" t="str">
        <f t="shared" si="11"/>
        <v>项目建筑规模</v>
      </c>
      <c r="R33" s="1072" t="s">
        <v>1358</v>
      </c>
      <c r="S33" s="1073">
        <f t="shared" si="12"/>
        <v>100</v>
      </c>
      <c r="T33" s="1072" t="s">
        <v>1358</v>
      </c>
      <c r="U33" s="1073">
        <f t="shared" si="13"/>
        <v>100</v>
      </c>
      <c r="V33" s="1072" t="s">
        <v>1358</v>
      </c>
      <c r="W33" s="1073">
        <f t="shared" si="14"/>
        <v>100</v>
      </c>
      <c r="X33" s="1074"/>
      <c r="Y33" s="3226"/>
      <c r="Z33" s="1082" t="str">
        <f t="shared" si="18"/>
        <v>项目建筑规模</v>
      </c>
      <c r="AA33" s="1081">
        <f t="shared" si="15"/>
        <v>1</v>
      </c>
      <c r="AB33" s="1081">
        <f t="shared" si="16"/>
        <v>1</v>
      </c>
      <c r="AC33" s="1081">
        <f t="shared" si="17"/>
        <v>1</v>
      </c>
    </row>
    <row r="34" spans="1:29" ht="15">
      <c r="A34" s="953"/>
      <c r="B34" s="899" t="s">
        <v>1385</v>
      </c>
      <c r="C34" s="1454" t="s">
        <v>1183</v>
      </c>
      <c r="D34" s="911">
        <v>100</v>
      </c>
      <c r="E34" s="1454" t="s">
        <v>1183</v>
      </c>
      <c r="F34" s="1255">
        <f>SUMIF(105:105,E34,106:106)-SUMIF(105:105,C34,106:106)+100</f>
        <v>100</v>
      </c>
      <c r="G34" s="1454" t="s">
        <v>1183</v>
      </c>
      <c r="H34" s="911">
        <f>SUMIF(105:105,G34,106:106)-SUMIF(105:105,C34,106:106)+100</f>
        <v>100</v>
      </c>
      <c r="I34" s="1454" t="s">
        <v>1183</v>
      </c>
      <c r="J34" s="911">
        <f>SUMIF(105:105,I34,106:106)-SUMIF(105:105,C34,106:106)+100</f>
        <v>100</v>
      </c>
      <c r="K34" s="1467"/>
      <c r="L34" s="1036"/>
      <c r="M34" s="1024"/>
      <c r="N34" s="1024"/>
      <c r="O34" s="1024"/>
      <c r="P34" s="3222"/>
      <c r="Q34" s="647" t="str">
        <f t="shared" si="11"/>
        <v>建筑结构</v>
      </c>
      <c r="R34" s="1070" t="s">
        <v>1358</v>
      </c>
      <c r="S34" s="1071">
        <f t="shared" si="12"/>
        <v>100</v>
      </c>
      <c r="T34" s="1070" t="s">
        <v>1358</v>
      </c>
      <c r="U34" s="1071">
        <f t="shared" si="13"/>
        <v>100</v>
      </c>
      <c r="V34" s="1070" t="s">
        <v>1358</v>
      </c>
      <c r="W34" s="1071">
        <f t="shared" si="14"/>
        <v>100</v>
      </c>
      <c r="X34" s="1064"/>
      <c r="Y34" s="3226"/>
      <c r="Z34" s="1056" t="str">
        <f t="shared" si="18"/>
        <v>建筑结构</v>
      </c>
      <c r="AA34" s="1081">
        <f t="shared" si="15"/>
        <v>1</v>
      </c>
      <c r="AB34" s="1081">
        <f t="shared" si="16"/>
        <v>1</v>
      </c>
      <c r="AC34" s="1081">
        <f t="shared" si="17"/>
        <v>1</v>
      </c>
    </row>
    <row r="35" spans="1:29" ht="15">
      <c r="A35" s="953"/>
      <c r="B35" s="899" t="s">
        <v>1386</v>
      </c>
      <c r="C35" s="1447" t="s">
        <v>1387</v>
      </c>
      <c r="D35" s="911">
        <v>100</v>
      </c>
      <c r="E35" s="1447" t="s">
        <v>1387</v>
      </c>
      <c r="F35" s="1255">
        <f>SUMIF(107:107,E35,108:108)-SUMIF(107:107,C35,108:108)+100</f>
        <v>100</v>
      </c>
      <c r="G35" s="1447" t="s">
        <v>1387</v>
      </c>
      <c r="H35" s="911">
        <f>SUMIF(107:107,G35,108:108)-SUMIF(107:107,C35,108:108)+100</f>
        <v>100</v>
      </c>
      <c r="I35" s="1447" t="s">
        <v>1387</v>
      </c>
      <c r="J35" s="911">
        <f>SUMIF(107:107,I35,108:108)-SUMIF(107:107,C35,108:108)+100</f>
        <v>100</v>
      </c>
      <c r="K35" s="1467"/>
      <c r="L35" s="1036"/>
      <c r="M35" s="1024"/>
      <c r="N35" s="1024"/>
      <c r="O35" s="1024"/>
      <c r="P35" s="3222"/>
      <c r="Q35" s="647" t="str">
        <f t="shared" si="11"/>
        <v>建筑品质</v>
      </c>
      <c r="R35" s="1070" t="s">
        <v>1358</v>
      </c>
      <c r="S35" s="1071">
        <f t="shared" si="12"/>
        <v>100</v>
      </c>
      <c r="T35" s="1070" t="s">
        <v>1358</v>
      </c>
      <c r="U35" s="1071">
        <f t="shared" si="13"/>
        <v>100</v>
      </c>
      <c r="V35" s="1070" t="s">
        <v>1358</v>
      </c>
      <c r="W35" s="1071">
        <f t="shared" si="14"/>
        <v>100</v>
      </c>
      <c r="X35" s="1064"/>
      <c r="Y35" s="3226"/>
      <c r="Z35" s="1056" t="str">
        <f t="shared" si="18"/>
        <v>建筑品质</v>
      </c>
      <c r="AA35" s="1081">
        <f t="shared" si="15"/>
        <v>1</v>
      </c>
      <c r="AB35" s="1081">
        <f t="shared" si="16"/>
        <v>1</v>
      </c>
      <c r="AC35" s="1081">
        <f t="shared" si="17"/>
        <v>1</v>
      </c>
    </row>
    <row r="36" spans="1:29" ht="15">
      <c r="A36" s="953"/>
      <c r="B36" s="899" t="s">
        <v>1388</v>
      </c>
      <c r="C36" s="1447" t="s">
        <v>1389</v>
      </c>
      <c r="D36" s="911">
        <v>100</v>
      </c>
      <c r="E36" s="1447" t="s">
        <v>1389</v>
      </c>
      <c r="F36" s="1255">
        <f>SUMIF(109:109,E36,110:110)-SUMIF(109:109,C36,110:110)+100</f>
        <v>100</v>
      </c>
      <c r="G36" s="1447" t="s">
        <v>1389</v>
      </c>
      <c r="H36" s="911">
        <f>SUMIF(109:109,G36,110:110)-SUMIF(109:109,C36,110:110)+100</f>
        <v>100</v>
      </c>
      <c r="I36" s="1447" t="s">
        <v>1389</v>
      </c>
      <c r="J36" s="911">
        <f>SUMIF(109:109,I36,110:110)-SUMIF(109:109,C36,110:110)+100</f>
        <v>100</v>
      </c>
      <c r="K36" s="1467"/>
      <c r="L36" s="1036"/>
      <c r="M36" s="1024"/>
      <c r="N36" s="1024"/>
      <c r="O36" s="1024"/>
      <c r="P36" s="3222"/>
      <c r="Q36" s="647" t="str">
        <f t="shared" si="11"/>
        <v>公共部分装修</v>
      </c>
      <c r="R36" s="1070" t="s">
        <v>1358</v>
      </c>
      <c r="S36" s="1071">
        <f t="shared" si="12"/>
        <v>100</v>
      </c>
      <c r="T36" s="1070" t="s">
        <v>1358</v>
      </c>
      <c r="U36" s="1071">
        <f t="shared" si="13"/>
        <v>100</v>
      </c>
      <c r="V36" s="1070" t="s">
        <v>1358</v>
      </c>
      <c r="W36" s="1071">
        <f t="shared" si="14"/>
        <v>100</v>
      </c>
      <c r="X36" s="1064"/>
      <c r="Y36" s="3226"/>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22"/>
      <c r="Q37" s="1069" t="str">
        <f t="shared" si="11"/>
        <v>成新度</v>
      </c>
      <c r="R37" s="1065" t="s">
        <v>1358</v>
      </c>
      <c r="S37" s="1066">
        <f t="shared" si="12"/>
        <v>100</v>
      </c>
      <c r="T37" s="1065" t="s">
        <v>1358</v>
      </c>
      <c r="U37" s="1066">
        <f t="shared" si="13"/>
        <v>100</v>
      </c>
      <c r="V37" s="1065" t="s">
        <v>1358</v>
      </c>
      <c r="W37" s="1066">
        <f t="shared" si="14"/>
        <v>100</v>
      </c>
      <c r="X37" s="1067"/>
      <c r="Y37" s="3226"/>
      <c r="Z37" s="1080" t="str">
        <f t="shared" si="18"/>
        <v>成新度</v>
      </c>
      <c r="AA37" s="1079">
        <f t="shared" si="15"/>
        <v>1</v>
      </c>
      <c r="AB37" s="1079">
        <f t="shared" si="16"/>
        <v>1</v>
      </c>
      <c r="AC37" s="1079">
        <f t="shared" si="17"/>
        <v>1</v>
      </c>
    </row>
    <row r="38" spans="1:29" ht="15">
      <c r="A38" s="953"/>
      <c r="B38" s="899" t="s">
        <v>1390</v>
      </c>
      <c r="C38" s="1447" t="s">
        <v>1391</v>
      </c>
      <c r="D38" s="911">
        <v>100</v>
      </c>
      <c r="E38" s="1447" t="s">
        <v>1391</v>
      </c>
      <c r="F38" s="1255">
        <f>SUMIF(114:114,E38,115:115)-SUMIF(114:114,C38,115:115)+100</f>
        <v>100</v>
      </c>
      <c r="G38" s="1447" t="s">
        <v>1391</v>
      </c>
      <c r="H38" s="911">
        <f>SUMIF(114:114,G38,115:115)-SUMIF(114:114,C38,115:115)+100</f>
        <v>100</v>
      </c>
      <c r="I38" s="1447" t="s">
        <v>1391</v>
      </c>
      <c r="J38" s="911">
        <f>SUMIF(114:114,I38,115:115)-SUMIF(114:114,C38,115:115)+100</f>
        <v>100</v>
      </c>
      <c r="K38" s="1467"/>
      <c r="L38" s="1036"/>
      <c r="M38" s="1024"/>
      <c r="N38" s="1024"/>
      <c r="O38" s="1024"/>
      <c r="P38" s="3222" t="s">
        <v>1383</v>
      </c>
      <c r="Q38" s="647" t="str">
        <f t="shared" si="11"/>
        <v>物业管理</v>
      </c>
      <c r="R38" s="1070" t="s">
        <v>1358</v>
      </c>
      <c r="S38" s="1071">
        <f t="shared" si="12"/>
        <v>100</v>
      </c>
      <c r="T38" s="1070" t="s">
        <v>1358</v>
      </c>
      <c r="U38" s="1071">
        <f t="shared" si="13"/>
        <v>100</v>
      </c>
      <c r="V38" s="1070" t="s">
        <v>1358</v>
      </c>
      <c r="W38" s="1071">
        <f t="shared" si="14"/>
        <v>100</v>
      </c>
      <c r="X38" s="1064"/>
      <c r="Y38" s="3226" t="s">
        <v>1383</v>
      </c>
      <c r="Z38" s="1056" t="str">
        <f t="shared" si="18"/>
        <v>物业管理</v>
      </c>
      <c r="AA38" s="1081">
        <f t="shared" si="15"/>
        <v>1</v>
      </c>
      <c r="AB38" s="1081">
        <f t="shared" si="16"/>
        <v>1</v>
      </c>
      <c r="AC38" s="1081">
        <f t="shared" si="17"/>
        <v>1</v>
      </c>
    </row>
    <row r="39" spans="1:29" ht="15">
      <c r="A39" s="953"/>
      <c r="B39" s="899" t="s">
        <v>1392</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22"/>
      <c r="Q39" s="647" t="str">
        <f t="shared" si="11"/>
        <v>市政基础设施</v>
      </c>
      <c r="R39" s="1070" t="s">
        <v>1358</v>
      </c>
      <c r="S39" s="1071">
        <f t="shared" si="12"/>
        <v>100</v>
      </c>
      <c r="T39" s="1070" t="s">
        <v>1358</v>
      </c>
      <c r="U39" s="1071">
        <f t="shared" si="13"/>
        <v>100</v>
      </c>
      <c r="V39" s="1070" t="s">
        <v>1358</v>
      </c>
      <c r="W39" s="1071">
        <f t="shared" si="14"/>
        <v>100</v>
      </c>
      <c r="X39" s="1064"/>
      <c r="Y39" s="3226"/>
      <c r="Z39" s="1056" t="str">
        <f t="shared" si="18"/>
        <v>市政基础设施</v>
      </c>
      <c r="AA39" s="1081">
        <f t="shared" si="15"/>
        <v>1</v>
      </c>
      <c r="AB39" s="1081">
        <f t="shared" si="16"/>
        <v>1</v>
      </c>
      <c r="AC39" s="1081">
        <f t="shared" si="17"/>
        <v>1</v>
      </c>
    </row>
    <row r="40" spans="1:29" ht="15" hidden="1">
      <c r="A40" s="953"/>
      <c r="B40" s="899" t="s">
        <v>1393</v>
      </c>
      <c r="C40" s="954" t="s">
        <v>2490</v>
      </c>
      <c r="D40" s="911">
        <v>100</v>
      </c>
      <c r="E40" s="954" t="s">
        <v>2490</v>
      </c>
      <c r="F40" s="1255">
        <f>SUMIF(118:118,E40,119:119)-SUMIF(118:118,C40,119:119)+100</f>
        <v>100</v>
      </c>
      <c r="G40" s="954" t="s">
        <v>2491</v>
      </c>
      <c r="H40" s="911">
        <f>SUMIF(118:118,G40,119:119)-SUMIF(118:118,C40,119:119)+100</f>
        <v>100</v>
      </c>
      <c r="I40" s="954" t="s">
        <v>2492</v>
      </c>
      <c r="J40" s="911">
        <f>SUMIF(118:118,I40,119:119)-SUMIF(118:118,C40,119:119)+100</f>
        <v>100</v>
      </c>
      <c r="K40" s="1467"/>
      <c r="L40" s="1036"/>
      <c r="M40" s="1024"/>
      <c r="N40" s="1024"/>
      <c r="O40" s="1024"/>
      <c r="P40" s="3222"/>
      <c r="Q40" s="647" t="str">
        <f t="shared" si="11"/>
        <v>房型</v>
      </c>
      <c r="R40" s="1070" t="s">
        <v>1358</v>
      </c>
      <c r="S40" s="1071">
        <f t="shared" si="12"/>
        <v>100</v>
      </c>
      <c r="T40" s="1070" t="s">
        <v>1358</v>
      </c>
      <c r="U40" s="1071">
        <f t="shared" si="13"/>
        <v>100</v>
      </c>
      <c r="V40" s="1070" t="s">
        <v>1358</v>
      </c>
      <c r="W40" s="1071">
        <f t="shared" si="14"/>
        <v>100</v>
      </c>
      <c r="X40" s="1064"/>
      <c r="Y40" s="3226"/>
      <c r="Z40" s="1056" t="str">
        <f t="shared" si="18"/>
        <v>房型</v>
      </c>
      <c r="AA40" s="1081">
        <f t="shared" si="15"/>
        <v>1</v>
      </c>
      <c r="AB40" s="1081">
        <f t="shared" si="16"/>
        <v>1</v>
      </c>
      <c r="AC40" s="1081">
        <f t="shared" si="17"/>
        <v>1</v>
      </c>
    </row>
    <row r="41" spans="1:29" s="863" customFormat="1" ht="28.5">
      <c r="A41" s="958"/>
      <c r="B41" s="1444" t="s">
        <v>1394</v>
      </c>
      <c r="C41" s="1249">
        <v>129.43</v>
      </c>
      <c r="D41" s="901">
        <v>100</v>
      </c>
      <c r="E41" s="904">
        <v>109.26</v>
      </c>
      <c r="F41" s="1248">
        <f>SUMIF(120:120,E41,121:121)-SUMIF(120:120,C41,121:121)+100</f>
        <v>101</v>
      </c>
      <c r="G41" s="1455">
        <v>88.16</v>
      </c>
      <c r="H41" s="901">
        <f>SUMIF(120:120,G41,121:121)-SUMIF(120:120,C41,121:121)+100</f>
        <v>102</v>
      </c>
      <c r="I41" s="1473">
        <v>53.05</v>
      </c>
      <c r="J41" s="911">
        <f>SUMIF(120:120,I41,121:121)-SUMIF(120:120,C41,121:121)+100</f>
        <v>103</v>
      </c>
      <c r="K41" s="1468"/>
      <c r="L41" s="1034"/>
      <c r="M41" s="1043"/>
      <c r="N41" s="1043"/>
      <c r="O41" s="1043"/>
      <c r="P41" s="3222"/>
      <c r="Q41" s="1294" t="str">
        <f t="shared" si="11"/>
        <v>单套/主力户型建筑面积</v>
      </c>
      <c r="R41" s="1072" t="s">
        <v>1358</v>
      </c>
      <c r="S41" s="1073">
        <f t="shared" si="12"/>
        <v>101</v>
      </c>
      <c r="T41" s="1072" t="s">
        <v>1358</v>
      </c>
      <c r="U41" s="1073">
        <f t="shared" si="13"/>
        <v>102</v>
      </c>
      <c r="V41" s="1072" t="s">
        <v>1358</v>
      </c>
      <c r="W41" s="1073">
        <f t="shared" si="14"/>
        <v>103</v>
      </c>
      <c r="X41" s="1074"/>
      <c r="Y41" s="3226"/>
      <c r="Z41" s="1082" t="str">
        <f t="shared" si="18"/>
        <v>单套/主力户型建筑面积</v>
      </c>
      <c r="AA41" s="1081">
        <f t="shared" si="15"/>
        <v>0.99009900990099009</v>
      </c>
      <c r="AB41" s="1081">
        <f t="shared" si="16"/>
        <v>0.98039215686274506</v>
      </c>
      <c r="AC41" s="1081">
        <f t="shared" si="17"/>
        <v>0.970873786407767</v>
      </c>
    </row>
    <row r="42" spans="1:29" ht="15">
      <c r="A42" s="953"/>
      <c r="B42" s="899" t="s">
        <v>1395</v>
      </c>
      <c r="C42" s="1447" t="s">
        <v>1396</v>
      </c>
      <c r="D42" s="911">
        <v>100</v>
      </c>
      <c r="E42" s="1447" t="s">
        <v>1396</v>
      </c>
      <c r="F42" s="1255">
        <f>SUMIF(122:122,E42,123:123)-SUMIF(122:122,C42,123:123)+100</f>
        <v>100</v>
      </c>
      <c r="G42" s="1447" t="s">
        <v>1396</v>
      </c>
      <c r="H42" s="911">
        <f>SUMIF(122:122,G42,123:123)-SUMIF(122:122,C42,123:123)+100</f>
        <v>100</v>
      </c>
      <c r="I42" s="1447" t="s">
        <v>2493</v>
      </c>
      <c r="J42" s="911">
        <f>SUMIF(122:122,I42,123:123)-SUMIF(122:122,C42,123:123)+100</f>
        <v>104</v>
      </c>
      <c r="K42" s="1467">
        <v>2</v>
      </c>
      <c r="L42" s="1036"/>
      <c r="M42" s="1024"/>
      <c r="N42" s="1024"/>
      <c r="O42" s="1024"/>
      <c r="P42" s="3222"/>
      <c r="Q42" s="647" t="str">
        <f t="shared" si="11"/>
        <v>内部装修</v>
      </c>
      <c r="R42" s="1070" t="s">
        <v>1358</v>
      </c>
      <c r="S42" s="1071">
        <f t="shared" si="12"/>
        <v>100</v>
      </c>
      <c r="T42" s="1070" t="s">
        <v>1358</v>
      </c>
      <c r="U42" s="1071">
        <f t="shared" si="13"/>
        <v>100</v>
      </c>
      <c r="V42" s="1070" t="s">
        <v>1358</v>
      </c>
      <c r="W42" s="1071">
        <f t="shared" si="14"/>
        <v>104</v>
      </c>
      <c r="X42" s="1064"/>
      <c r="Y42" s="3226"/>
      <c r="Z42" s="1056" t="str">
        <f t="shared" si="18"/>
        <v>内部装修</v>
      </c>
      <c r="AA42" s="1081">
        <f t="shared" si="15"/>
        <v>1</v>
      </c>
      <c r="AB42" s="1081">
        <f t="shared" si="16"/>
        <v>1</v>
      </c>
      <c r="AC42" s="1081">
        <f t="shared" si="17"/>
        <v>0.96153846153846156</v>
      </c>
    </row>
    <row r="43" spans="1:29" ht="15" hidden="1">
      <c r="A43" s="953"/>
      <c r="B43" s="899" t="s">
        <v>229</v>
      </c>
      <c r="C43" s="1445" t="s">
        <v>2494</v>
      </c>
      <c r="D43" s="911">
        <v>100</v>
      </c>
      <c r="E43" s="1445" t="s">
        <v>2494</v>
      </c>
      <c r="F43" s="1255">
        <f>SUMIF(124:124,E43,125:125)-SUMIF(124:124,C43,125:125)+100</f>
        <v>100</v>
      </c>
      <c r="G43" s="1445" t="s">
        <v>2494</v>
      </c>
      <c r="H43" s="911">
        <f>SUMIF(124:124,G43,125:125)-SUMIF(124:124,C43,125:125)+100</f>
        <v>100</v>
      </c>
      <c r="I43" s="1445" t="s">
        <v>2494</v>
      </c>
      <c r="J43" s="911">
        <f>SUMIF(124:124,I43,125:125)-SUMIF(124:124,C43,125:125)+100</f>
        <v>100</v>
      </c>
      <c r="K43" s="1467"/>
      <c r="L43" s="1036"/>
      <c r="M43" s="1024"/>
      <c r="N43" s="1024"/>
      <c r="O43" s="1024"/>
      <c r="P43" s="3222"/>
      <c r="Q43" s="647" t="str">
        <f t="shared" si="11"/>
        <v>内部装修维护情况</v>
      </c>
      <c r="R43" s="1070" t="s">
        <v>1358</v>
      </c>
      <c r="S43" s="1071">
        <f t="shared" si="12"/>
        <v>100</v>
      </c>
      <c r="T43" s="1070" t="s">
        <v>1358</v>
      </c>
      <c r="U43" s="1071">
        <f t="shared" si="13"/>
        <v>100</v>
      </c>
      <c r="V43" s="1070" t="s">
        <v>1358</v>
      </c>
      <c r="W43" s="1071">
        <f t="shared" si="14"/>
        <v>100</v>
      </c>
      <c r="X43" s="1064"/>
      <c r="Y43" s="3226"/>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22"/>
      <c r="Q44" s="1069">
        <f t="shared" si="11"/>
        <v>0</v>
      </c>
      <c r="R44" s="1065" t="s">
        <v>1358</v>
      </c>
      <c r="S44" s="1066">
        <f t="shared" si="12"/>
        <v>100</v>
      </c>
      <c r="T44" s="1065" t="s">
        <v>1358</v>
      </c>
      <c r="U44" s="1066">
        <f t="shared" si="13"/>
        <v>100</v>
      </c>
      <c r="V44" s="1065" t="s">
        <v>1358</v>
      </c>
      <c r="W44" s="1066">
        <f t="shared" si="14"/>
        <v>100</v>
      </c>
      <c r="X44" s="1067"/>
      <c r="Y44" s="3226"/>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22"/>
      <c r="Q45" s="647">
        <f t="shared" si="11"/>
        <v>0</v>
      </c>
      <c r="R45" s="1070" t="s">
        <v>1358</v>
      </c>
      <c r="S45" s="1071">
        <f t="shared" si="12"/>
        <v>100</v>
      </c>
      <c r="T45" s="1070" t="s">
        <v>1358</v>
      </c>
      <c r="U45" s="1071">
        <f t="shared" si="13"/>
        <v>100</v>
      </c>
      <c r="V45" s="1070" t="s">
        <v>1358</v>
      </c>
      <c r="W45" s="1071">
        <f t="shared" si="14"/>
        <v>100</v>
      </c>
      <c r="X45" s="1064"/>
      <c r="Y45" s="3226"/>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23"/>
      <c r="Q46" s="647">
        <f t="shared" si="11"/>
        <v>0</v>
      </c>
      <c r="R46" s="1070" t="s">
        <v>1358</v>
      </c>
      <c r="S46" s="1071">
        <f t="shared" si="12"/>
        <v>100</v>
      </c>
      <c r="T46" s="1070" t="s">
        <v>1358</v>
      </c>
      <c r="U46" s="1071">
        <f t="shared" si="13"/>
        <v>100</v>
      </c>
      <c r="V46" s="1070" t="s">
        <v>1358</v>
      </c>
      <c r="W46" s="1071">
        <f t="shared" si="14"/>
        <v>100</v>
      </c>
      <c r="X46" s="1064"/>
      <c r="Y46" s="3227"/>
      <c r="Z46" s="1056">
        <f t="shared" si="18"/>
        <v>0</v>
      </c>
      <c r="AA46" s="1081">
        <f t="shared" si="15"/>
        <v>1</v>
      </c>
      <c r="AB46" s="1081">
        <f t="shared" si="16"/>
        <v>1</v>
      </c>
      <c r="AC46" s="1081">
        <f t="shared" si="17"/>
        <v>1</v>
      </c>
    </row>
    <row r="47" spans="1:29" ht="15">
      <c r="A47" s="960" t="s">
        <v>1397</v>
      </c>
      <c r="B47" s="1269"/>
      <c r="C47" s="1270" t="s">
        <v>124</v>
      </c>
      <c r="D47" s="1271"/>
      <c r="E47" s="1272">
        <v>82464</v>
      </c>
      <c r="F47" s="1273"/>
      <c r="G47" s="1274">
        <v>78040</v>
      </c>
      <c r="H47" s="1275"/>
      <c r="I47" s="1272">
        <v>78794</v>
      </c>
      <c r="J47" s="1275"/>
      <c r="K47" s="1474"/>
      <c r="L47" s="1048"/>
      <c r="M47" s="977"/>
      <c r="N47" s="1024"/>
      <c r="O47" s="977"/>
      <c r="P47" s="3216" t="str">
        <f>A47</f>
        <v>成交单价（元/平方米）</v>
      </c>
      <c r="Q47" s="3216"/>
      <c r="R47" s="3217">
        <f>E47</f>
        <v>82464</v>
      </c>
      <c r="S47" s="3217"/>
      <c r="T47" s="3217">
        <f>G47</f>
        <v>78040</v>
      </c>
      <c r="U47" s="3217"/>
      <c r="V47" s="3217">
        <f>I47</f>
        <v>78794</v>
      </c>
      <c r="W47" s="3217"/>
      <c r="X47" s="1012"/>
      <c r="Y47" s="1083"/>
      <c r="Z47" s="1012"/>
      <c r="AA47" s="1012"/>
      <c r="AB47" s="1012"/>
      <c r="AC47" s="1012"/>
    </row>
    <row r="48" spans="1:29" ht="15">
      <c r="A48" s="968" t="s">
        <v>1398</v>
      </c>
      <c r="B48" s="1276"/>
      <c r="C48" s="1277">
        <f>R49</f>
        <v>77361</v>
      </c>
      <c r="D48" s="1278"/>
      <c r="E48" s="1279">
        <f>R48</f>
        <v>81253</v>
      </c>
      <c r="F48" s="1279"/>
      <c r="G48" s="1277">
        <f>T48</f>
        <v>75752</v>
      </c>
      <c r="H48" s="1278"/>
      <c r="I48" s="1279">
        <f>V48</f>
        <v>75079</v>
      </c>
      <c r="J48" s="1278"/>
      <c r="K48" s="1475"/>
      <c r="L48" s="1048"/>
      <c r="M48" s="977"/>
      <c r="N48" s="977"/>
      <c r="O48" s="977"/>
      <c r="P48" s="3216" t="str">
        <f>A48</f>
        <v>比较价值（元/平方米）</v>
      </c>
      <c r="Q48" s="3216"/>
      <c r="R48" s="3217">
        <f>IF(F1="售价",ROUND(PRODUCT(R47,AA7:AA46),0),ROUND(PRODUCT(R47,AA7:AA46),1))</f>
        <v>81253</v>
      </c>
      <c r="S48" s="3217"/>
      <c r="T48" s="3217">
        <f>IF(F1="售价",ROUND(PRODUCT(T47,AB7:AB46),0),ROUND(PRODUCT(T47,AB7:AB46),1))</f>
        <v>75752</v>
      </c>
      <c r="U48" s="3217"/>
      <c r="V48" s="3217">
        <f>IF(F1="售价",ROUND(PRODUCT(V47,AC7:AC46),0),ROUND(PRODUCT(V47,AC7:AC46),1))</f>
        <v>75079</v>
      </c>
      <c r="W48" s="3217"/>
      <c r="X48" s="1012"/>
      <c r="Y48" s="1012"/>
      <c r="Z48" s="1012"/>
      <c r="AA48" s="1012"/>
      <c r="AB48" s="1012"/>
      <c r="AC48" s="1012"/>
    </row>
    <row r="49" spans="1:29" ht="15">
      <c r="A49" s="974" t="s">
        <v>1399</v>
      </c>
      <c r="B49" s="975"/>
      <c r="C49" s="1456">
        <f>R49</f>
        <v>77361</v>
      </c>
      <c r="D49" s="1280"/>
      <c r="E49" s="1280"/>
      <c r="F49" s="1280"/>
      <c r="G49" s="1280"/>
      <c r="H49" s="1280"/>
      <c r="I49" s="1280"/>
      <c r="J49" s="1280"/>
      <c r="K49" s="1476"/>
      <c r="L49" s="1048"/>
      <c r="M49" s="977"/>
      <c r="N49" s="977"/>
      <c r="O49" s="977"/>
      <c r="P49" s="3228" t="str">
        <f>A49</f>
        <v>估价对象XX用房的比较价值（楼面单价，元/平方米）</v>
      </c>
      <c r="Q49" s="3229"/>
      <c r="R49" s="3230">
        <f>IF(F1="售价",ROUND(AVERAGE(R48:V48),0),ROUND(AVERAGE(R48:V48),1))</f>
        <v>77361</v>
      </c>
      <c r="S49" s="3230"/>
      <c r="T49" s="3230"/>
      <c r="U49" s="3230"/>
      <c r="V49" s="3230"/>
      <c r="W49" s="323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1400</v>
      </c>
      <c r="D52" s="687"/>
      <c r="E52" s="980">
        <f>IF(E47&lt;E48,E48/E47-1,E47/E48-1)</f>
        <v>1.4904065080673989E-2</v>
      </c>
      <c r="F52" s="981" t="str">
        <f>IF(OR(E52&gt;=0.3,E52&lt;=-0.3),"超过30%","")</f>
        <v/>
      </c>
      <c r="G52" s="980">
        <f>IF(G47&lt;G48,G48/G47-1,G47/G48-1)</f>
        <v>3.0203823001372809E-2</v>
      </c>
      <c r="H52" s="981" t="str">
        <f>IF(OR(G52&gt;=0.3,G52&lt;=-0.3),"超过30%","")</f>
        <v/>
      </c>
      <c r="I52" s="980">
        <f>IF(I47&lt;I48,I48/I47-1,I47/I48-1)</f>
        <v>4.9481213122178014E-2</v>
      </c>
      <c r="J52" s="981" t="str">
        <f>IF(OR(I52&gt;=0.3,I52&lt;=-0.3),"超过30%","")</f>
        <v/>
      </c>
      <c r="K52" s="1052"/>
      <c r="L52" s="1053"/>
      <c r="M52" s="977"/>
      <c r="N52" s="977"/>
      <c r="O52" s="977"/>
    </row>
    <row r="53" spans="1:29" ht="13.5" customHeight="1">
      <c r="A53" s="977"/>
      <c r="B53" s="977"/>
      <c r="C53" s="979" t="s">
        <v>1401</v>
      </c>
      <c r="D53" s="686"/>
      <c r="E53" s="980">
        <f>IF(E48&lt;G48,G48/E48-1,E48/G48-1)</f>
        <v>7.2618544724891709E-2</v>
      </c>
      <c r="F53" s="981" t="str">
        <f>IF(OR(E53&gt;=0.2,E53&lt;=-0.2),"超过20%","")</f>
        <v/>
      </c>
      <c r="G53" s="980">
        <f>IF(G48&lt;I48,I48/G48-1,G48/I48-1)</f>
        <v>8.9638913677592136E-3</v>
      </c>
      <c r="H53" s="981" t="str">
        <f>IF(OR(G53&gt;=0.2,G53&lt;=-0.2),"超过20%","")</f>
        <v/>
      </c>
      <c r="I53" s="980">
        <f>IF(I48&lt;E48,E48/I48-1,I48/E48-1)</f>
        <v>8.223338083884979E-2</v>
      </c>
      <c r="J53" s="981" t="str">
        <f>IF(OR(I53&gt;=0.2,I53&lt;=-0.2),"超过20%","")</f>
        <v/>
      </c>
      <c r="K53" s="1052"/>
      <c r="L53" s="1053"/>
      <c r="M53" s="977"/>
      <c r="N53" s="977"/>
      <c r="O53" s="977"/>
    </row>
    <row r="54" spans="1:29" s="864" customFormat="1" ht="13.5" customHeight="1">
      <c r="A54" s="982"/>
      <c r="B54" s="982"/>
      <c r="C54" s="979" t="s">
        <v>1402</v>
      </c>
      <c r="D54" s="686"/>
      <c r="E54" s="980">
        <f>IF(E47&lt;G47,G47/E47-1,E47/G47-1)</f>
        <v>5.66888774987186E-2</v>
      </c>
      <c r="F54" s="981" t="str">
        <f>IF(OR(E54&gt;=0.3,E54&lt;=-0.3),"超过30%","")</f>
        <v/>
      </c>
      <c r="G54" s="980">
        <f>IF(G47&lt;I47,I47/G47-1,G47/I47-1)</f>
        <v>9.6617119425934598E-3</v>
      </c>
      <c r="H54" s="981" t="str">
        <f>IF(OR(G54&gt;=0.3,G54&lt;=-0.3),"超过30%","")</f>
        <v/>
      </c>
      <c r="I54" s="980">
        <f>IF(I47&lt;E47,E47/I47-1,I47/E47-1)</f>
        <v>4.6577150544457699E-2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1403</v>
      </c>
      <c r="B57" s="1012"/>
      <c r="C57" s="1013"/>
      <c r="D57" s="1013"/>
      <c r="E57" s="1013"/>
      <c r="F57" s="1014"/>
      <c r="G57" s="1014"/>
      <c r="H57" s="1013"/>
      <c r="I57" s="1013"/>
      <c r="J57" s="1013"/>
      <c r="K57" s="1225"/>
      <c r="L57" s="1226"/>
      <c r="M57" s="1062"/>
      <c r="N57" s="1062"/>
      <c r="O57" s="1062"/>
      <c r="P57" s="1478"/>
      <c r="Q57" s="1075"/>
    </row>
    <row r="58" spans="1:29" s="866" customFormat="1" ht="15">
      <c r="A58" s="1281" t="s">
        <v>1356</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100</v>
      </c>
      <c r="E59" s="1099">
        <v>100</v>
      </c>
      <c r="F59" s="1099">
        <v>99</v>
      </c>
      <c r="G59" s="1099">
        <v>99</v>
      </c>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1368</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06" t="s">
        <v>1413</v>
      </c>
      <c r="D82" s="1106" t="s">
        <v>1414</v>
      </c>
      <c r="E82" s="1106" t="s">
        <v>1415</v>
      </c>
      <c r="F82" s="1106" t="s">
        <v>1416</v>
      </c>
      <c r="G82" s="1106" t="s">
        <v>1417</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1374</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1375</v>
      </c>
      <c r="C88" s="1482" t="s">
        <v>2503</v>
      </c>
      <c r="D88" s="1482" t="s">
        <v>2504</v>
      </c>
      <c r="E88" s="1482" t="s">
        <v>2505</v>
      </c>
      <c r="F88" s="1482" t="s">
        <v>2506</v>
      </c>
      <c r="G88" s="1482" t="s">
        <v>2507</v>
      </c>
      <c r="H88" s="2972" t="s">
        <v>2508</v>
      </c>
      <c r="I88" s="2972" t="s">
        <v>2509</v>
      </c>
      <c r="J88" s="2972" t="s">
        <v>2510</v>
      </c>
      <c r="K88" s="2972" t="s">
        <v>2511</v>
      </c>
      <c r="L88" s="2973" t="s">
        <v>2513</v>
      </c>
      <c r="M88" s="2974" t="s">
        <v>2514</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v>5</v>
      </c>
      <c r="D90" s="1482">
        <v>6</v>
      </c>
      <c r="E90" s="1482">
        <v>7</v>
      </c>
      <c r="F90" s="1482">
        <v>8</v>
      </c>
      <c r="G90" s="1482">
        <v>9</v>
      </c>
      <c r="H90" s="1482">
        <v>10</v>
      </c>
      <c r="I90" s="1482">
        <v>11</v>
      </c>
      <c r="J90" s="1482">
        <v>12</v>
      </c>
      <c r="K90" s="1482">
        <v>13</v>
      </c>
      <c r="L90" s="1482">
        <v>14</v>
      </c>
      <c r="M90" s="2974"/>
      <c r="N90" s="1164"/>
      <c r="O90" s="1164"/>
      <c r="P90" s="1428"/>
      <c r="Q90" s="1195"/>
    </row>
    <row r="91" spans="1:17" s="863" customFormat="1" ht="15">
      <c r="A91" s="1112"/>
      <c r="B91" s="1107"/>
      <c r="C91" s="1115">
        <v>100</v>
      </c>
      <c r="D91" s="1115">
        <v>100.5</v>
      </c>
      <c r="E91" s="1115">
        <v>101</v>
      </c>
      <c r="F91" s="1115">
        <v>101.5</v>
      </c>
      <c r="G91" s="1115">
        <v>102</v>
      </c>
      <c r="H91" s="1115">
        <v>102.5</v>
      </c>
      <c r="I91" s="1115">
        <v>103</v>
      </c>
      <c r="J91" s="1115">
        <v>103.5</v>
      </c>
      <c r="K91" s="1115">
        <v>104</v>
      </c>
      <c r="L91" s="1115">
        <v>104.5</v>
      </c>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
      <c r="A99" s="1377"/>
      <c r="B99" s="1119"/>
      <c r="C99" s="1132"/>
      <c r="D99" s="1132"/>
      <c r="E99" s="1132"/>
      <c r="F99" s="1132"/>
      <c r="G99" s="1132"/>
      <c r="H99" s="1132"/>
      <c r="I99" s="1132"/>
      <c r="J99" s="1132"/>
      <c r="K99" s="1132"/>
      <c r="L99" s="1132"/>
      <c r="M99" s="1188"/>
      <c r="N99" s="1154"/>
      <c r="O99" s="1154"/>
      <c r="P99" s="1422"/>
      <c r="Q99" s="1075"/>
    </row>
    <row r="100" spans="1:17">
      <c r="A100" s="1100" t="s">
        <v>1380</v>
      </c>
      <c r="B100" s="1101" t="s">
        <v>1381</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5">
      <c r="A102" s="1102"/>
      <c r="B102" s="1105" t="s">
        <v>1384</v>
      </c>
      <c r="C102" s="1124" t="str">
        <f>C103&amp;"(含)"&amp;"-"&amp;D103</f>
        <v>0(含)-100</v>
      </c>
      <c r="D102" s="1124" t="str">
        <f t="shared" ref="D102:L102" si="27">D103&amp;"(含)"&amp;"-"&amp;E103</f>
        <v>100(含)-120</v>
      </c>
      <c r="E102" s="1124" t="str">
        <f t="shared" si="27"/>
        <v>120(含)-130</v>
      </c>
      <c r="F102" s="1124" t="str">
        <f t="shared" si="27"/>
        <v>130(含)-140</v>
      </c>
      <c r="G102" s="1124" t="str">
        <f t="shared" si="27"/>
        <v>140(含)-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89">
        <v>0</v>
      </c>
      <c r="D103" s="1089">
        <v>100</v>
      </c>
      <c r="E103" s="1089">
        <v>120</v>
      </c>
      <c r="F103" s="1089">
        <v>130</v>
      </c>
      <c r="G103" s="1089">
        <v>140</v>
      </c>
      <c r="H103" s="1089"/>
      <c r="I103" s="1089"/>
      <c r="J103" s="1189"/>
      <c r="K103" s="1189"/>
      <c r="L103" s="1190"/>
      <c r="M103" s="1191"/>
      <c r="N103" s="1164"/>
      <c r="O103" s="1164"/>
      <c r="P103" s="1428"/>
      <c r="Q103" s="1195"/>
    </row>
    <row r="104" spans="1:17" s="863" customFormat="1" ht="15">
      <c r="A104" s="1112"/>
      <c r="B104" s="1107"/>
      <c r="C104" s="1115">
        <v>100</v>
      </c>
      <c r="D104" s="1104">
        <v>100</v>
      </c>
      <c r="E104" s="1115">
        <v>100</v>
      </c>
      <c r="F104" s="1104">
        <v>100</v>
      </c>
      <c r="G104" s="1115">
        <v>100</v>
      </c>
      <c r="H104" s="1104"/>
      <c r="I104" s="1104"/>
      <c r="J104" s="1104"/>
      <c r="K104" s="1104"/>
      <c r="L104" s="1104"/>
      <c r="M104" s="1104"/>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1386</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1388</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1390</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1392</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1393</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1394</v>
      </c>
      <c r="C120" s="1113">
        <f>C41</f>
        <v>129.43</v>
      </c>
      <c r="D120" s="1113">
        <f>E41</f>
        <v>109.26</v>
      </c>
      <c r="E120" s="1113">
        <f>G41</f>
        <v>88.16</v>
      </c>
      <c r="F120" s="1113">
        <f>I41</f>
        <v>53.05</v>
      </c>
      <c r="G120" s="1113"/>
      <c r="H120" s="1113"/>
      <c r="I120" s="1113"/>
      <c r="J120" s="1113"/>
      <c r="K120" s="1113"/>
      <c r="L120" s="1299"/>
      <c r="M120" s="1300"/>
      <c r="N120" s="1164"/>
      <c r="O120" s="1164"/>
      <c r="P120" s="1428"/>
      <c r="Q120" s="1195"/>
    </row>
    <row r="121" spans="1:17" s="863" customFormat="1" ht="15">
      <c r="A121" s="1112"/>
      <c r="B121" s="1103"/>
      <c r="C121" s="1115">
        <f>D133</f>
        <v>100</v>
      </c>
      <c r="D121" s="1104">
        <f>E133</f>
        <v>101</v>
      </c>
      <c r="E121" s="1104">
        <f>F133</f>
        <v>102</v>
      </c>
      <c r="F121" s="1104">
        <f>G133</f>
        <v>103</v>
      </c>
      <c r="G121" s="1104"/>
      <c r="H121" s="1104"/>
      <c r="I121" s="1104"/>
      <c r="J121" s="1104"/>
      <c r="K121" s="1104"/>
      <c r="L121" s="1104"/>
      <c r="M121" s="1104"/>
      <c r="N121" s="1164"/>
      <c r="O121" s="1164"/>
      <c r="P121" s="1428"/>
      <c r="Q121" s="1195"/>
    </row>
    <row r="122" spans="1:17">
      <c r="A122" s="1136"/>
      <c r="B122" s="1105" t="s">
        <v>1395</v>
      </c>
      <c r="C122" s="1482" t="s">
        <v>2516</v>
      </c>
      <c r="D122" s="1482" t="s">
        <v>2517</v>
      </c>
      <c r="E122" s="1482" t="s">
        <v>2515</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98</v>
      </c>
      <c r="E123" s="1108">
        <f t="shared" si="33"/>
        <v>96</v>
      </c>
      <c r="F123" s="1108">
        <f t="shared" si="33"/>
        <v>94</v>
      </c>
      <c r="G123" s="1108">
        <f t="shared" si="33"/>
        <v>92</v>
      </c>
      <c r="H123" s="1108">
        <f t="shared" si="33"/>
        <v>90</v>
      </c>
      <c r="I123" s="1108">
        <f t="shared" si="33"/>
        <v>88</v>
      </c>
      <c r="J123" s="1108">
        <f t="shared" si="33"/>
        <v>86</v>
      </c>
      <c r="K123" s="1108">
        <f t="shared" si="33"/>
        <v>84</v>
      </c>
      <c r="L123" s="1108">
        <f t="shared" si="33"/>
        <v>82</v>
      </c>
      <c r="M123" s="1108">
        <f t="shared" si="33"/>
        <v>80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1418</v>
      </c>
    </row>
    <row r="137" spans="1:17" ht="15">
      <c r="B137" s="1487" t="s">
        <v>1419</v>
      </c>
      <c r="C137" s="1488"/>
      <c r="D137" s="1488"/>
      <c r="E137" s="1488"/>
      <c r="F137" s="1488"/>
      <c r="G137" s="1489"/>
      <c r="H137" s="1490"/>
      <c r="I137" s="1513" t="s">
        <v>1420</v>
      </c>
      <c r="J137" s="1488"/>
      <c r="K137" s="1514"/>
    </row>
    <row r="138" spans="1:17" ht="15">
      <c r="B138" s="1491"/>
      <c r="C138" s="1492" t="s">
        <v>1421</v>
      </c>
      <c r="D138" s="1492" t="s">
        <v>1422</v>
      </c>
      <c r="E138" s="1493" t="s">
        <v>1423</v>
      </c>
      <c r="F138" s="1494" t="s">
        <v>1424</v>
      </c>
      <c r="G138" s="1492" t="s">
        <v>1422</v>
      </c>
      <c r="H138" s="1495" t="s">
        <v>1423</v>
      </c>
      <c r="I138" s="1515"/>
      <c r="J138" s="1492" t="s">
        <v>1425</v>
      </c>
      <c r="K138" s="1495" t="s">
        <v>1426</v>
      </c>
    </row>
    <row r="139" spans="1:17" ht="15">
      <c r="B139" s="1496">
        <v>6</v>
      </c>
      <c r="C139" s="1497">
        <v>96</v>
      </c>
      <c r="D139" s="1498" t="s">
        <v>1427</v>
      </c>
      <c r="E139" s="1499">
        <v>100</v>
      </c>
      <c r="F139" s="1500">
        <v>102.5</v>
      </c>
      <c r="G139" s="1498" t="s">
        <v>1427</v>
      </c>
      <c r="H139" s="1501">
        <v>105</v>
      </c>
      <c r="I139" s="1516" t="s">
        <v>1428</v>
      </c>
      <c r="J139" s="1497">
        <v>20</v>
      </c>
      <c r="K139" s="1517">
        <f>C145/(J139-2)</f>
        <v>4.0555555555555596E-3</v>
      </c>
    </row>
    <row r="140" spans="1:17" ht="15">
      <c r="B140" s="1502">
        <v>5</v>
      </c>
      <c r="C140" s="1503">
        <v>100</v>
      </c>
      <c r="D140" s="1503"/>
      <c r="E140" s="1504"/>
      <c r="F140" s="1505">
        <v>102</v>
      </c>
      <c r="G140" s="1503"/>
      <c r="H140" s="1506"/>
      <c r="I140" s="1518" t="s">
        <v>1429</v>
      </c>
      <c r="J140" s="221">
        <f>ROUNDUP((J139-1)/2,0)</f>
        <v>10</v>
      </c>
      <c r="K140" s="1519">
        <v>100</v>
      </c>
    </row>
    <row r="141" spans="1:17" ht="15">
      <c r="B141" s="1502">
        <v>4</v>
      </c>
      <c r="C141" s="1503">
        <v>102</v>
      </c>
      <c r="D141" s="1503"/>
      <c r="E141" s="1504"/>
      <c r="F141" s="1505">
        <v>101.5</v>
      </c>
      <c r="G141" s="1503"/>
      <c r="H141" s="1506"/>
      <c r="I141" s="1518" t="s">
        <v>1430</v>
      </c>
      <c r="J141" s="221">
        <v>1</v>
      </c>
      <c r="K141" s="1520">
        <f>ROUND(100+(J141-J140)*K139*100,1)</f>
        <v>96.4</v>
      </c>
    </row>
    <row r="142" spans="1:17" ht="15">
      <c r="B142" s="1502">
        <v>3</v>
      </c>
      <c r="C142" s="1503">
        <v>103</v>
      </c>
      <c r="D142" s="1503"/>
      <c r="E142" s="1504"/>
      <c r="F142" s="1505">
        <v>101</v>
      </c>
      <c r="G142" s="1503"/>
      <c r="H142" s="1506"/>
      <c r="I142" s="1518" t="s">
        <v>1431</v>
      </c>
      <c r="J142" s="221">
        <f>J139</f>
        <v>20</v>
      </c>
      <c r="K142" s="1521">
        <v>95</v>
      </c>
    </row>
    <row r="143" spans="1:17" ht="15">
      <c r="B143" s="1502">
        <v>2</v>
      </c>
      <c r="C143" s="1503">
        <v>100</v>
      </c>
      <c r="D143" s="1503"/>
      <c r="E143" s="1504"/>
      <c r="F143" s="1505">
        <v>100.5</v>
      </c>
      <c r="G143" s="1503"/>
      <c r="H143" s="1506"/>
      <c r="I143" s="1518" t="s">
        <v>1432</v>
      </c>
      <c r="J143" s="1503">
        <v>15</v>
      </c>
      <c r="K143" s="1520">
        <f>ROUND(100+(J143-J140)*K139*100,1)</f>
        <v>102</v>
      </c>
    </row>
    <row r="144" spans="1:17" ht="15">
      <c r="B144" s="1502">
        <v>1</v>
      </c>
      <c r="C144" s="1503">
        <v>98</v>
      </c>
      <c r="D144" s="1507" t="s">
        <v>1433</v>
      </c>
      <c r="E144" s="1504">
        <v>102</v>
      </c>
      <c r="F144" s="1508">
        <v>100</v>
      </c>
      <c r="G144" s="1507" t="s">
        <v>1433</v>
      </c>
      <c r="H144" s="1506">
        <v>105</v>
      </c>
      <c r="I144" s="1518" t="s">
        <v>1432</v>
      </c>
      <c r="J144" s="1503">
        <v>18</v>
      </c>
      <c r="K144" s="1520">
        <f>ROUND(100+(J144-J140)*K139*100,1)</f>
        <v>103.2</v>
      </c>
    </row>
    <row r="145" spans="2:11" ht="15">
      <c r="B145" s="1509" t="s">
        <v>1434</v>
      </c>
      <c r="C145" s="1510">
        <f>ROUND(MAX(C139:C144)/MIN(C139:C144)-1,3)</f>
        <v>7.2999999999999995E-2</v>
      </c>
      <c r="D145" s="1511"/>
      <c r="E145" s="1511"/>
      <c r="F145" s="1512" t="s">
        <v>1435</v>
      </c>
      <c r="G145" s="1396"/>
      <c r="H145" s="1399"/>
      <c r="I145" s="1522" t="s">
        <v>1432</v>
      </c>
      <c r="J145" s="1523">
        <v>8</v>
      </c>
      <c r="K145" s="1524">
        <f>ROUND(100+(J145-J140)*K139*100,1)</f>
        <v>99.2</v>
      </c>
    </row>
    <row r="147" spans="2:11">
      <c r="B147" s="1486" t="s">
        <v>1436</v>
      </c>
    </row>
    <row r="148" spans="2:11">
      <c r="B148" s="1486" t="s">
        <v>1437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1438</v>
      </c>
      <c r="C1" s="1289" t="s">
        <v>1341</v>
      </c>
      <c r="D1" s="1233"/>
      <c r="E1" s="1410"/>
      <c r="F1" s="1235"/>
      <c r="G1" s="1236" t="s">
        <v>1343</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914</v>
      </c>
      <c r="B2" s="1238" t="e">
        <f ca="1">IF(C2="——",ROUND(C49*D3/10000,0),ROUND(C49*D3/10000,0)-D2)</f>
        <v>#DIV/0!</v>
      </c>
      <c r="C2" s="1239"/>
      <c r="D2" s="1378" t="e">
        <f ca="1">SUMIF(INDIRECT("'"&amp;F2&amp;"'"&amp;"!A:A"),"承租人权益价值",INDIRECT("'"&amp;F2&amp;"'"&amp;"!c:c"))</f>
        <v>#REF!</v>
      </c>
      <c r="E2" s="1240" t="s">
        <v>915</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916</v>
      </c>
      <c r="B3" s="878" t="e">
        <f ca="1">IF(C2="——",C49,ROUND(B2*10000/D3,0))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46"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46"/>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46"/>
      <c r="AC6" s="3233"/>
    </row>
    <row r="7" spans="1:29" s="861" customFormat="1" ht="15">
      <c r="A7" s="886" t="s">
        <v>1356</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6" si="3">D8/F8</f>
        <v>#DIV/0!</v>
      </c>
      <c r="AB8" s="1079" t="e">
        <f t="shared" ref="AB8:AB46" si="4">D8/H8</f>
        <v>#DIV/0!</v>
      </c>
      <c r="AC8" s="1079" t="e">
        <f t="shared" ref="AC8:AC46" si="5">D8/J8</f>
        <v>#DIV/0!</v>
      </c>
    </row>
    <row r="9" spans="1:29" s="861" customFormat="1">
      <c r="A9" s="894" t="s">
        <v>1363</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902"/>
      <c r="B11" s="899" t="s">
        <v>1368</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18"/>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71.25">
      <c r="A15" s="916" t="s">
        <v>1369</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19" t="s">
        <v>1371</v>
      </c>
      <c r="Q15" s="647" t="str">
        <f t="shared" si="6"/>
        <v>商业繁华度</v>
      </c>
      <c r="R15" s="1070" t="s">
        <v>1358</v>
      </c>
      <c r="S15" s="1071">
        <f t="shared" si="0"/>
        <v>100</v>
      </c>
      <c r="T15" s="1070" t="s">
        <v>1358</v>
      </c>
      <c r="U15" s="1071">
        <f t="shared" si="1"/>
        <v>100</v>
      </c>
      <c r="V15" s="1070" t="s">
        <v>1358</v>
      </c>
      <c r="W15" s="1071">
        <f t="shared" si="2"/>
        <v>100</v>
      </c>
      <c r="X15" s="1064"/>
      <c r="Y15" s="3224" t="s">
        <v>1371</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20"/>
      <c r="Q16" s="647"/>
      <c r="R16" s="1070"/>
      <c r="S16" s="1071"/>
      <c r="T16" s="1070"/>
      <c r="U16" s="1071"/>
      <c r="V16" s="1070"/>
      <c r="W16" s="1071"/>
      <c r="X16" s="1064"/>
      <c r="Y16" s="3225"/>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20"/>
      <c r="Q18" s="647"/>
      <c r="R18" s="1070"/>
      <c r="S18" s="1071"/>
      <c r="T18" s="1070"/>
      <c r="U18" s="1071"/>
      <c r="V18" s="1070"/>
      <c r="W18" s="1071"/>
      <c r="X18" s="1064"/>
      <c r="Y18" s="3225"/>
      <c r="Z18" s="1056"/>
      <c r="AA18" s="1081">
        <v>1</v>
      </c>
      <c r="AB18" s="1081">
        <v>1</v>
      </c>
      <c r="AC18" s="1081">
        <v>1</v>
      </c>
    </row>
    <row r="19" spans="1:29" ht="28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20"/>
      <c r="Q20" s="647"/>
      <c r="R20" s="1070"/>
      <c r="S20" s="1071"/>
      <c r="T20" s="1070"/>
      <c r="U20" s="1071"/>
      <c r="V20" s="1070"/>
      <c r="W20" s="1071"/>
      <c r="X20" s="1064"/>
      <c r="Y20" s="3225"/>
      <c r="Z20" s="1056"/>
      <c r="AA20" s="1081">
        <v>1</v>
      </c>
      <c r="AB20" s="1081">
        <v>1</v>
      </c>
      <c r="AC20" s="1081">
        <v>1</v>
      </c>
    </row>
    <row r="21" spans="1:29" ht="15">
      <c r="A21" s="902"/>
      <c r="B21" s="1207" t="s">
        <v>663</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20"/>
      <c r="Q22" s="647"/>
      <c r="R22" s="1070"/>
      <c r="S22" s="1071"/>
      <c r="T22" s="1070"/>
      <c r="U22" s="1071"/>
      <c r="V22" s="1070"/>
      <c r="W22" s="1071"/>
      <c r="X22" s="1064"/>
      <c r="Y22" s="3225"/>
      <c r="Z22" s="1056"/>
      <c r="AA22" s="1081">
        <v>1</v>
      </c>
      <c r="AB22" s="1081">
        <v>1</v>
      </c>
      <c r="AC22" s="1081">
        <v>1</v>
      </c>
    </row>
    <row r="23" spans="1:29" ht="256.5">
      <c r="A23" s="902"/>
      <c r="B23" s="1203" t="s">
        <v>667</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20"/>
      <c r="Q23" s="647" t="str">
        <f>B23</f>
        <v>自然及人文环境</v>
      </c>
      <c r="R23" s="1070" t="s">
        <v>1358</v>
      </c>
      <c r="S23" s="1071">
        <f>F23</f>
        <v>100</v>
      </c>
      <c r="T23" s="1070" t="s">
        <v>1358</v>
      </c>
      <c r="U23" s="1071">
        <f>H23</f>
        <v>100</v>
      </c>
      <c r="V23" s="1070" t="s">
        <v>1358</v>
      </c>
      <c r="W23" s="1071">
        <f>J23</f>
        <v>100</v>
      </c>
      <c r="X23" s="1064"/>
      <c r="Y23" s="3225"/>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20"/>
      <c r="Q24" s="647"/>
      <c r="R24" s="1070"/>
      <c r="S24" s="1071"/>
      <c r="T24" s="1070"/>
      <c r="U24" s="1071"/>
      <c r="V24" s="1070"/>
      <c r="W24" s="1071"/>
      <c r="X24" s="1064"/>
      <c r="Y24" s="3225"/>
      <c r="Z24" s="1056"/>
      <c r="AA24" s="1081">
        <v>1</v>
      </c>
      <c r="AB24" s="1081">
        <v>1</v>
      </c>
      <c r="AC24" s="1081">
        <v>1</v>
      </c>
    </row>
    <row r="25" spans="1:29" ht="15">
      <c r="A25" s="902"/>
      <c r="B25" s="899" t="s">
        <v>673</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20"/>
      <c r="Q25" s="647" t="str">
        <f t="shared" ref="Q25:Q46" si="11">B25</f>
        <v>临街状况</v>
      </c>
      <c r="R25" s="1070" t="s">
        <v>1358</v>
      </c>
      <c r="S25" s="1071">
        <f>F25</f>
        <v>100</v>
      </c>
      <c r="T25" s="1070" t="s">
        <v>1358</v>
      </c>
      <c r="U25" s="1071">
        <f>H25</f>
        <v>100</v>
      </c>
      <c r="V25" s="1070" t="s">
        <v>1358</v>
      </c>
      <c r="W25" s="1071">
        <f>J25</f>
        <v>100</v>
      </c>
      <c r="X25" s="1064"/>
      <c r="Y25" s="3225"/>
      <c r="Z25" s="1056" t="str">
        <f>Q25</f>
        <v>临街状况</v>
      </c>
      <c r="AA25" s="1081">
        <f t="shared" si="3"/>
        <v>1</v>
      </c>
      <c r="AB25" s="1081">
        <f t="shared" si="4"/>
        <v>1</v>
      </c>
      <c r="AC25" s="1081">
        <f t="shared" si="5"/>
        <v>1</v>
      </c>
    </row>
    <row r="26" spans="1:29" ht="15">
      <c r="A26" s="902"/>
      <c r="B26" s="1208" t="s">
        <v>1442</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20"/>
      <c r="Q26" s="647" t="str">
        <f t="shared" si="11"/>
        <v>平面位置/可视性</v>
      </c>
      <c r="R26" s="1070" t="s">
        <v>1358</v>
      </c>
      <c r="S26" s="1071">
        <f>F26</f>
        <v>100</v>
      </c>
      <c r="T26" s="1070" t="s">
        <v>1358</v>
      </c>
      <c r="U26" s="1071">
        <f>H26</f>
        <v>100</v>
      </c>
      <c r="V26" s="1070" t="s">
        <v>1358</v>
      </c>
      <c r="W26" s="1071">
        <f>J26</f>
        <v>100</v>
      </c>
      <c r="X26" s="1064"/>
      <c r="Y26" s="3225"/>
      <c r="Z26" s="1056" t="str">
        <f>Q26</f>
        <v>平面位置/可视性</v>
      </c>
      <c r="AA26" s="1081">
        <f t="shared" si="3"/>
        <v>1</v>
      </c>
      <c r="AB26" s="1081">
        <f t="shared" si="4"/>
        <v>1</v>
      </c>
      <c r="AC26" s="1081">
        <f t="shared" si="5"/>
        <v>1</v>
      </c>
    </row>
    <row r="27" spans="1:29" s="861" customFormat="1" ht="15">
      <c r="A27" s="905"/>
      <c r="B27" s="1203" t="s">
        <v>1443</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20"/>
      <c r="Q27" s="1069" t="str">
        <f t="shared" si="11"/>
        <v>人流量</v>
      </c>
      <c r="R27" s="1065" t="s">
        <v>1358</v>
      </c>
      <c r="S27" s="1066">
        <f>F27</f>
        <v>100</v>
      </c>
      <c r="T27" s="1065" t="s">
        <v>1358</v>
      </c>
      <c r="U27" s="1066">
        <f>H27</f>
        <v>100</v>
      </c>
      <c r="V27" s="1065" t="s">
        <v>1358</v>
      </c>
      <c r="W27" s="1066">
        <f>J27</f>
        <v>100</v>
      </c>
      <c r="X27" s="1067"/>
      <c r="Y27" s="3225"/>
      <c r="Z27" s="1080" t="str">
        <f>Q27</f>
        <v>人流量</v>
      </c>
      <c r="AA27" s="1081">
        <f t="shared" si="3"/>
        <v>1</v>
      </c>
      <c r="AB27" s="1081">
        <f t="shared" si="4"/>
        <v>1</v>
      </c>
      <c r="AC27" s="1081">
        <f t="shared" si="5"/>
        <v>1</v>
      </c>
    </row>
    <row r="28" spans="1:29" ht="15">
      <c r="A28" s="902"/>
      <c r="B28" s="899" t="s">
        <v>1444</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20"/>
      <c r="Q28" s="647" t="str">
        <f t="shared" si="11"/>
        <v>楼层</v>
      </c>
      <c r="R28" s="1070" t="s">
        <v>1358</v>
      </c>
      <c r="S28" s="1071">
        <f t="shared" ref="S28:S46" si="12">F28</f>
        <v>100</v>
      </c>
      <c r="T28" s="1070" t="s">
        <v>1358</v>
      </c>
      <c r="U28" s="1071">
        <f t="shared" ref="U28:U46" si="13">H28</f>
        <v>100</v>
      </c>
      <c r="V28" s="1070" t="s">
        <v>1358</v>
      </c>
      <c r="W28" s="1071">
        <f t="shared" ref="W28:W46" si="14">J28</f>
        <v>100</v>
      </c>
      <c r="X28" s="1064"/>
      <c r="Y28" s="3225"/>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20"/>
      <c r="Q29" s="647">
        <f t="shared" si="11"/>
        <v>111</v>
      </c>
      <c r="R29" s="1070" t="s">
        <v>1358</v>
      </c>
      <c r="S29" s="1071">
        <f t="shared" si="12"/>
        <v>100</v>
      </c>
      <c r="T29" s="1070" t="s">
        <v>1358</v>
      </c>
      <c r="U29" s="1071">
        <f t="shared" si="13"/>
        <v>100</v>
      </c>
      <c r="V29" s="1070" t="s">
        <v>1358</v>
      </c>
      <c r="W29" s="1071">
        <f t="shared" si="14"/>
        <v>100</v>
      </c>
      <c r="X29" s="1064"/>
      <c r="Y29" s="3225"/>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20"/>
      <c r="Q30" s="647">
        <f t="shared" si="11"/>
        <v>111</v>
      </c>
      <c r="R30" s="1070" t="s">
        <v>1358</v>
      </c>
      <c r="S30" s="1071">
        <f t="shared" si="12"/>
        <v>100</v>
      </c>
      <c r="T30" s="1070" t="s">
        <v>1358</v>
      </c>
      <c r="U30" s="1071">
        <f t="shared" si="13"/>
        <v>100</v>
      </c>
      <c r="V30" s="1070" t="s">
        <v>1358</v>
      </c>
      <c r="W30" s="1071">
        <f t="shared" si="14"/>
        <v>100</v>
      </c>
      <c r="X30" s="1064"/>
      <c r="Y30" s="3225"/>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20"/>
      <c r="Q31" s="647">
        <f t="shared" si="11"/>
        <v>111</v>
      </c>
      <c r="R31" s="1070" t="s">
        <v>1358</v>
      </c>
      <c r="S31" s="1071">
        <f t="shared" si="12"/>
        <v>100</v>
      </c>
      <c r="T31" s="1070" t="s">
        <v>1358</v>
      </c>
      <c r="U31" s="1071">
        <f t="shared" si="13"/>
        <v>100</v>
      </c>
      <c r="V31" s="1070" t="s">
        <v>1358</v>
      </c>
      <c r="W31" s="1071">
        <f t="shared" si="14"/>
        <v>100</v>
      </c>
      <c r="X31" s="1064"/>
      <c r="Y31" s="3225"/>
      <c r="Z31" s="1056">
        <f t="shared" si="15"/>
        <v>111</v>
      </c>
      <c r="AA31" s="1081">
        <f t="shared" si="3"/>
        <v>1</v>
      </c>
      <c r="AB31" s="1081">
        <f t="shared" si="4"/>
        <v>1</v>
      </c>
      <c r="AC31" s="1081">
        <f t="shared" si="5"/>
        <v>1</v>
      </c>
    </row>
    <row r="32" spans="1:29" ht="15">
      <c r="A32" s="916" t="s">
        <v>1380</v>
      </c>
      <c r="B32" s="895" t="s">
        <v>1445</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21" t="s">
        <v>1383</v>
      </c>
      <c r="Q32" s="647" t="str">
        <f t="shared" si="11"/>
        <v>商业类型</v>
      </c>
      <c r="R32" s="1070" t="s">
        <v>1358</v>
      </c>
      <c r="S32" s="1071">
        <f t="shared" si="12"/>
        <v>100</v>
      </c>
      <c r="T32" s="1070" t="s">
        <v>1358</v>
      </c>
      <c r="U32" s="1071">
        <f t="shared" si="13"/>
        <v>100</v>
      </c>
      <c r="V32" s="1070" t="s">
        <v>1358</v>
      </c>
      <c r="W32" s="1071">
        <f t="shared" si="14"/>
        <v>100</v>
      </c>
      <c r="X32" s="1064"/>
      <c r="Y32" s="3226" t="s">
        <v>1383</v>
      </c>
      <c r="Z32" s="1056" t="str">
        <f t="shared" si="15"/>
        <v>商业类型</v>
      </c>
      <c r="AA32" s="1081">
        <f t="shared" si="3"/>
        <v>1</v>
      </c>
      <c r="AB32" s="1081">
        <f t="shared" si="4"/>
        <v>1</v>
      </c>
      <c r="AC32" s="1081">
        <f t="shared" si="5"/>
        <v>1</v>
      </c>
    </row>
    <row r="33" spans="1:29" s="863" customFormat="1" ht="15">
      <c r="A33" s="958"/>
      <c r="B33" s="899" t="s">
        <v>1384</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22"/>
      <c r="Q33" s="1294" t="str">
        <f t="shared" si="11"/>
        <v>项目建筑规模</v>
      </c>
      <c r="R33" s="1072" t="s">
        <v>1358</v>
      </c>
      <c r="S33" s="1073" t="e">
        <f t="shared" si="12"/>
        <v>#N/A</v>
      </c>
      <c r="T33" s="1072" t="s">
        <v>1358</v>
      </c>
      <c r="U33" s="1073" t="e">
        <f t="shared" si="13"/>
        <v>#N/A</v>
      </c>
      <c r="V33" s="1072" t="s">
        <v>1358</v>
      </c>
      <c r="W33" s="1073" t="e">
        <f t="shared" si="14"/>
        <v>#N/A</v>
      </c>
      <c r="X33" s="1074"/>
      <c r="Y33" s="3226"/>
      <c r="Z33" s="1082" t="str">
        <f t="shared" si="15"/>
        <v>项目建筑规模</v>
      </c>
      <c r="AA33" s="1081" t="e">
        <f t="shared" si="3"/>
        <v>#N/A</v>
      </c>
      <c r="AB33" s="1081" t="e">
        <f t="shared" si="4"/>
        <v>#N/A</v>
      </c>
      <c r="AC33" s="1081" t="e">
        <f t="shared" si="5"/>
        <v>#N/A</v>
      </c>
    </row>
    <row r="34" spans="1:29" ht="15">
      <c r="A34" s="953"/>
      <c r="B34" s="899" t="s">
        <v>1385</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22"/>
      <c r="Q34" s="647" t="str">
        <f t="shared" si="11"/>
        <v>建筑结构</v>
      </c>
      <c r="R34" s="1070" t="s">
        <v>1358</v>
      </c>
      <c r="S34" s="1071">
        <f t="shared" si="12"/>
        <v>100</v>
      </c>
      <c r="T34" s="1070" t="s">
        <v>1358</v>
      </c>
      <c r="U34" s="1071">
        <f t="shared" si="13"/>
        <v>100</v>
      </c>
      <c r="V34" s="1070" t="s">
        <v>1358</v>
      </c>
      <c r="W34" s="1071">
        <f t="shared" si="14"/>
        <v>100</v>
      </c>
      <c r="X34" s="1064"/>
      <c r="Y34" s="3226"/>
      <c r="Z34" s="1056" t="str">
        <f t="shared" si="15"/>
        <v>建筑结构</v>
      </c>
      <c r="AA34" s="1081">
        <f t="shared" si="3"/>
        <v>1</v>
      </c>
      <c r="AB34" s="1081">
        <f t="shared" si="4"/>
        <v>1</v>
      </c>
      <c r="AC34" s="1081">
        <f t="shared" si="5"/>
        <v>1</v>
      </c>
    </row>
    <row r="35" spans="1:29" ht="15">
      <c r="A35" s="953"/>
      <c r="B35" s="899" t="s">
        <v>1388</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22"/>
      <c r="Q35" s="647" t="str">
        <f t="shared" si="11"/>
        <v>公共部分装修</v>
      </c>
      <c r="R35" s="1070" t="s">
        <v>1358</v>
      </c>
      <c r="S35" s="1071">
        <f t="shared" si="12"/>
        <v>100</v>
      </c>
      <c r="T35" s="1070" t="s">
        <v>1358</v>
      </c>
      <c r="U35" s="1071">
        <f t="shared" si="13"/>
        <v>100</v>
      </c>
      <c r="V35" s="1070" t="s">
        <v>1358</v>
      </c>
      <c r="W35" s="1071">
        <f t="shared" si="14"/>
        <v>100</v>
      </c>
      <c r="X35" s="1064"/>
      <c r="Y35" s="3226"/>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22"/>
      <c r="Q36" s="647" t="str">
        <f t="shared" si="11"/>
        <v>成新度</v>
      </c>
      <c r="R36" s="1070" t="s">
        <v>1358</v>
      </c>
      <c r="S36" s="1071" t="e">
        <f t="shared" si="12"/>
        <v>#N/A</v>
      </c>
      <c r="T36" s="1070" t="s">
        <v>1358</v>
      </c>
      <c r="U36" s="1071" t="e">
        <f t="shared" si="13"/>
        <v>#N/A</v>
      </c>
      <c r="V36" s="1070" t="s">
        <v>1358</v>
      </c>
      <c r="W36" s="1071" t="e">
        <f t="shared" si="14"/>
        <v>#N/A</v>
      </c>
      <c r="X36" s="1064"/>
      <c r="Y36" s="3226"/>
      <c r="Z36" s="1056" t="str">
        <f t="shared" si="15"/>
        <v>成新度</v>
      </c>
      <c r="AA36" s="1081" t="e">
        <f t="shared" si="3"/>
        <v>#N/A</v>
      </c>
      <c r="AB36" s="1081" t="e">
        <f t="shared" si="4"/>
        <v>#N/A</v>
      </c>
      <c r="AC36" s="1081" t="e">
        <f t="shared" si="5"/>
        <v>#N/A</v>
      </c>
    </row>
    <row r="37" spans="1:29" s="861" customFormat="1" ht="15">
      <c r="A37" s="955"/>
      <c r="B37" s="899" t="s">
        <v>1392</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22"/>
      <c r="Q37" s="1069" t="str">
        <f t="shared" si="11"/>
        <v>市政基础设施</v>
      </c>
      <c r="R37" s="1065" t="s">
        <v>1358</v>
      </c>
      <c r="S37" s="1066">
        <f t="shared" si="12"/>
        <v>100</v>
      </c>
      <c r="T37" s="1065" t="s">
        <v>1358</v>
      </c>
      <c r="U37" s="1066">
        <f t="shared" si="13"/>
        <v>100</v>
      </c>
      <c r="V37" s="1065" t="s">
        <v>1358</v>
      </c>
      <c r="W37" s="1066">
        <f t="shared" si="14"/>
        <v>100</v>
      </c>
      <c r="X37" s="1067"/>
      <c r="Y37" s="3226"/>
      <c r="Z37" s="1080" t="str">
        <f t="shared" si="15"/>
        <v>市政基础设施</v>
      </c>
      <c r="AA37" s="1079">
        <f t="shared" si="3"/>
        <v>1</v>
      </c>
      <c r="AB37" s="1079">
        <f t="shared" si="4"/>
        <v>1</v>
      </c>
      <c r="AC37" s="1079">
        <f t="shared" si="5"/>
        <v>1</v>
      </c>
    </row>
    <row r="38" spans="1:29" ht="15">
      <c r="A38" s="953"/>
      <c r="B38" s="899" t="s">
        <v>1446</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22" t="s">
        <v>1383</v>
      </c>
      <c r="Q38" s="647" t="str">
        <f t="shared" si="11"/>
        <v>业态</v>
      </c>
      <c r="R38" s="1070" t="s">
        <v>1358</v>
      </c>
      <c r="S38" s="1071">
        <f t="shared" si="12"/>
        <v>100</v>
      </c>
      <c r="T38" s="1070" t="s">
        <v>1358</v>
      </c>
      <c r="U38" s="1071">
        <f t="shared" si="13"/>
        <v>100</v>
      </c>
      <c r="V38" s="1070" t="s">
        <v>1358</v>
      </c>
      <c r="W38" s="1071">
        <f t="shared" si="14"/>
        <v>100</v>
      </c>
      <c r="X38" s="1064"/>
      <c r="Y38" s="3226" t="s">
        <v>1383</v>
      </c>
      <c r="Z38" s="1056" t="str">
        <f t="shared" si="15"/>
        <v>业态</v>
      </c>
      <c r="AA38" s="1081">
        <f t="shared" si="3"/>
        <v>1</v>
      </c>
      <c r="AB38" s="1081">
        <f t="shared" si="4"/>
        <v>1</v>
      </c>
      <c r="AC38" s="1081">
        <f t="shared" si="5"/>
        <v>1</v>
      </c>
    </row>
    <row r="39" spans="1:29" ht="15">
      <c r="A39" s="953"/>
      <c r="B39" s="899" t="s">
        <v>1447</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22"/>
      <c r="Q39" s="647" t="str">
        <f t="shared" si="11"/>
        <v>层高</v>
      </c>
      <c r="R39" s="1070" t="s">
        <v>1358</v>
      </c>
      <c r="S39" s="1071">
        <f t="shared" si="12"/>
        <v>100</v>
      </c>
      <c r="T39" s="1070" t="s">
        <v>1358</v>
      </c>
      <c r="U39" s="1071">
        <f t="shared" si="13"/>
        <v>100</v>
      </c>
      <c r="V39" s="1070" t="s">
        <v>1358</v>
      </c>
      <c r="W39" s="1071">
        <f t="shared" si="14"/>
        <v>100</v>
      </c>
      <c r="X39" s="1064"/>
      <c r="Y39" s="3226"/>
      <c r="Z39" s="1056" t="str">
        <f t="shared" si="15"/>
        <v>层高</v>
      </c>
      <c r="AA39" s="1081">
        <f t="shared" si="3"/>
        <v>1</v>
      </c>
      <c r="AB39" s="1081">
        <f t="shared" si="4"/>
        <v>1</v>
      </c>
      <c r="AC39" s="1081">
        <f t="shared" si="5"/>
        <v>1</v>
      </c>
    </row>
    <row r="40" spans="1:29" ht="15">
      <c r="A40" s="953"/>
      <c r="B40" s="899" t="s">
        <v>1448</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22"/>
      <c r="Q40" s="647" t="str">
        <f t="shared" si="11"/>
        <v>单套建筑面积</v>
      </c>
      <c r="R40" s="1070" t="s">
        <v>1358</v>
      </c>
      <c r="S40" s="1071">
        <f t="shared" si="12"/>
        <v>100</v>
      </c>
      <c r="T40" s="1070" t="s">
        <v>1358</v>
      </c>
      <c r="U40" s="1071">
        <f t="shared" si="13"/>
        <v>100</v>
      </c>
      <c r="V40" s="1070" t="s">
        <v>1358</v>
      </c>
      <c r="W40" s="1071">
        <f t="shared" si="14"/>
        <v>100</v>
      </c>
      <c r="X40" s="1064"/>
      <c r="Y40" s="3226"/>
      <c r="Z40" s="1056" t="str">
        <f t="shared" si="15"/>
        <v>单套建筑面积</v>
      </c>
      <c r="AA40" s="1081">
        <f t="shared" si="3"/>
        <v>1</v>
      </c>
      <c r="AB40" s="1081">
        <f t="shared" si="4"/>
        <v>1</v>
      </c>
      <c r="AC40" s="1081">
        <f t="shared" si="5"/>
        <v>1</v>
      </c>
    </row>
    <row r="41" spans="1:29" s="863" customFormat="1" ht="15">
      <c r="A41" s="958"/>
      <c r="B41" s="1051" t="s">
        <v>1449</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22"/>
      <c r="Q41" s="1294" t="str">
        <f t="shared" si="11"/>
        <v>进深比</v>
      </c>
      <c r="R41" s="1072" t="s">
        <v>1358</v>
      </c>
      <c r="S41" s="1073">
        <f t="shared" si="12"/>
        <v>100</v>
      </c>
      <c r="T41" s="1072" t="s">
        <v>1358</v>
      </c>
      <c r="U41" s="1073">
        <f t="shared" si="13"/>
        <v>100</v>
      </c>
      <c r="V41" s="1072" t="s">
        <v>1358</v>
      </c>
      <c r="W41" s="1073">
        <f t="shared" si="14"/>
        <v>100</v>
      </c>
      <c r="X41" s="1074"/>
      <c r="Y41" s="3226"/>
      <c r="Z41" s="1082" t="str">
        <f t="shared" si="15"/>
        <v>进深比</v>
      </c>
      <c r="AA41" s="1081">
        <f t="shared" si="3"/>
        <v>1</v>
      </c>
      <c r="AB41" s="1081">
        <f t="shared" si="4"/>
        <v>1</v>
      </c>
      <c r="AC41" s="1081">
        <f t="shared" si="5"/>
        <v>1</v>
      </c>
    </row>
    <row r="42" spans="1:29" ht="15">
      <c r="A42" s="953"/>
      <c r="B42" s="899" t="s">
        <v>1395</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22"/>
      <c r="Q42" s="647" t="str">
        <f t="shared" si="11"/>
        <v>内部装修</v>
      </c>
      <c r="R42" s="1070" t="s">
        <v>1358</v>
      </c>
      <c r="S42" s="1071">
        <f t="shared" si="12"/>
        <v>100</v>
      </c>
      <c r="T42" s="1070" t="s">
        <v>1358</v>
      </c>
      <c r="U42" s="1071">
        <f t="shared" si="13"/>
        <v>100</v>
      </c>
      <c r="V42" s="1070" t="s">
        <v>1358</v>
      </c>
      <c r="W42" s="1071">
        <f t="shared" si="14"/>
        <v>100</v>
      </c>
      <c r="X42" s="1064"/>
      <c r="Y42" s="3226"/>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22"/>
      <c r="Q43" s="647" t="str">
        <f t="shared" si="11"/>
        <v>内部装修维护情况</v>
      </c>
      <c r="R43" s="1070" t="s">
        <v>1358</v>
      </c>
      <c r="S43" s="1071">
        <f t="shared" si="12"/>
        <v>100</v>
      </c>
      <c r="T43" s="1070" t="s">
        <v>1358</v>
      </c>
      <c r="U43" s="1071">
        <f t="shared" si="13"/>
        <v>100</v>
      </c>
      <c r="V43" s="1070" t="s">
        <v>1358</v>
      </c>
      <c r="W43" s="1071">
        <f t="shared" si="14"/>
        <v>100</v>
      </c>
      <c r="X43" s="1064"/>
      <c r="Y43" s="3226"/>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22"/>
      <c r="Q44" s="1069">
        <f t="shared" si="11"/>
        <v>111</v>
      </c>
      <c r="R44" s="1065" t="s">
        <v>1358</v>
      </c>
      <c r="S44" s="1066">
        <f t="shared" si="12"/>
        <v>100</v>
      </c>
      <c r="T44" s="1065" t="s">
        <v>1358</v>
      </c>
      <c r="U44" s="1066">
        <f t="shared" si="13"/>
        <v>100</v>
      </c>
      <c r="V44" s="1065" t="s">
        <v>1358</v>
      </c>
      <c r="W44" s="1066">
        <f t="shared" si="14"/>
        <v>100</v>
      </c>
      <c r="X44" s="1067"/>
      <c r="Y44" s="3226"/>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22"/>
      <c r="Q45" s="647">
        <f t="shared" si="11"/>
        <v>111</v>
      </c>
      <c r="R45" s="1070" t="s">
        <v>1358</v>
      </c>
      <c r="S45" s="1071">
        <f t="shared" si="12"/>
        <v>100</v>
      </c>
      <c r="T45" s="1070" t="s">
        <v>1358</v>
      </c>
      <c r="U45" s="1071">
        <f t="shared" si="13"/>
        <v>100</v>
      </c>
      <c r="V45" s="1070" t="s">
        <v>1358</v>
      </c>
      <c r="W45" s="1071">
        <f t="shared" si="14"/>
        <v>100</v>
      </c>
      <c r="X45" s="1064"/>
      <c r="Y45" s="3226"/>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23"/>
      <c r="Q46" s="647">
        <f t="shared" si="11"/>
        <v>111</v>
      </c>
      <c r="R46" s="1070" t="s">
        <v>1358</v>
      </c>
      <c r="S46" s="1071">
        <f t="shared" si="12"/>
        <v>100</v>
      </c>
      <c r="T46" s="1070" t="s">
        <v>1358</v>
      </c>
      <c r="U46" s="1071">
        <f t="shared" si="13"/>
        <v>100</v>
      </c>
      <c r="V46" s="1070" t="s">
        <v>1358</v>
      </c>
      <c r="W46" s="1071">
        <f t="shared" si="14"/>
        <v>100</v>
      </c>
      <c r="X46" s="1064"/>
      <c r="Y46" s="3227"/>
      <c r="Z46" s="1056">
        <f t="shared" si="15"/>
        <v>111</v>
      </c>
      <c r="AA46" s="1081">
        <f t="shared" si="3"/>
        <v>1</v>
      </c>
      <c r="AB46" s="1081">
        <f t="shared" si="4"/>
        <v>1</v>
      </c>
      <c r="AC46" s="1081">
        <f t="shared" si="5"/>
        <v>1</v>
      </c>
    </row>
    <row r="47" spans="1:29" ht="15">
      <c r="A47" s="960" t="s">
        <v>1397</v>
      </c>
      <c r="B47" s="1269"/>
      <c r="C47" s="1270" t="s">
        <v>124</v>
      </c>
      <c r="D47" s="1271"/>
      <c r="E47" s="1272"/>
      <c r="F47" s="1273"/>
      <c r="G47" s="1274"/>
      <c r="H47" s="1275"/>
      <c r="I47" s="1272"/>
      <c r="J47" s="1275"/>
      <c r="K47" s="1047"/>
      <c r="L47" s="1048"/>
      <c r="M47" s="977"/>
      <c r="N47" s="1024"/>
      <c r="O47" s="977"/>
      <c r="P47" s="3216" t="str">
        <f>A47</f>
        <v>成交单价（元/平方米）</v>
      </c>
      <c r="Q47" s="3216"/>
      <c r="R47" s="3246">
        <f>E47</f>
        <v>0</v>
      </c>
      <c r="S47" s="3246"/>
      <c r="T47" s="3246">
        <f>G47</f>
        <v>0</v>
      </c>
      <c r="U47" s="3246"/>
      <c r="V47" s="3246">
        <f>I47</f>
        <v>0</v>
      </c>
      <c r="W47" s="3246"/>
      <c r="X47" s="1012"/>
      <c r="Y47" s="1083"/>
      <c r="Z47" s="1012"/>
      <c r="AA47" s="1012"/>
      <c r="AB47" s="1012"/>
      <c r="AC47" s="1012"/>
    </row>
    <row r="48" spans="1:29" ht="15">
      <c r="A48" s="968" t="s">
        <v>1398</v>
      </c>
      <c r="B48" s="1276"/>
      <c r="C48" s="1277" t="e">
        <f>R49</f>
        <v>#DIV/0!</v>
      </c>
      <c r="D48" s="1278"/>
      <c r="E48" s="1279" t="e">
        <f>R48</f>
        <v>#DIV/0!</v>
      </c>
      <c r="F48" s="1279"/>
      <c r="G48" s="1277" t="e">
        <f>T48</f>
        <v>#DIV/0!</v>
      </c>
      <c r="H48" s="1278"/>
      <c r="I48" s="1279" t="e">
        <f>V48</f>
        <v>#DIV/0!</v>
      </c>
      <c r="J48" s="1278"/>
      <c r="K48" s="1049"/>
      <c r="L48" s="1048"/>
      <c r="M48" s="977"/>
      <c r="N48" s="1024"/>
      <c r="O48" s="977"/>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1012"/>
      <c r="Y48" s="1012"/>
      <c r="Z48" s="1012"/>
      <c r="AA48" s="1012"/>
      <c r="AB48" s="1012"/>
      <c r="AC48" s="1012"/>
    </row>
    <row r="49" spans="1:29" ht="15">
      <c r="A49" s="974" t="s">
        <v>1399</v>
      </c>
      <c r="B49" s="975"/>
      <c r="C49" s="1280" t="e">
        <f>R49</f>
        <v>#DIV/0!</v>
      </c>
      <c r="D49" s="1280"/>
      <c r="E49" s="1280"/>
      <c r="F49" s="1280"/>
      <c r="G49" s="1280"/>
      <c r="H49" s="1280"/>
      <c r="I49" s="1280"/>
      <c r="J49" s="1280"/>
      <c r="K49" s="1050"/>
      <c r="L49" s="1048"/>
      <c r="M49" s="977"/>
      <c r="N49" s="1024"/>
      <c r="O49" s="977"/>
      <c r="P49" s="3228" t="str">
        <f>A49</f>
        <v>估价对象XX用房的比较价值（楼面单价，元/平方米）</v>
      </c>
      <c r="Q49" s="3229"/>
      <c r="R49" s="3230" t="e">
        <f>IF(F1="售价",ROUND(AVERAGE(R48:V48),0),ROUND(AVERAGE(R48:V48),1))</f>
        <v>#DIV/0!</v>
      </c>
      <c r="S49" s="3230"/>
      <c r="T49" s="3230"/>
      <c r="U49" s="3230"/>
      <c r="V49" s="3230"/>
      <c r="W49" s="323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1400</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1401</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1402</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1403</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1356</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1368</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29" t="s">
        <v>1413</v>
      </c>
      <c r="D82" s="1129" t="s">
        <v>1414</v>
      </c>
      <c r="E82" s="1129" t="s">
        <v>1415</v>
      </c>
      <c r="F82" s="1129" t="s">
        <v>1416</v>
      </c>
      <c r="G82" s="1129" t="s">
        <v>1417</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673</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1380</v>
      </c>
      <c r="B100" s="1101" t="s">
        <v>1445</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1384</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1388</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1392</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1446</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1447</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1448</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1450</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1395</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1451</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IF(C2="——",ROUND(C50*D3/10000,0),ROUND(C50*D3/10000,0)-D2)</f>
        <v>#DIV/0!</v>
      </c>
      <c r="C2" s="1239"/>
      <c r="D2" s="1378"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IF(C2="——",C50,ROUND(B2*10000/D3,0))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61" t="s">
        <v>1351</v>
      </c>
      <c r="Q4" s="3197"/>
      <c r="R4" s="3264" t="s">
        <v>1347</v>
      </c>
      <c r="S4" s="3265"/>
      <c r="T4" s="3264" t="s">
        <v>1348</v>
      </c>
      <c r="U4" s="3265"/>
      <c r="V4" s="3266" t="s">
        <v>1349</v>
      </c>
      <c r="W4" s="3266"/>
      <c r="X4" s="1395"/>
      <c r="Y4" s="3264" t="s">
        <v>1351</v>
      </c>
      <c r="Z4" s="3265"/>
      <c r="AA4" s="3257" t="s">
        <v>1347</v>
      </c>
      <c r="AB4" s="3257" t="s">
        <v>1348</v>
      </c>
      <c r="AC4" s="3258" t="s">
        <v>1349</v>
      </c>
    </row>
    <row r="5" spans="1:29" ht="15">
      <c r="A5" s="882"/>
      <c r="B5" s="883"/>
      <c r="C5" s="3199" t="s">
        <v>1352</v>
      </c>
      <c r="D5" s="3200"/>
      <c r="E5" s="3249" t="s">
        <v>1439</v>
      </c>
      <c r="F5" s="3250"/>
      <c r="G5" s="3199" t="s">
        <v>1440</v>
      </c>
      <c r="H5" s="3200"/>
      <c r="I5" s="3199" t="s">
        <v>1441</v>
      </c>
      <c r="J5" s="3200"/>
      <c r="K5" s="1022"/>
      <c r="L5" s="1023"/>
      <c r="M5" s="1024"/>
      <c r="N5" s="1024"/>
      <c r="O5" s="1024"/>
      <c r="P5" s="3262"/>
      <c r="Q5" s="3237"/>
      <c r="R5" s="3242"/>
      <c r="S5" s="3243"/>
      <c r="T5" s="3242"/>
      <c r="U5" s="3243"/>
      <c r="V5" s="3246"/>
      <c r="W5" s="3246"/>
      <c r="X5" s="1064"/>
      <c r="Y5" s="3242"/>
      <c r="Z5" s="3243"/>
      <c r="AA5" s="3232"/>
      <c r="AB5" s="3232"/>
      <c r="AC5" s="3259"/>
    </row>
    <row r="6" spans="1:29" ht="15">
      <c r="A6" s="884"/>
      <c r="B6" s="885"/>
      <c r="C6" s="3205" t="s">
        <v>1354</v>
      </c>
      <c r="D6" s="3206"/>
      <c r="E6" s="3251" t="s">
        <v>1354</v>
      </c>
      <c r="F6" s="3252"/>
      <c r="G6" s="3205" t="s">
        <v>1354</v>
      </c>
      <c r="H6" s="3206"/>
      <c r="I6" s="3205" t="s">
        <v>1354</v>
      </c>
      <c r="J6" s="3206"/>
      <c r="K6" s="1022" t="s">
        <v>1355</v>
      </c>
      <c r="L6" s="1023"/>
      <c r="M6" s="1024"/>
      <c r="N6" s="1024"/>
      <c r="O6" s="1024"/>
      <c r="P6" s="3263"/>
      <c r="Q6" s="3239"/>
      <c r="R6" s="3242"/>
      <c r="S6" s="3243"/>
      <c r="T6" s="3244"/>
      <c r="U6" s="3245"/>
      <c r="V6" s="3246"/>
      <c r="W6" s="3246"/>
      <c r="X6" s="1064"/>
      <c r="Y6" s="3244"/>
      <c r="Z6" s="3245"/>
      <c r="AA6" s="3233"/>
      <c r="AB6" s="3233"/>
      <c r="AC6" s="3260"/>
    </row>
    <row r="7" spans="1:29" s="861" customFormat="1" ht="15">
      <c r="A7" s="886" t="s">
        <v>1356</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5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397" t="e">
        <f>D7/J7</f>
        <v>#DIV/0!</v>
      </c>
    </row>
    <row r="8" spans="1:29" s="861" customFormat="1" ht="15">
      <c r="A8" s="886" t="s">
        <v>1359</v>
      </c>
      <c r="B8" s="887"/>
      <c r="C8" s="893" t="s">
        <v>1360</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53" t="s">
        <v>1362</v>
      </c>
      <c r="Q8" s="3215"/>
      <c r="R8" s="1065" t="s">
        <v>1358</v>
      </c>
      <c r="S8" s="1066">
        <f t="shared" si="0"/>
        <v>0</v>
      </c>
      <c r="T8" s="1065" t="s">
        <v>1358</v>
      </c>
      <c r="U8" s="1066">
        <f t="shared" si="1"/>
        <v>0</v>
      </c>
      <c r="V8" s="1065" t="s">
        <v>1358</v>
      </c>
      <c r="W8" s="1066">
        <f t="shared" si="2"/>
        <v>0</v>
      </c>
      <c r="X8" s="1067"/>
      <c r="Y8" s="3213" t="s">
        <v>1362</v>
      </c>
      <c r="Z8" s="3215"/>
      <c r="AA8" s="1079" t="e">
        <f t="shared" ref="AA8:AA47" si="3">D8/F8</f>
        <v>#DIV/0!</v>
      </c>
      <c r="AB8" s="1079" t="e">
        <f t="shared" ref="AB8:AB47" si="4">D8/H8</f>
        <v>#DIV/0!</v>
      </c>
      <c r="AC8" s="1397" t="e">
        <f t="shared" ref="AC8:AC47" si="5">D8/J8</f>
        <v>#DIV/0!</v>
      </c>
    </row>
    <row r="9" spans="1:29" s="861" customFormat="1">
      <c r="A9" s="894" t="s">
        <v>1363</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397">
        <f t="shared" si="5"/>
        <v>1</v>
      </c>
    </row>
    <row r="10" spans="1:29" s="862" customFormat="1" ht="27">
      <c r="A10" s="898"/>
      <c r="B10" s="899" t="s">
        <v>1366</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397">
        <f t="shared" si="5"/>
        <v>1</v>
      </c>
    </row>
    <row r="11" spans="1:29" ht="15">
      <c r="A11" s="902"/>
      <c r="B11" s="899" t="s">
        <v>1368</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18"/>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397">
        <f t="shared" si="5"/>
        <v>1</v>
      </c>
    </row>
    <row r="15" spans="1:29" ht="71.25">
      <c r="A15" s="916" t="s">
        <v>1369</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19" t="s">
        <v>1371</v>
      </c>
      <c r="Q15" s="647" t="str">
        <f t="shared" si="6"/>
        <v>办公集聚程度</v>
      </c>
      <c r="R15" s="1070" t="s">
        <v>1358</v>
      </c>
      <c r="S15" s="1071">
        <f t="shared" si="0"/>
        <v>100</v>
      </c>
      <c r="T15" s="1070" t="s">
        <v>1358</v>
      </c>
      <c r="U15" s="1071">
        <f t="shared" si="1"/>
        <v>100</v>
      </c>
      <c r="V15" s="1070" t="s">
        <v>1358</v>
      </c>
      <c r="W15" s="1071">
        <f t="shared" si="2"/>
        <v>100</v>
      </c>
      <c r="X15" s="1064"/>
      <c r="Y15" s="3224" t="s">
        <v>1371</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20"/>
      <c r="Q16" s="647"/>
      <c r="R16" s="1070"/>
      <c r="S16" s="1071"/>
      <c r="T16" s="1070"/>
      <c r="U16" s="1071"/>
      <c r="V16" s="1070"/>
      <c r="W16" s="1071"/>
      <c r="X16" s="1064"/>
      <c r="Y16" s="3225"/>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20"/>
      <c r="Q18" s="647"/>
      <c r="R18" s="1070"/>
      <c r="S18" s="1071"/>
      <c r="T18" s="1070"/>
      <c r="U18" s="1071"/>
      <c r="V18" s="1070"/>
      <c r="W18" s="1071"/>
      <c r="X18" s="1064"/>
      <c r="Y18" s="3225"/>
      <c r="Z18" s="1056"/>
      <c r="AA18" s="1081">
        <v>1</v>
      </c>
      <c r="AB18" s="1081">
        <v>1</v>
      </c>
      <c r="AC18" s="1398">
        <v>1</v>
      </c>
    </row>
    <row r="19" spans="1:29" ht="256.5">
      <c r="A19" s="902"/>
      <c r="B19" s="926" t="s">
        <v>661</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20"/>
      <c r="Q20" s="647"/>
      <c r="R20" s="1070"/>
      <c r="S20" s="1071"/>
      <c r="T20" s="1070"/>
      <c r="U20" s="1071"/>
      <c r="V20" s="1070"/>
      <c r="W20" s="1071"/>
      <c r="X20" s="1064"/>
      <c r="Y20" s="3225"/>
      <c r="Z20" s="1056"/>
      <c r="AA20" s="1081">
        <v>1</v>
      </c>
      <c r="AB20" s="1081">
        <v>1</v>
      </c>
      <c r="AC20" s="1398">
        <v>1</v>
      </c>
    </row>
    <row r="21" spans="1:29" ht="15">
      <c r="A21" s="902"/>
      <c r="B21" s="933" t="s">
        <v>663</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20"/>
      <c r="Q22" s="647"/>
      <c r="R22" s="1070"/>
      <c r="S22" s="1071"/>
      <c r="T22" s="1070"/>
      <c r="U22" s="1071"/>
      <c r="V22" s="1070"/>
      <c r="W22" s="1071"/>
      <c r="X22" s="1064"/>
      <c r="Y22" s="3225"/>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20"/>
      <c r="Q23" s="647" t="str">
        <f>B23</f>
        <v>环境质量</v>
      </c>
      <c r="R23" s="1070" t="s">
        <v>1358</v>
      </c>
      <c r="S23" s="1071">
        <f>F23</f>
        <v>100</v>
      </c>
      <c r="T23" s="1070" t="s">
        <v>1358</v>
      </c>
      <c r="U23" s="1071">
        <f>H23</f>
        <v>100</v>
      </c>
      <c r="V23" s="1070" t="s">
        <v>1358</v>
      </c>
      <c r="W23" s="1071">
        <f>J23</f>
        <v>100</v>
      </c>
      <c r="X23" s="1064"/>
      <c r="Y23" s="3225"/>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20"/>
      <c r="Q24" s="647"/>
      <c r="R24" s="1070"/>
      <c r="S24" s="1071"/>
      <c r="T24" s="1070"/>
      <c r="U24" s="1071"/>
      <c r="V24" s="1070"/>
      <c r="W24" s="1071"/>
      <c r="X24" s="1064"/>
      <c r="Y24" s="3225"/>
      <c r="Z24" s="1056"/>
      <c r="AA24" s="1081">
        <v>1</v>
      </c>
      <c r="AB24" s="1081">
        <v>1</v>
      </c>
      <c r="AC24" s="1398">
        <v>1</v>
      </c>
    </row>
    <row r="25" spans="1:29" ht="27">
      <c r="A25" s="882"/>
      <c r="B25" s="926" t="s">
        <v>668</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20"/>
      <c r="Q25" s="647" t="str">
        <f>B25</f>
        <v>毗邻道路的类型与等级</v>
      </c>
      <c r="R25" s="1070" t="s">
        <v>1358</v>
      </c>
      <c r="S25" s="1071">
        <f>F25</f>
        <v>100</v>
      </c>
      <c r="T25" s="1070" t="s">
        <v>1358</v>
      </c>
      <c r="U25" s="1071">
        <f>H25</f>
        <v>100</v>
      </c>
      <c r="V25" s="1070" t="s">
        <v>1358</v>
      </c>
      <c r="W25" s="1071">
        <f>J25</f>
        <v>100</v>
      </c>
      <c r="X25" s="1064"/>
      <c r="Y25" s="3225"/>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20"/>
      <c r="Q26" s="647"/>
      <c r="R26" s="1070"/>
      <c r="S26" s="1071"/>
      <c r="T26" s="1070"/>
      <c r="U26" s="1071"/>
      <c r="V26" s="1070"/>
      <c r="W26" s="1071"/>
      <c r="X26" s="1064"/>
      <c r="Y26" s="3225"/>
      <c r="Z26" s="1056"/>
      <c r="AA26" s="1081">
        <v>1</v>
      </c>
      <c r="AB26" s="1081">
        <v>1</v>
      </c>
      <c r="AC26" s="1398">
        <v>1</v>
      </c>
    </row>
    <row r="27" spans="1:29" ht="15">
      <c r="A27" s="902"/>
      <c r="B27" s="930" t="s">
        <v>1444</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20"/>
      <c r="Q27" s="647" t="str">
        <f t="shared" ref="Q27:Q47" si="11">B27</f>
        <v>楼层</v>
      </c>
      <c r="R27" s="1070" t="s">
        <v>1358</v>
      </c>
      <c r="S27" s="1071">
        <f>F27</f>
        <v>100</v>
      </c>
      <c r="T27" s="1070" t="s">
        <v>1358</v>
      </c>
      <c r="U27" s="1071">
        <f>H27</f>
        <v>100</v>
      </c>
      <c r="V27" s="1070" t="s">
        <v>1358</v>
      </c>
      <c r="W27" s="1071">
        <f>J27</f>
        <v>100</v>
      </c>
      <c r="X27" s="1064"/>
      <c r="Y27" s="3225"/>
      <c r="Z27" s="1056" t="str">
        <f>Q27</f>
        <v>楼层</v>
      </c>
      <c r="AA27" s="1081">
        <f t="shared" si="3"/>
        <v>1</v>
      </c>
      <c r="AB27" s="1081">
        <f t="shared" si="4"/>
        <v>1</v>
      </c>
      <c r="AC27" s="1398">
        <f t="shared" si="5"/>
        <v>1</v>
      </c>
    </row>
    <row r="28" spans="1:29" s="861" customFormat="1" ht="15">
      <c r="A28" s="905"/>
      <c r="B28" s="926" t="s">
        <v>1375</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20"/>
      <c r="Q28" s="1069" t="str">
        <f t="shared" si="11"/>
        <v>朝向</v>
      </c>
      <c r="R28" s="1065" t="s">
        <v>1358</v>
      </c>
      <c r="S28" s="1066">
        <f>F28</f>
        <v>100</v>
      </c>
      <c r="T28" s="1065" t="s">
        <v>1358</v>
      </c>
      <c r="U28" s="1066">
        <f>H28</f>
        <v>100</v>
      </c>
      <c r="V28" s="1065" t="s">
        <v>1358</v>
      </c>
      <c r="W28" s="1066">
        <f>J28</f>
        <v>100</v>
      </c>
      <c r="X28" s="1067"/>
      <c r="Y28" s="3225"/>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20"/>
      <c r="Q29" s="647">
        <f t="shared" si="11"/>
        <v>111</v>
      </c>
      <c r="R29" s="1070" t="s">
        <v>1358</v>
      </c>
      <c r="S29" s="1071">
        <f t="shared" ref="S29:S47" si="12">F29</f>
        <v>100</v>
      </c>
      <c r="T29" s="1070" t="s">
        <v>1358</v>
      </c>
      <c r="U29" s="1071">
        <f t="shared" ref="U29:U47" si="13">H29</f>
        <v>100</v>
      </c>
      <c r="V29" s="1070" t="s">
        <v>1358</v>
      </c>
      <c r="W29" s="1071">
        <f t="shared" ref="W29:W47" si="14">J29</f>
        <v>100</v>
      </c>
      <c r="X29" s="1064"/>
      <c r="Y29" s="3225"/>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20"/>
      <c r="Q30" s="647">
        <f t="shared" si="11"/>
        <v>111</v>
      </c>
      <c r="R30" s="1070" t="s">
        <v>1358</v>
      </c>
      <c r="S30" s="1071">
        <f t="shared" si="12"/>
        <v>100</v>
      </c>
      <c r="T30" s="1070" t="s">
        <v>1358</v>
      </c>
      <c r="U30" s="1071">
        <f t="shared" si="13"/>
        <v>100</v>
      </c>
      <c r="V30" s="1070" t="s">
        <v>1358</v>
      </c>
      <c r="W30" s="1071">
        <f t="shared" si="14"/>
        <v>100</v>
      </c>
      <c r="X30" s="1064"/>
      <c r="Y30" s="3225"/>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20"/>
      <c r="Q31" s="647">
        <f t="shared" si="11"/>
        <v>111</v>
      </c>
      <c r="R31" s="1070" t="s">
        <v>1358</v>
      </c>
      <c r="S31" s="1071">
        <f t="shared" si="12"/>
        <v>100</v>
      </c>
      <c r="T31" s="1070" t="s">
        <v>1358</v>
      </c>
      <c r="U31" s="1071">
        <f t="shared" si="13"/>
        <v>100</v>
      </c>
      <c r="V31" s="1070" t="s">
        <v>1358</v>
      </c>
      <c r="W31" s="1071">
        <f t="shared" si="14"/>
        <v>100</v>
      </c>
      <c r="X31" s="1064"/>
      <c r="Y31" s="3225"/>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20"/>
      <c r="Q32" s="647">
        <f t="shared" si="11"/>
        <v>111</v>
      </c>
      <c r="R32" s="1070" t="s">
        <v>1358</v>
      </c>
      <c r="S32" s="1071">
        <f t="shared" si="12"/>
        <v>100</v>
      </c>
      <c r="T32" s="1070" t="s">
        <v>1358</v>
      </c>
      <c r="U32" s="1071">
        <f t="shared" si="13"/>
        <v>100</v>
      </c>
      <c r="V32" s="1070" t="s">
        <v>1358</v>
      </c>
      <c r="W32" s="1071">
        <f t="shared" si="14"/>
        <v>100</v>
      </c>
      <c r="X32" s="1064"/>
      <c r="Y32" s="3225"/>
      <c r="Z32" s="1056">
        <f t="shared" si="15"/>
        <v>111</v>
      </c>
      <c r="AA32" s="1081">
        <f t="shared" si="3"/>
        <v>1</v>
      </c>
      <c r="AB32" s="1081">
        <f t="shared" si="4"/>
        <v>1</v>
      </c>
      <c r="AC32" s="1398">
        <f t="shared" si="5"/>
        <v>1</v>
      </c>
    </row>
    <row r="33" spans="1:29" ht="15">
      <c r="A33" s="916" t="s">
        <v>1380</v>
      </c>
      <c r="B33" s="895" t="s">
        <v>1381</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21" t="s">
        <v>1383</v>
      </c>
      <c r="Q33" s="647" t="str">
        <f t="shared" si="11"/>
        <v>建筑类型</v>
      </c>
      <c r="R33" s="1070" t="s">
        <v>1358</v>
      </c>
      <c r="S33" s="1071">
        <f t="shared" si="12"/>
        <v>100</v>
      </c>
      <c r="T33" s="1070" t="s">
        <v>1358</v>
      </c>
      <c r="U33" s="1071">
        <f t="shared" si="13"/>
        <v>100</v>
      </c>
      <c r="V33" s="1070" t="s">
        <v>1358</v>
      </c>
      <c r="W33" s="1071">
        <f t="shared" si="14"/>
        <v>100</v>
      </c>
      <c r="X33" s="1064"/>
      <c r="Y33" s="3226" t="s">
        <v>1383</v>
      </c>
      <c r="Z33" s="1056" t="str">
        <f t="shared" si="15"/>
        <v>建筑类型</v>
      </c>
      <c r="AA33" s="1081">
        <f t="shared" si="3"/>
        <v>1</v>
      </c>
      <c r="AB33" s="1081">
        <f t="shared" si="4"/>
        <v>1</v>
      </c>
      <c r="AC33" s="1398">
        <f t="shared" si="5"/>
        <v>1</v>
      </c>
    </row>
    <row r="34" spans="1:29" s="863" customFormat="1" ht="15">
      <c r="A34" s="958"/>
      <c r="B34" s="899" t="s">
        <v>1384</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22"/>
      <c r="Q34" s="1294" t="str">
        <f t="shared" si="11"/>
        <v>项目建筑规模</v>
      </c>
      <c r="R34" s="1072" t="s">
        <v>1358</v>
      </c>
      <c r="S34" s="1073" t="e">
        <f t="shared" si="12"/>
        <v>#N/A</v>
      </c>
      <c r="T34" s="1072" t="s">
        <v>1358</v>
      </c>
      <c r="U34" s="1073" t="e">
        <f t="shared" si="13"/>
        <v>#N/A</v>
      </c>
      <c r="V34" s="1072" t="s">
        <v>1358</v>
      </c>
      <c r="W34" s="1073" t="e">
        <f t="shared" si="14"/>
        <v>#N/A</v>
      </c>
      <c r="X34" s="1074"/>
      <c r="Y34" s="3226"/>
      <c r="Z34" s="1082" t="str">
        <f t="shared" si="15"/>
        <v>项目建筑规模</v>
      </c>
      <c r="AA34" s="1081" t="e">
        <f t="shared" si="3"/>
        <v>#N/A</v>
      </c>
      <c r="AB34" s="1081" t="e">
        <f t="shared" si="4"/>
        <v>#N/A</v>
      </c>
      <c r="AC34" s="1398" t="e">
        <f t="shared" si="5"/>
        <v>#N/A</v>
      </c>
    </row>
    <row r="35" spans="1:29" ht="15">
      <c r="A35" s="953"/>
      <c r="B35" s="899" t="s">
        <v>1385</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22"/>
      <c r="Q35" s="647" t="str">
        <f t="shared" si="11"/>
        <v>建筑结构</v>
      </c>
      <c r="R35" s="1070" t="s">
        <v>1358</v>
      </c>
      <c r="S35" s="1071">
        <f t="shared" si="12"/>
        <v>100</v>
      </c>
      <c r="T35" s="1070" t="s">
        <v>1358</v>
      </c>
      <c r="U35" s="1071">
        <f t="shared" si="13"/>
        <v>100</v>
      </c>
      <c r="V35" s="1070" t="s">
        <v>1358</v>
      </c>
      <c r="W35" s="1071">
        <f t="shared" si="14"/>
        <v>100</v>
      </c>
      <c r="X35" s="1064"/>
      <c r="Y35" s="3226"/>
      <c r="Z35" s="1056" t="str">
        <f t="shared" si="15"/>
        <v>建筑结构</v>
      </c>
      <c r="AA35" s="1081">
        <f t="shared" si="3"/>
        <v>1</v>
      </c>
      <c r="AB35" s="1081">
        <f t="shared" si="4"/>
        <v>1</v>
      </c>
      <c r="AC35" s="1398">
        <f t="shared" si="5"/>
        <v>1</v>
      </c>
    </row>
    <row r="36" spans="1:29" ht="15">
      <c r="A36" s="953"/>
      <c r="B36" s="899" t="s">
        <v>1388</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22"/>
      <c r="Q36" s="647" t="str">
        <f t="shared" si="11"/>
        <v>公共部分装修</v>
      </c>
      <c r="R36" s="1070" t="s">
        <v>1358</v>
      </c>
      <c r="S36" s="1071">
        <f t="shared" si="12"/>
        <v>100</v>
      </c>
      <c r="T36" s="1070" t="s">
        <v>1358</v>
      </c>
      <c r="U36" s="1071">
        <f t="shared" si="13"/>
        <v>100</v>
      </c>
      <c r="V36" s="1070" t="s">
        <v>1358</v>
      </c>
      <c r="W36" s="1071">
        <f t="shared" si="14"/>
        <v>100</v>
      </c>
      <c r="X36" s="1064"/>
      <c r="Y36" s="3226"/>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22"/>
      <c r="Q37" s="647" t="str">
        <f t="shared" si="11"/>
        <v>成新度</v>
      </c>
      <c r="R37" s="1070" t="s">
        <v>1358</v>
      </c>
      <c r="S37" s="1071" t="e">
        <f t="shared" si="12"/>
        <v>#N/A</v>
      </c>
      <c r="T37" s="1070" t="s">
        <v>1358</v>
      </c>
      <c r="U37" s="1071" t="e">
        <f t="shared" si="13"/>
        <v>#N/A</v>
      </c>
      <c r="V37" s="1070" t="s">
        <v>1358</v>
      </c>
      <c r="W37" s="1071" t="e">
        <f t="shared" si="14"/>
        <v>#N/A</v>
      </c>
      <c r="X37" s="1064"/>
      <c r="Y37" s="3226"/>
      <c r="Z37" s="1056" t="str">
        <f t="shared" si="15"/>
        <v>成新度</v>
      </c>
      <c r="AA37" s="1081" t="e">
        <f t="shared" si="3"/>
        <v>#N/A</v>
      </c>
      <c r="AB37" s="1081" t="e">
        <f t="shared" si="4"/>
        <v>#N/A</v>
      </c>
      <c r="AC37" s="1398" t="e">
        <f t="shared" si="5"/>
        <v>#N/A</v>
      </c>
    </row>
    <row r="38" spans="1:29" s="861" customFormat="1" ht="15">
      <c r="A38" s="955"/>
      <c r="B38" s="899" t="s">
        <v>1452</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22"/>
      <c r="Q38" s="1069" t="str">
        <f t="shared" si="11"/>
        <v>写字楼等级</v>
      </c>
      <c r="R38" s="1065" t="s">
        <v>1358</v>
      </c>
      <c r="S38" s="1066">
        <f t="shared" si="12"/>
        <v>100</v>
      </c>
      <c r="T38" s="1065" t="s">
        <v>1358</v>
      </c>
      <c r="U38" s="1066">
        <f t="shared" si="13"/>
        <v>100</v>
      </c>
      <c r="V38" s="1065" t="s">
        <v>1358</v>
      </c>
      <c r="W38" s="1066">
        <f t="shared" si="14"/>
        <v>100</v>
      </c>
      <c r="X38" s="1067"/>
      <c r="Y38" s="3226"/>
      <c r="Z38" s="1080" t="str">
        <f t="shared" si="15"/>
        <v>写字楼等级</v>
      </c>
      <c r="AA38" s="1079">
        <f t="shared" si="3"/>
        <v>1</v>
      </c>
      <c r="AB38" s="1079">
        <f t="shared" si="4"/>
        <v>1</v>
      </c>
      <c r="AC38" s="1397">
        <f t="shared" si="5"/>
        <v>1</v>
      </c>
    </row>
    <row r="39" spans="1:29" ht="15">
      <c r="A39" s="953"/>
      <c r="B39" s="899" t="s">
        <v>1390</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22" t="s">
        <v>1383</v>
      </c>
      <c r="Q39" s="647" t="str">
        <f t="shared" si="11"/>
        <v>物业管理</v>
      </c>
      <c r="R39" s="1070" t="s">
        <v>1358</v>
      </c>
      <c r="S39" s="1071">
        <f t="shared" si="12"/>
        <v>100</v>
      </c>
      <c r="T39" s="1070" t="s">
        <v>1358</v>
      </c>
      <c r="U39" s="1071">
        <f t="shared" si="13"/>
        <v>100</v>
      </c>
      <c r="V39" s="1070" t="s">
        <v>1358</v>
      </c>
      <c r="W39" s="1071">
        <f t="shared" si="14"/>
        <v>100</v>
      </c>
      <c r="X39" s="1064"/>
      <c r="Y39" s="3226" t="s">
        <v>1383</v>
      </c>
      <c r="Z39" s="1056" t="str">
        <f t="shared" si="15"/>
        <v>物业管理</v>
      </c>
      <c r="AA39" s="1081">
        <f t="shared" si="3"/>
        <v>1</v>
      </c>
      <c r="AB39" s="1081">
        <f t="shared" si="4"/>
        <v>1</v>
      </c>
      <c r="AC39" s="1398">
        <f t="shared" si="5"/>
        <v>1</v>
      </c>
    </row>
    <row r="40" spans="1:29" ht="15">
      <c r="A40" s="953"/>
      <c r="B40" s="899" t="s">
        <v>1392</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22"/>
      <c r="Q40" s="647" t="str">
        <f t="shared" si="11"/>
        <v>市政基础设施</v>
      </c>
      <c r="R40" s="1070" t="s">
        <v>1358</v>
      </c>
      <c r="S40" s="1071">
        <f t="shared" si="12"/>
        <v>100</v>
      </c>
      <c r="T40" s="1070" t="s">
        <v>1358</v>
      </c>
      <c r="U40" s="1071">
        <f t="shared" si="13"/>
        <v>100</v>
      </c>
      <c r="V40" s="1070" t="s">
        <v>1358</v>
      </c>
      <c r="W40" s="1071">
        <f t="shared" si="14"/>
        <v>100</v>
      </c>
      <c r="X40" s="1064"/>
      <c r="Y40" s="3226"/>
      <c r="Z40" s="1056" t="str">
        <f t="shared" si="15"/>
        <v>市政基础设施</v>
      </c>
      <c r="AA40" s="1081">
        <f t="shared" si="3"/>
        <v>1</v>
      </c>
      <c r="AB40" s="1081">
        <f t="shared" si="4"/>
        <v>1</v>
      </c>
      <c r="AC40" s="1398">
        <f t="shared" si="5"/>
        <v>1</v>
      </c>
    </row>
    <row r="41" spans="1:29" ht="15">
      <c r="A41" s="953"/>
      <c r="B41" s="899" t="s">
        <v>1447</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22"/>
      <c r="Q41" s="647" t="str">
        <f t="shared" si="11"/>
        <v>层高</v>
      </c>
      <c r="R41" s="1070" t="s">
        <v>1358</v>
      </c>
      <c r="S41" s="1071">
        <f t="shared" si="12"/>
        <v>100</v>
      </c>
      <c r="T41" s="1070" t="s">
        <v>1358</v>
      </c>
      <c r="U41" s="1071">
        <f t="shared" si="13"/>
        <v>100</v>
      </c>
      <c r="V41" s="1070" t="s">
        <v>1358</v>
      </c>
      <c r="W41" s="1071">
        <f t="shared" si="14"/>
        <v>100</v>
      </c>
      <c r="X41" s="1064"/>
      <c r="Y41" s="3226"/>
      <c r="Z41" s="1056" t="str">
        <f t="shared" si="15"/>
        <v>层高</v>
      </c>
      <c r="AA41" s="1081">
        <f t="shared" si="3"/>
        <v>1</v>
      </c>
      <c r="AB41" s="1081">
        <f t="shared" si="4"/>
        <v>1</v>
      </c>
      <c r="AC41" s="1398">
        <f t="shared" si="5"/>
        <v>1</v>
      </c>
    </row>
    <row r="42" spans="1:29" s="863" customFormat="1" ht="15">
      <c r="A42" s="958"/>
      <c r="B42" s="1051" t="s">
        <v>1453</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22"/>
      <c r="Q42" s="1294" t="str">
        <f t="shared" si="11"/>
        <v>单套建筑面积</v>
      </c>
      <c r="R42" s="1072" t="s">
        <v>1358</v>
      </c>
      <c r="S42" s="1073">
        <f t="shared" si="12"/>
        <v>100</v>
      </c>
      <c r="T42" s="1072" t="s">
        <v>1358</v>
      </c>
      <c r="U42" s="1073">
        <f t="shared" si="13"/>
        <v>100</v>
      </c>
      <c r="V42" s="1072" t="s">
        <v>1358</v>
      </c>
      <c r="W42" s="1073">
        <f t="shared" si="14"/>
        <v>100</v>
      </c>
      <c r="X42" s="1074"/>
      <c r="Y42" s="3226"/>
      <c r="Z42" s="1082" t="str">
        <f t="shared" si="15"/>
        <v>单套建筑面积</v>
      </c>
      <c r="AA42" s="1081">
        <f t="shared" si="3"/>
        <v>1</v>
      </c>
      <c r="AB42" s="1081">
        <f t="shared" si="4"/>
        <v>1</v>
      </c>
      <c r="AC42" s="1398">
        <f t="shared" si="5"/>
        <v>1</v>
      </c>
    </row>
    <row r="43" spans="1:29" ht="15">
      <c r="A43" s="953"/>
      <c r="B43" s="899" t="s">
        <v>1395</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22"/>
      <c r="Q43" s="647" t="str">
        <f t="shared" si="11"/>
        <v>内部装修</v>
      </c>
      <c r="R43" s="1070" t="s">
        <v>1358</v>
      </c>
      <c r="S43" s="1071">
        <f t="shared" si="12"/>
        <v>100</v>
      </c>
      <c r="T43" s="1070" t="s">
        <v>1358</v>
      </c>
      <c r="U43" s="1071">
        <f t="shared" si="13"/>
        <v>100</v>
      </c>
      <c r="V43" s="1070" t="s">
        <v>1358</v>
      </c>
      <c r="W43" s="1071">
        <f t="shared" si="14"/>
        <v>100</v>
      </c>
      <c r="X43" s="1064"/>
      <c r="Y43" s="3226"/>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22"/>
      <c r="Q44" s="647" t="str">
        <f t="shared" si="11"/>
        <v>内部装修维护情况</v>
      </c>
      <c r="R44" s="1070" t="s">
        <v>1358</v>
      </c>
      <c r="S44" s="1071">
        <f t="shared" si="12"/>
        <v>100</v>
      </c>
      <c r="T44" s="1070" t="s">
        <v>1358</v>
      </c>
      <c r="U44" s="1071">
        <f t="shared" si="13"/>
        <v>100</v>
      </c>
      <c r="V44" s="1070" t="s">
        <v>1358</v>
      </c>
      <c r="W44" s="1071">
        <f t="shared" si="14"/>
        <v>100</v>
      </c>
      <c r="X44" s="1064"/>
      <c r="Y44" s="3226"/>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22"/>
      <c r="Q45" s="1069">
        <f t="shared" si="11"/>
        <v>111</v>
      </c>
      <c r="R45" s="1065" t="s">
        <v>1358</v>
      </c>
      <c r="S45" s="1066">
        <f t="shared" si="12"/>
        <v>100</v>
      </c>
      <c r="T45" s="1065" t="s">
        <v>1358</v>
      </c>
      <c r="U45" s="1066">
        <f t="shared" si="13"/>
        <v>100</v>
      </c>
      <c r="V45" s="1065" t="s">
        <v>1358</v>
      </c>
      <c r="W45" s="1066">
        <f t="shared" si="14"/>
        <v>100</v>
      </c>
      <c r="X45" s="1067"/>
      <c r="Y45" s="3226"/>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22"/>
      <c r="Q46" s="647">
        <f t="shared" si="11"/>
        <v>111</v>
      </c>
      <c r="R46" s="1070" t="s">
        <v>1358</v>
      </c>
      <c r="S46" s="1071">
        <f t="shared" si="12"/>
        <v>100</v>
      </c>
      <c r="T46" s="1070" t="s">
        <v>1358</v>
      </c>
      <c r="U46" s="1071">
        <f t="shared" si="13"/>
        <v>100</v>
      </c>
      <c r="V46" s="1070" t="s">
        <v>1358</v>
      </c>
      <c r="W46" s="1071">
        <f t="shared" si="14"/>
        <v>100</v>
      </c>
      <c r="X46" s="1064"/>
      <c r="Y46" s="3226"/>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23"/>
      <c r="Q47" s="647">
        <f t="shared" si="11"/>
        <v>111</v>
      </c>
      <c r="R47" s="1070" t="s">
        <v>1358</v>
      </c>
      <c r="S47" s="1071">
        <f t="shared" si="12"/>
        <v>100</v>
      </c>
      <c r="T47" s="1070" t="s">
        <v>1358</v>
      </c>
      <c r="U47" s="1071">
        <f t="shared" si="13"/>
        <v>100</v>
      </c>
      <c r="V47" s="1070" t="s">
        <v>1358</v>
      </c>
      <c r="W47" s="1071">
        <f t="shared" si="14"/>
        <v>100</v>
      </c>
      <c r="X47" s="1064"/>
      <c r="Y47" s="3227"/>
      <c r="Z47" s="1056">
        <f t="shared" si="15"/>
        <v>111</v>
      </c>
      <c r="AA47" s="1081">
        <f t="shared" si="3"/>
        <v>1</v>
      </c>
      <c r="AB47" s="1081">
        <f t="shared" si="4"/>
        <v>1</v>
      </c>
      <c r="AC47" s="1398">
        <f t="shared" si="5"/>
        <v>1</v>
      </c>
    </row>
    <row r="48" spans="1:29" ht="15">
      <c r="A48" s="960" t="s">
        <v>1397</v>
      </c>
      <c r="B48" s="1269"/>
      <c r="C48" s="1270" t="s">
        <v>124</v>
      </c>
      <c r="D48" s="1271"/>
      <c r="E48" s="1272"/>
      <c r="F48" s="1273"/>
      <c r="G48" s="1274"/>
      <c r="H48" s="1275"/>
      <c r="I48" s="1272"/>
      <c r="J48" s="967"/>
      <c r="K48" s="1047"/>
      <c r="L48" s="1048"/>
      <c r="M48" s="1024"/>
      <c r="N48" s="1024"/>
      <c r="O48" s="1024"/>
      <c r="P48" s="3218" t="str">
        <f>A48</f>
        <v>成交单价（元/平方米）</v>
      </c>
      <c r="Q48" s="3216"/>
      <c r="R48" s="3217">
        <f>E48</f>
        <v>0</v>
      </c>
      <c r="S48" s="3217"/>
      <c r="T48" s="3217">
        <f>G48</f>
        <v>0</v>
      </c>
      <c r="U48" s="3217"/>
      <c r="V48" s="3217">
        <f>I48</f>
        <v>0</v>
      </c>
      <c r="W48" s="3217"/>
      <c r="X48" s="1202"/>
      <c r="Y48" s="1083"/>
      <c r="Z48" s="1202"/>
      <c r="AA48" s="1202"/>
      <c r="AB48" s="1202"/>
      <c r="AC48" s="921"/>
    </row>
    <row r="49" spans="1:29" ht="15">
      <c r="A49" s="968" t="s">
        <v>1398</v>
      </c>
      <c r="B49" s="1276"/>
      <c r="C49" s="1277" t="e">
        <f>R50</f>
        <v>#DIV/0!</v>
      </c>
      <c r="D49" s="1278"/>
      <c r="E49" s="1279" t="e">
        <f>R49</f>
        <v>#DIV/0!</v>
      </c>
      <c r="F49" s="1279"/>
      <c r="G49" s="1277" t="e">
        <f>T49</f>
        <v>#DIV/0!</v>
      </c>
      <c r="H49" s="1278"/>
      <c r="I49" s="1279" t="e">
        <f>V49</f>
        <v>#DIV/0!</v>
      </c>
      <c r="J49" s="971"/>
      <c r="K49" s="1049"/>
      <c r="L49" s="1048"/>
      <c r="M49" s="1024"/>
      <c r="N49" s="1024"/>
      <c r="O49" s="1024"/>
      <c r="P49" s="321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1202"/>
      <c r="Y49" s="1202"/>
      <c r="Z49" s="1202"/>
      <c r="AA49" s="1202"/>
      <c r="AB49" s="1202"/>
      <c r="AC49" s="921"/>
    </row>
    <row r="50" spans="1:29" ht="15">
      <c r="A50" s="974" t="s">
        <v>1399</v>
      </c>
      <c r="B50" s="975"/>
      <c r="C50" s="1280" t="e">
        <f>R50</f>
        <v>#DIV/0!</v>
      </c>
      <c r="D50" s="1280"/>
      <c r="E50" s="1280"/>
      <c r="F50" s="1280"/>
      <c r="G50" s="1280"/>
      <c r="H50" s="1280"/>
      <c r="I50" s="1280"/>
      <c r="J50" s="976"/>
      <c r="K50" s="1050"/>
      <c r="L50" s="1048"/>
      <c r="M50" s="1024"/>
      <c r="N50" s="1024"/>
      <c r="O50" s="1024"/>
      <c r="P50" s="3254" t="str">
        <f>A50</f>
        <v>估价对象XX用房的比较价值（楼面单价，元/平方米）</v>
      </c>
      <c r="Q50" s="3255"/>
      <c r="R50" s="3256" t="e">
        <f>IF(F1="售价",ROUND(AVERAGE(R49:V49),0),ROUND(AVERAGE(R49:V49),1))</f>
        <v>#DIV/0!</v>
      </c>
      <c r="S50" s="3256"/>
      <c r="T50" s="3256"/>
      <c r="U50" s="3256"/>
      <c r="V50" s="3256"/>
      <c r="W50" s="3256"/>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1400</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1401</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1402</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1403</v>
      </c>
      <c r="B58" s="1012"/>
      <c r="C58" s="1013"/>
      <c r="D58" s="1013"/>
      <c r="E58" s="1013"/>
      <c r="F58" s="1014"/>
      <c r="G58" s="1014"/>
      <c r="H58" s="1013"/>
      <c r="I58" s="1013"/>
      <c r="J58" s="1013"/>
      <c r="K58" s="1060"/>
      <c r="L58" s="1226"/>
      <c r="M58" s="1062"/>
      <c r="N58" s="1062"/>
      <c r="O58" s="1062"/>
      <c r="P58" s="1390"/>
      <c r="Q58" s="1075"/>
    </row>
    <row r="59" spans="1:29" s="866" customFormat="1" ht="15">
      <c r="A59" s="1281" t="s">
        <v>1356</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1404</v>
      </c>
      <c r="B61" s="1091"/>
      <c r="C61" s="1092"/>
      <c r="D61" s="1093"/>
      <c r="E61" s="1093"/>
      <c r="F61" s="1093"/>
      <c r="G61" s="1093"/>
      <c r="H61" s="1093"/>
      <c r="I61" s="1093"/>
      <c r="J61" s="1093"/>
      <c r="K61" s="1093"/>
      <c r="L61" s="1093"/>
      <c r="M61" s="1141"/>
      <c r="N61" s="1093"/>
      <c r="O61" s="1141"/>
      <c r="P61" s="1392"/>
      <c r="Q61" s="1075"/>
    </row>
    <row r="62" spans="1:29" s="861" customFormat="1" ht="15">
      <c r="A62" s="1094" t="s">
        <v>1359</v>
      </c>
      <c r="B62" s="1095"/>
      <c r="C62" s="1096" t="s">
        <v>1360</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1405</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1366</v>
      </c>
      <c r="C66" s="1106" t="s">
        <v>1406</v>
      </c>
      <c r="D66" s="1106" t="s">
        <v>1407</v>
      </c>
      <c r="E66" s="1106" t="s">
        <v>1408</v>
      </c>
      <c r="F66" s="1106" t="s">
        <v>1409</v>
      </c>
      <c r="G66" s="1106" t="s">
        <v>1410</v>
      </c>
      <c r="H66" s="1106" t="s">
        <v>1411</v>
      </c>
      <c r="I66" s="1106" t="s">
        <v>1412</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1368</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1369</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661</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663</v>
      </c>
      <c r="C83" s="1129" t="s">
        <v>1413</v>
      </c>
      <c r="D83" s="1129" t="s">
        <v>1414</v>
      </c>
      <c r="E83" s="1129" t="s">
        <v>1415</v>
      </c>
      <c r="F83" s="1129" t="s">
        <v>1416</v>
      </c>
      <c r="G83" s="1129" t="s">
        <v>1417</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668</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1380</v>
      </c>
      <c r="B101" s="1101" t="s">
        <v>1381</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1384</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1385</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1388</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1452</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1390</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1392</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1454</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1448</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1395</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1455</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IF(C2="——",ROUND(C43*D3/10000,0),ROUND(C43*D3/10000,0)-D2)</f>
        <v>#DIV/0!</v>
      </c>
      <c r="C2" s="1239"/>
      <c r="D2" s="1197"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916</v>
      </c>
      <c r="B3" s="878" t="e">
        <f ca="1">IF(C2="——",C43,ROUND(B2*10000/D3,0))</f>
        <v>#DIV/0!</v>
      </c>
      <c r="C3" s="1242" t="s">
        <v>1344</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0" si="3">D8/F8</f>
        <v>#DIV/0!</v>
      </c>
      <c r="AB8" s="1079" t="e">
        <f t="shared" ref="AB8:AB40" si="4">D8/H8</f>
        <v>#DIV/0!</v>
      </c>
      <c r="AC8" s="1079" t="e">
        <f t="shared" ref="AC8:AC40" si="5">D8/J8</f>
        <v>#DIV/0!</v>
      </c>
    </row>
    <row r="9" spans="1:29" s="861" customFormat="1">
      <c r="A9" s="894" t="s">
        <v>1363</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16"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16"/>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902"/>
      <c r="B11" s="899" t="s">
        <v>1368</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16"/>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16"/>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57">
      <c r="A15" s="916" t="s">
        <v>1369</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24" t="s">
        <v>1371</v>
      </c>
      <c r="Q15" s="647" t="str">
        <f t="shared" si="6"/>
        <v>产业集聚程度</v>
      </c>
      <c r="R15" s="1070" t="s">
        <v>1358</v>
      </c>
      <c r="S15" s="1071">
        <f t="shared" si="0"/>
        <v>100</v>
      </c>
      <c r="T15" s="1070" t="s">
        <v>1358</v>
      </c>
      <c r="U15" s="1071">
        <f t="shared" si="1"/>
        <v>100</v>
      </c>
      <c r="V15" s="1070" t="s">
        <v>1358</v>
      </c>
      <c r="W15" s="1071">
        <f t="shared" si="2"/>
        <v>100</v>
      </c>
      <c r="X15" s="1064"/>
      <c r="Y15" s="3224" t="s">
        <v>1371</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25"/>
      <c r="Q16" s="647"/>
      <c r="R16" s="1070"/>
      <c r="S16" s="1071"/>
      <c r="T16" s="1070"/>
      <c r="U16" s="1071"/>
      <c r="V16" s="1070"/>
      <c r="W16" s="1071"/>
      <c r="X16" s="1064"/>
      <c r="Y16" s="3225"/>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25"/>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25"/>
      <c r="Q18" s="647"/>
      <c r="R18" s="1070"/>
      <c r="S18" s="1071"/>
      <c r="T18" s="1070"/>
      <c r="U18" s="1071"/>
      <c r="V18" s="1070"/>
      <c r="W18" s="1071"/>
      <c r="X18" s="1064"/>
      <c r="Y18" s="3225"/>
      <c r="Z18" s="1056"/>
      <c r="AA18" s="1081">
        <v>1</v>
      </c>
      <c r="AB18" s="1081">
        <v>1</v>
      </c>
      <c r="AC18" s="1081">
        <v>1</v>
      </c>
    </row>
    <row r="19" spans="1:29" ht="42.75">
      <c r="A19" s="902"/>
      <c r="B19" s="1203" t="s">
        <v>661</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25"/>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25"/>
      <c r="Q20" s="647"/>
      <c r="R20" s="1070"/>
      <c r="S20" s="1071"/>
      <c r="T20" s="1070"/>
      <c r="U20" s="1071"/>
      <c r="V20" s="1070"/>
      <c r="W20" s="1071"/>
      <c r="X20" s="1064"/>
      <c r="Y20" s="3225"/>
      <c r="Z20" s="1056"/>
      <c r="AA20" s="1081">
        <v>1</v>
      </c>
      <c r="AB20" s="1081">
        <v>1</v>
      </c>
      <c r="AC20" s="1081">
        <v>1</v>
      </c>
    </row>
    <row r="21" spans="1:29" ht="28.5">
      <c r="A21" s="902"/>
      <c r="B21" s="1207" t="s">
        <v>663</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25"/>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25"/>
      <c r="Q22" s="647"/>
      <c r="R22" s="1070"/>
      <c r="S22" s="1071"/>
      <c r="T22" s="1070"/>
      <c r="U22" s="1071"/>
      <c r="V22" s="1070"/>
      <c r="W22" s="1071"/>
      <c r="X22" s="1064"/>
      <c r="Y22" s="3225"/>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25"/>
      <c r="Q23" s="647" t="str">
        <f>B23</f>
        <v>环境质量</v>
      </c>
      <c r="R23" s="1070" t="s">
        <v>1358</v>
      </c>
      <c r="S23" s="1071">
        <f>F23</f>
        <v>100</v>
      </c>
      <c r="T23" s="1070" t="s">
        <v>1358</v>
      </c>
      <c r="U23" s="1071">
        <f>H23</f>
        <v>100</v>
      </c>
      <c r="V23" s="1070" t="s">
        <v>1358</v>
      </c>
      <c r="W23" s="1071">
        <f>J23</f>
        <v>100</v>
      </c>
      <c r="X23" s="1064"/>
      <c r="Y23" s="3225"/>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25"/>
      <c r="Q24" s="647"/>
      <c r="R24" s="1070"/>
      <c r="S24" s="1071"/>
      <c r="T24" s="1070"/>
      <c r="U24" s="1071"/>
      <c r="V24" s="1070"/>
      <c r="W24" s="1071"/>
      <c r="X24" s="1064"/>
      <c r="Y24" s="3225"/>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25"/>
      <c r="Q25" s="647">
        <f>B25</f>
        <v>111</v>
      </c>
      <c r="R25" s="1070" t="s">
        <v>1358</v>
      </c>
      <c r="S25" s="1071">
        <f>F25</f>
        <v>100</v>
      </c>
      <c r="T25" s="1070" t="s">
        <v>1358</v>
      </c>
      <c r="U25" s="1071">
        <f>H25</f>
        <v>100</v>
      </c>
      <c r="V25" s="1070" t="s">
        <v>1358</v>
      </c>
      <c r="W25" s="1071">
        <f>J25</f>
        <v>100</v>
      </c>
      <c r="X25" s="1064"/>
      <c r="Y25" s="3225"/>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25"/>
      <c r="Q26" s="647">
        <f t="shared" ref="Q26:Q40" si="11">B26</f>
        <v>111</v>
      </c>
      <c r="R26" s="1070" t="s">
        <v>1358</v>
      </c>
      <c r="S26" s="1071">
        <f>F26</f>
        <v>100</v>
      </c>
      <c r="T26" s="1070" t="s">
        <v>1358</v>
      </c>
      <c r="U26" s="1071">
        <f>H26</f>
        <v>100</v>
      </c>
      <c r="V26" s="1070" t="s">
        <v>1358</v>
      </c>
      <c r="W26" s="1071">
        <f>J26</f>
        <v>100</v>
      </c>
      <c r="X26" s="1064"/>
      <c r="Y26" s="3225"/>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25"/>
      <c r="Q27" s="1069">
        <f t="shared" si="11"/>
        <v>111</v>
      </c>
      <c r="R27" s="1065" t="s">
        <v>1358</v>
      </c>
      <c r="S27" s="1066">
        <f>F27</f>
        <v>100</v>
      </c>
      <c r="T27" s="1065" t="s">
        <v>1358</v>
      </c>
      <c r="U27" s="1066">
        <f>H27</f>
        <v>100</v>
      </c>
      <c r="V27" s="1065" t="s">
        <v>1358</v>
      </c>
      <c r="W27" s="1066">
        <f>J27</f>
        <v>100</v>
      </c>
      <c r="X27" s="1067"/>
      <c r="Y27" s="3225"/>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25"/>
      <c r="Q28" s="647">
        <f t="shared" si="11"/>
        <v>111</v>
      </c>
      <c r="R28" s="1070" t="s">
        <v>1358</v>
      </c>
      <c r="S28" s="1071">
        <f t="shared" ref="S28:S40" si="12">F28</f>
        <v>100</v>
      </c>
      <c r="T28" s="1070" t="s">
        <v>1358</v>
      </c>
      <c r="U28" s="1071">
        <f t="shared" ref="U28:U40" si="13">H28</f>
        <v>100</v>
      </c>
      <c r="V28" s="1070" t="s">
        <v>1358</v>
      </c>
      <c r="W28" s="1071">
        <f t="shared" ref="W28:W40" si="14">J28</f>
        <v>100</v>
      </c>
      <c r="X28" s="1064"/>
      <c r="Y28" s="3225"/>
      <c r="Z28" s="1056">
        <f t="shared" ref="Z28:Z40" si="15">Q28</f>
        <v>111</v>
      </c>
      <c r="AA28" s="1081">
        <f t="shared" si="3"/>
        <v>1</v>
      </c>
      <c r="AB28" s="1081">
        <f t="shared" si="4"/>
        <v>1</v>
      </c>
      <c r="AC28" s="1081">
        <f t="shared" si="5"/>
        <v>1</v>
      </c>
    </row>
    <row r="29" spans="1:29" ht="15">
      <c r="A29" s="1259" t="s">
        <v>1380</v>
      </c>
      <c r="B29" s="895" t="s">
        <v>1381</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67" t="s">
        <v>1383</v>
      </c>
      <c r="Q29" s="647" t="str">
        <f t="shared" si="11"/>
        <v>建筑类型</v>
      </c>
      <c r="R29" s="1070" t="s">
        <v>1358</v>
      </c>
      <c r="S29" s="1071">
        <f t="shared" si="12"/>
        <v>100</v>
      </c>
      <c r="T29" s="1070" t="s">
        <v>1358</v>
      </c>
      <c r="U29" s="1071">
        <f t="shared" si="13"/>
        <v>100</v>
      </c>
      <c r="V29" s="1070" t="s">
        <v>1358</v>
      </c>
      <c r="W29" s="1071">
        <f t="shared" si="14"/>
        <v>100</v>
      </c>
      <c r="X29" s="1064"/>
      <c r="Y29" s="3226" t="s">
        <v>1383</v>
      </c>
      <c r="Z29" s="1056" t="str">
        <f t="shared" si="15"/>
        <v>建筑类型</v>
      </c>
      <c r="AA29" s="1081">
        <f t="shared" si="3"/>
        <v>1</v>
      </c>
      <c r="AB29" s="1081">
        <f t="shared" si="4"/>
        <v>1</v>
      </c>
      <c r="AC29" s="1081">
        <f t="shared" si="5"/>
        <v>1</v>
      </c>
    </row>
    <row r="30" spans="1:29" s="863" customFormat="1" ht="15">
      <c r="A30" s="958"/>
      <c r="B30" s="899" t="s">
        <v>1384</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26"/>
      <c r="Q30" s="1294" t="str">
        <f t="shared" si="11"/>
        <v>项目建筑规模</v>
      </c>
      <c r="R30" s="1072" t="s">
        <v>1358</v>
      </c>
      <c r="S30" s="1073" t="e">
        <f t="shared" si="12"/>
        <v>#N/A</v>
      </c>
      <c r="T30" s="1072" t="s">
        <v>1358</v>
      </c>
      <c r="U30" s="1073" t="e">
        <f t="shared" si="13"/>
        <v>#N/A</v>
      </c>
      <c r="V30" s="1072" t="s">
        <v>1358</v>
      </c>
      <c r="W30" s="1073" t="e">
        <f t="shared" si="14"/>
        <v>#N/A</v>
      </c>
      <c r="X30" s="1074"/>
      <c r="Y30" s="3226"/>
      <c r="Z30" s="1082" t="str">
        <f t="shared" si="15"/>
        <v>项目建筑规模</v>
      </c>
      <c r="AA30" s="1081" t="e">
        <f t="shared" si="3"/>
        <v>#N/A</v>
      </c>
      <c r="AB30" s="1081" t="e">
        <f t="shared" si="4"/>
        <v>#N/A</v>
      </c>
      <c r="AC30" s="1081" t="e">
        <f t="shared" si="5"/>
        <v>#N/A</v>
      </c>
    </row>
    <row r="31" spans="1:29" ht="15">
      <c r="A31" s="953"/>
      <c r="B31" s="899" t="s">
        <v>1385</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26"/>
      <c r="Q31" s="647" t="str">
        <f t="shared" si="11"/>
        <v>建筑结构</v>
      </c>
      <c r="R31" s="1070" t="s">
        <v>1358</v>
      </c>
      <c r="S31" s="1071">
        <f t="shared" si="12"/>
        <v>100</v>
      </c>
      <c r="T31" s="1070" t="s">
        <v>1358</v>
      </c>
      <c r="U31" s="1071">
        <f t="shared" si="13"/>
        <v>100</v>
      </c>
      <c r="V31" s="1070" t="s">
        <v>1358</v>
      </c>
      <c r="W31" s="1071">
        <f t="shared" si="14"/>
        <v>100</v>
      </c>
      <c r="X31" s="1064"/>
      <c r="Y31" s="3226"/>
      <c r="Z31" s="1056" t="str">
        <f t="shared" si="15"/>
        <v>建筑结构</v>
      </c>
      <c r="AA31" s="1081">
        <f t="shared" si="3"/>
        <v>1</v>
      </c>
      <c r="AB31" s="1081">
        <f t="shared" si="4"/>
        <v>1</v>
      </c>
      <c r="AC31" s="1081">
        <f t="shared" si="5"/>
        <v>1</v>
      </c>
    </row>
    <row r="32" spans="1:29" ht="15">
      <c r="A32" s="953"/>
      <c r="B32" s="899" t="s">
        <v>1388</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26"/>
      <c r="Q32" s="647" t="str">
        <f t="shared" si="11"/>
        <v>公共部分装修</v>
      </c>
      <c r="R32" s="1070" t="s">
        <v>1358</v>
      </c>
      <c r="S32" s="1071">
        <f t="shared" si="12"/>
        <v>100</v>
      </c>
      <c r="T32" s="1070" t="s">
        <v>1358</v>
      </c>
      <c r="U32" s="1071">
        <f t="shared" si="13"/>
        <v>100</v>
      </c>
      <c r="V32" s="1070" t="s">
        <v>1358</v>
      </c>
      <c r="W32" s="1071">
        <f t="shared" si="14"/>
        <v>100</v>
      </c>
      <c r="X32" s="1064"/>
      <c r="Y32" s="3226"/>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26"/>
      <c r="Q33" s="647" t="str">
        <f t="shared" si="11"/>
        <v>成新度</v>
      </c>
      <c r="R33" s="1070" t="s">
        <v>1358</v>
      </c>
      <c r="S33" s="1071" t="e">
        <f t="shared" si="12"/>
        <v>#N/A</v>
      </c>
      <c r="T33" s="1070" t="s">
        <v>1358</v>
      </c>
      <c r="U33" s="1071" t="e">
        <f t="shared" si="13"/>
        <v>#N/A</v>
      </c>
      <c r="V33" s="1070" t="s">
        <v>1358</v>
      </c>
      <c r="W33" s="1071" t="e">
        <f t="shared" si="14"/>
        <v>#N/A</v>
      </c>
      <c r="X33" s="1064"/>
      <c r="Y33" s="3226"/>
      <c r="Z33" s="1056" t="str">
        <f t="shared" si="15"/>
        <v>成新度</v>
      </c>
      <c r="AA33" s="1081" t="e">
        <f t="shared" si="3"/>
        <v>#N/A</v>
      </c>
      <c r="AB33" s="1081" t="e">
        <f t="shared" si="4"/>
        <v>#N/A</v>
      </c>
      <c r="AC33" s="1081" t="e">
        <f t="shared" si="5"/>
        <v>#N/A</v>
      </c>
    </row>
    <row r="34" spans="1:29" s="861" customFormat="1" ht="15">
      <c r="A34" s="955"/>
      <c r="B34" s="899" t="s">
        <v>1390</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26"/>
      <c r="Q34" s="1069" t="str">
        <f t="shared" si="11"/>
        <v>物业管理</v>
      </c>
      <c r="R34" s="1065" t="s">
        <v>1358</v>
      </c>
      <c r="S34" s="1066">
        <f t="shared" si="12"/>
        <v>100</v>
      </c>
      <c r="T34" s="1065" t="s">
        <v>1358</v>
      </c>
      <c r="U34" s="1066">
        <f t="shared" si="13"/>
        <v>100</v>
      </c>
      <c r="V34" s="1065" t="s">
        <v>1358</v>
      </c>
      <c r="W34" s="1066">
        <f t="shared" si="14"/>
        <v>100</v>
      </c>
      <c r="X34" s="1067"/>
      <c r="Y34" s="3226"/>
      <c r="Z34" s="1080" t="str">
        <f t="shared" si="15"/>
        <v>物业管理</v>
      </c>
      <c r="AA34" s="1079">
        <f t="shared" si="3"/>
        <v>1</v>
      </c>
      <c r="AB34" s="1079">
        <f t="shared" si="4"/>
        <v>1</v>
      </c>
      <c r="AC34" s="1079">
        <f t="shared" si="5"/>
        <v>1</v>
      </c>
    </row>
    <row r="35" spans="1:29" ht="15">
      <c r="A35" s="953"/>
      <c r="B35" s="899" t="s">
        <v>1392</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26" t="s">
        <v>1383</v>
      </c>
      <c r="Q35" s="647" t="str">
        <f t="shared" si="11"/>
        <v>市政基础设施</v>
      </c>
      <c r="R35" s="1070" t="s">
        <v>1358</v>
      </c>
      <c r="S35" s="1071">
        <f t="shared" si="12"/>
        <v>100</v>
      </c>
      <c r="T35" s="1070" t="s">
        <v>1358</v>
      </c>
      <c r="U35" s="1071">
        <f t="shared" si="13"/>
        <v>100</v>
      </c>
      <c r="V35" s="1070" t="s">
        <v>1358</v>
      </c>
      <c r="W35" s="1071">
        <f t="shared" si="14"/>
        <v>100</v>
      </c>
      <c r="X35" s="1064"/>
      <c r="Y35" s="3226" t="s">
        <v>1383</v>
      </c>
      <c r="Z35" s="1056" t="str">
        <f t="shared" si="15"/>
        <v>市政基础设施</v>
      </c>
      <c r="AA35" s="1081">
        <f t="shared" si="3"/>
        <v>1</v>
      </c>
      <c r="AB35" s="1081">
        <f t="shared" si="4"/>
        <v>1</v>
      </c>
      <c r="AC35" s="1081">
        <f t="shared" si="5"/>
        <v>1</v>
      </c>
    </row>
    <row r="36" spans="1:29" ht="15">
      <c r="A36" s="953"/>
      <c r="B36" s="899" t="s">
        <v>1395</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26"/>
      <c r="Q36" s="647" t="str">
        <f t="shared" si="11"/>
        <v>内部装修</v>
      </c>
      <c r="R36" s="1070" t="s">
        <v>1358</v>
      </c>
      <c r="S36" s="1071">
        <f t="shared" si="12"/>
        <v>100</v>
      </c>
      <c r="T36" s="1070" t="s">
        <v>1358</v>
      </c>
      <c r="U36" s="1071">
        <f t="shared" si="13"/>
        <v>100</v>
      </c>
      <c r="V36" s="1070" t="s">
        <v>1358</v>
      </c>
      <c r="W36" s="1071">
        <f t="shared" si="14"/>
        <v>100</v>
      </c>
      <c r="X36" s="1064"/>
      <c r="Y36" s="3226"/>
      <c r="Z36" s="1056" t="str">
        <f t="shared" si="15"/>
        <v>内部装修</v>
      </c>
      <c r="AA36" s="1081">
        <f t="shared" si="3"/>
        <v>1</v>
      </c>
      <c r="AB36" s="1081">
        <f t="shared" si="4"/>
        <v>1</v>
      </c>
      <c r="AC36" s="1081">
        <f t="shared" si="5"/>
        <v>1</v>
      </c>
    </row>
    <row r="37" spans="1:29" ht="15">
      <c r="A37" s="953"/>
      <c r="B37" s="899" t="s">
        <v>1456</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26"/>
      <c r="Q37" s="647" t="str">
        <f t="shared" si="11"/>
        <v>内部装修状况</v>
      </c>
      <c r="R37" s="1070" t="s">
        <v>1358</v>
      </c>
      <c r="S37" s="1071">
        <f t="shared" si="12"/>
        <v>100</v>
      </c>
      <c r="T37" s="1070" t="s">
        <v>1358</v>
      </c>
      <c r="U37" s="1071">
        <f t="shared" si="13"/>
        <v>100</v>
      </c>
      <c r="V37" s="1070" t="s">
        <v>1358</v>
      </c>
      <c r="W37" s="1071">
        <f t="shared" si="14"/>
        <v>100</v>
      </c>
      <c r="X37" s="1064"/>
      <c r="Y37" s="3226"/>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26"/>
      <c r="Q38" s="1294">
        <f t="shared" si="11"/>
        <v>111</v>
      </c>
      <c r="R38" s="1072" t="s">
        <v>1358</v>
      </c>
      <c r="S38" s="1073">
        <f t="shared" si="12"/>
        <v>100</v>
      </c>
      <c r="T38" s="1072" t="s">
        <v>1358</v>
      </c>
      <c r="U38" s="1073">
        <f t="shared" si="13"/>
        <v>100</v>
      </c>
      <c r="V38" s="1072" t="s">
        <v>1358</v>
      </c>
      <c r="W38" s="1073">
        <f t="shared" si="14"/>
        <v>100</v>
      </c>
      <c r="X38" s="1074"/>
      <c r="Y38" s="3226"/>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26"/>
      <c r="Q39" s="647">
        <f t="shared" si="11"/>
        <v>111</v>
      </c>
      <c r="R39" s="1070" t="s">
        <v>1358</v>
      </c>
      <c r="S39" s="1071">
        <f t="shared" si="12"/>
        <v>100</v>
      </c>
      <c r="T39" s="1070" t="s">
        <v>1358</v>
      </c>
      <c r="U39" s="1071">
        <f t="shared" si="13"/>
        <v>100</v>
      </c>
      <c r="V39" s="1070" t="s">
        <v>1358</v>
      </c>
      <c r="W39" s="1071">
        <f t="shared" si="14"/>
        <v>100</v>
      </c>
      <c r="X39" s="1064"/>
      <c r="Y39" s="3226"/>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27"/>
      <c r="Q40" s="647">
        <f t="shared" si="11"/>
        <v>111</v>
      </c>
      <c r="R40" s="1070" t="s">
        <v>1358</v>
      </c>
      <c r="S40" s="1071">
        <f t="shared" si="12"/>
        <v>100</v>
      </c>
      <c r="T40" s="1070" t="s">
        <v>1358</v>
      </c>
      <c r="U40" s="1071">
        <f t="shared" si="13"/>
        <v>100</v>
      </c>
      <c r="V40" s="1070" t="s">
        <v>1358</v>
      </c>
      <c r="W40" s="1071">
        <f t="shared" si="14"/>
        <v>100</v>
      </c>
      <c r="X40" s="1064"/>
      <c r="Y40" s="3227"/>
      <c r="Z40" s="1056">
        <f t="shared" si="15"/>
        <v>111</v>
      </c>
      <c r="AA40" s="1081">
        <f t="shared" si="3"/>
        <v>1</v>
      </c>
      <c r="AB40" s="1081">
        <f t="shared" si="4"/>
        <v>1</v>
      </c>
      <c r="AC40" s="1081">
        <f t="shared" si="5"/>
        <v>1</v>
      </c>
    </row>
    <row r="41" spans="1:29" ht="15">
      <c r="A41" s="960" t="s">
        <v>1397</v>
      </c>
      <c r="B41" s="1269"/>
      <c r="C41" s="1270" t="s">
        <v>124</v>
      </c>
      <c r="D41" s="1271"/>
      <c r="E41" s="1272"/>
      <c r="F41" s="1273"/>
      <c r="G41" s="1274"/>
      <c r="H41" s="1275"/>
      <c r="I41" s="1272"/>
      <c r="J41" s="1275"/>
      <c r="K41" s="1047"/>
      <c r="L41" s="1048"/>
      <c r="M41" s="977"/>
      <c r="N41" s="1024"/>
      <c r="O41" s="977"/>
      <c r="P41" s="3216" t="str">
        <f>A41</f>
        <v>成交单价（元/平方米）</v>
      </c>
      <c r="Q41" s="3216"/>
      <c r="R41" s="3217">
        <f>E41</f>
        <v>0</v>
      </c>
      <c r="S41" s="3217"/>
      <c r="T41" s="3217">
        <f>G41</f>
        <v>0</v>
      </c>
      <c r="U41" s="3217"/>
      <c r="V41" s="3217">
        <f>I41</f>
        <v>0</v>
      </c>
      <c r="W41" s="3217"/>
      <c r="X41" s="1012"/>
      <c r="Y41" s="1083"/>
      <c r="Z41" s="1012"/>
      <c r="AA41" s="1012"/>
      <c r="AB41" s="1012"/>
      <c r="AC41" s="1012"/>
    </row>
    <row r="42" spans="1:29" ht="15">
      <c r="A42" s="968" t="s">
        <v>1398</v>
      </c>
      <c r="B42" s="1276"/>
      <c r="C42" s="1277" t="e">
        <f>R43</f>
        <v>#DIV/0!</v>
      </c>
      <c r="D42" s="1278"/>
      <c r="E42" s="1279" t="e">
        <f>R42</f>
        <v>#DIV/0!</v>
      </c>
      <c r="F42" s="1279"/>
      <c r="G42" s="1277" t="e">
        <f>T42</f>
        <v>#DIV/0!</v>
      </c>
      <c r="H42" s="1278"/>
      <c r="I42" s="1279" t="e">
        <f>V42</f>
        <v>#DIV/0!</v>
      </c>
      <c r="J42" s="1278"/>
      <c r="K42" s="1049"/>
      <c r="L42" s="1048"/>
      <c r="M42" s="977"/>
      <c r="N42" s="1024"/>
      <c r="O42" s="977"/>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1012"/>
      <c r="Y42" s="1012"/>
      <c r="Z42" s="1012"/>
      <c r="AA42" s="1012"/>
      <c r="AB42" s="1012"/>
      <c r="AC42" s="1012"/>
    </row>
    <row r="43" spans="1:29" ht="15">
      <c r="A43" s="974" t="s">
        <v>1399</v>
      </c>
      <c r="B43" s="975"/>
      <c r="C43" s="1280" t="e">
        <f>R43</f>
        <v>#DIV/0!</v>
      </c>
      <c r="D43" s="1280"/>
      <c r="E43" s="1280"/>
      <c r="F43" s="1280"/>
      <c r="G43" s="1280"/>
      <c r="H43" s="1280"/>
      <c r="I43" s="1280"/>
      <c r="J43" s="1280"/>
      <c r="K43" s="1050"/>
      <c r="L43" s="1048"/>
      <c r="M43" s="977"/>
      <c r="N43" s="977"/>
      <c r="O43" s="977"/>
      <c r="P43" s="3228" t="str">
        <f>A43</f>
        <v>估价对象XX用房的比较价值（楼面单价，元/平方米）</v>
      </c>
      <c r="Q43" s="3229"/>
      <c r="R43" s="3230" t="e">
        <f>IF(F1="售价",ROUND(AVERAGE(R42:V42),0),ROUND(AVERAGE(R42:V42),1))</f>
        <v>#DIV/0!</v>
      </c>
      <c r="S43" s="3230"/>
      <c r="T43" s="3230"/>
      <c r="U43" s="3230"/>
      <c r="V43" s="3230"/>
      <c r="W43" s="3230"/>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1403</v>
      </c>
      <c r="B51" s="1012"/>
      <c r="C51" s="1013"/>
      <c r="D51" s="1013"/>
      <c r="E51" s="1013"/>
      <c r="F51" s="1014"/>
      <c r="G51" s="1014"/>
      <c r="H51" s="1013"/>
      <c r="I51" s="1013"/>
      <c r="J51" s="1013"/>
      <c r="K51" s="1225"/>
      <c r="L51" s="1226"/>
      <c r="M51" s="1062"/>
      <c r="N51" s="1062"/>
      <c r="O51" s="1062"/>
      <c r="P51" s="1063"/>
      <c r="Q51" s="1075"/>
    </row>
    <row r="52" spans="1:17" s="866" customFormat="1" ht="15">
      <c r="A52" s="1281" t="s">
        <v>1356</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1404</v>
      </c>
      <c r="B54" s="1091"/>
      <c r="C54" s="1092"/>
      <c r="D54" s="1093"/>
      <c r="E54" s="1093"/>
      <c r="F54" s="1093"/>
      <c r="G54" s="1093"/>
      <c r="H54" s="1093"/>
      <c r="I54" s="1093"/>
      <c r="J54" s="1093"/>
      <c r="K54" s="1093"/>
      <c r="L54" s="1093"/>
      <c r="M54" s="1141"/>
      <c r="N54" s="1093"/>
      <c r="O54" s="1142"/>
      <c r="P54" s="1075"/>
      <c r="Q54" s="1075"/>
    </row>
    <row r="55" spans="1:17" s="861" customFormat="1" ht="15">
      <c r="A55" s="1094" t="s">
        <v>1359</v>
      </c>
      <c r="B55" s="1095"/>
      <c r="C55" s="1096" t="s">
        <v>1360</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1405</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1366</v>
      </c>
      <c r="C59" s="1106" t="s">
        <v>1406</v>
      </c>
      <c r="D59" s="1106" t="s">
        <v>1407</v>
      </c>
      <c r="E59" s="1106" t="s">
        <v>1408</v>
      </c>
      <c r="F59" s="1106" t="s">
        <v>1409</v>
      </c>
      <c r="G59" s="1106" t="s">
        <v>1410</v>
      </c>
      <c r="H59" s="1106" t="s">
        <v>1411</v>
      </c>
      <c r="I59" s="1106" t="s">
        <v>1412</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1368</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1369</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661</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663</v>
      </c>
      <c r="C76" s="1129" t="s">
        <v>1413</v>
      </c>
      <c r="D76" s="1129" t="s">
        <v>1414</v>
      </c>
      <c r="E76" s="1129" t="s">
        <v>1415</v>
      </c>
      <c r="F76" s="1129" t="s">
        <v>1416</v>
      </c>
      <c r="G76" s="1129" t="s">
        <v>1417</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1380</v>
      </c>
      <c r="B88" s="1101" t="s">
        <v>1381</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1384</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1385</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1388</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1390</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1392</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1395</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1457</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本次评估采用的主估价方法为比较法和收益法。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309"/>
      <c r="F1" s="1235"/>
      <c r="G1" s="1310" t="s">
        <v>1343</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914</v>
      </c>
      <c r="B2" s="1238" t="e">
        <f ca="1">IF(C2="——",IF(B37="元/平方米",ROUND(C39*D3/10000,0),ROUND(F3*C39/10000,0)),IF(B37="元/平方米",ROUND(C39*D3/10000,0),ROUND(F3*C39/10000,0))-D2)</f>
        <v>#DIV/0!</v>
      </c>
      <c r="C2" s="1239"/>
      <c r="D2" s="1197" t="e">
        <f ca="1">SUMIF(INDIRECT("'"&amp;F2&amp;"'"&amp;"!A:A"),"承租人权益价值",INDIRECT("'"&amp;F2&amp;"'"&amp;"!c:c"))</f>
        <v>#REF!</v>
      </c>
      <c r="E2" s="1240" t="s">
        <v>915</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916</v>
      </c>
      <c r="B3" s="878" t="e">
        <f ca="1">IF(AND(C2="——",B37="元/平方米"),C39,ROUND(B2*10000/D3,0))</f>
        <v>#DIV/0!</v>
      </c>
      <c r="C3" s="1242" t="s">
        <v>1344</v>
      </c>
      <c r="D3" s="1243">
        <f>SUMIF('数据-汇总表'!$C19:$C33,D1,'数据-汇总表'!$E19:$E33)</f>
        <v>0</v>
      </c>
      <c r="E3" s="1242" t="s">
        <v>1459</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13" t="s">
        <v>1357</v>
      </c>
      <c r="Q7" s="3214"/>
      <c r="R7" s="1065" t="s">
        <v>1358</v>
      </c>
      <c r="S7" s="1066">
        <f t="shared" ref="S7:S14" si="0">F7</f>
        <v>0</v>
      </c>
      <c r="T7" s="1065" t="s">
        <v>1358</v>
      </c>
      <c r="U7" s="1066">
        <f t="shared" ref="U7:U14" si="1">H7</f>
        <v>0</v>
      </c>
      <c r="V7" s="1065" t="s">
        <v>1358</v>
      </c>
      <c r="W7" s="1066">
        <f t="shared" ref="W7:W14"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36" si="3">D8/F8</f>
        <v>#DIV/0!</v>
      </c>
      <c r="AB8" s="1079" t="e">
        <f t="shared" ref="AB8:AB36" si="4">D8/H8</f>
        <v>#DIV/0!</v>
      </c>
      <c r="AC8" s="1079" t="e">
        <f t="shared" ref="AC8:AC36" si="5">D8/J8</f>
        <v>#DIV/0!</v>
      </c>
    </row>
    <row r="9" spans="1:29" s="861" customFormat="1">
      <c r="A9" s="1311" t="s">
        <v>1363</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16" t="s">
        <v>1364</v>
      </c>
      <c r="Q9" s="1069" t="str">
        <f t="shared" ref="Q9:Q14" si="6">B9</f>
        <v>用途</v>
      </c>
      <c r="R9" s="1065" t="s">
        <v>1358</v>
      </c>
      <c r="S9" s="1066">
        <f t="shared" si="0"/>
        <v>100</v>
      </c>
      <c r="T9" s="1065" t="s">
        <v>1358</v>
      </c>
      <c r="U9" s="1066">
        <f t="shared" si="1"/>
        <v>100</v>
      </c>
      <c r="V9" s="1065" t="s">
        <v>1358</v>
      </c>
      <c r="W9" s="1066">
        <f t="shared" si="2"/>
        <v>100</v>
      </c>
      <c r="X9" s="1067"/>
      <c r="Y9" s="3045" t="s">
        <v>1365</v>
      </c>
      <c r="Z9" s="1080" t="str">
        <f t="shared" ref="Z9:Z14" si="7">Q9</f>
        <v>用途</v>
      </c>
      <c r="AA9" s="1079">
        <f t="shared" si="3"/>
        <v>1</v>
      </c>
      <c r="AB9" s="1079">
        <f t="shared" si="4"/>
        <v>1</v>
      </c>
      <c r="AC9" s="1079">
        <f t="shared" si="5"/>
        <v>1</v>
      </c>
    </row>
    <row r="10" spans="1:29" s="862" customFormat="1" ht="27">
      <c r="A10" s="1314"/>
      <c r="B10" s="1315" t="s">
        <v>1366</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16"/>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16"/>
      <c r="Q11" s="1069">
        <f t="shared" si="6"/>
        <v>111</v>
      </c>
      <c r="R11" s="1065" t="s">
        <v>1358</v>
      </c>
      <c r="S11" s="1066">
        <f t="shared" si="0"/>
        <v>100</v>
      </c>
      <c r="T11" s="1065" t="s">
        <v>1358</v>
      </c>
      <c r="U11" s="1066">
        <f t="shared" si="1"/>
        <v>100</v>
      </c>
      <c r="V11" s="1065" t="s">
        <v>1358</v>
      </c>
      <c r="W11" s="1066">
        <f t="shared" si="2"/>
        <v>100</v>
      </c>
      <c r="X11" s="1067"/>
      <c r="Y11" s="3045"/>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71">
      <c r="A14" s="880" t="s">
        <v>1369</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24" t="s">
        <v>1371</v>
      </c>
      <c r="Q14" s="647" t="str">
        <f t="shared" si="6"/>
        <v>交通便捷度</v>
      </c>
      <c r="R14" s="1070" t="s">
        <v>1358</v>
      </c>
      <c r="S14" s="1071">
        <f t="shared" si="0"/>
        <v>100</v>
      </c>
      <c r="T14" s="1070" t="s">
        <v>1358</v>
      </c>
      <c r="U14" s="1071">
        <f t="shared" si="1"/>
        <v>100</v>
      </c>
      <c r="V14" s="1070" t="s">
        <v>1358</v>
      </c>
      <c r="W14" s="1071">
        <f t="shared" si="2"/>
        <v>100</v>
      </c>
      <c r="X14" s="1064"/>
      <c r="Y14" s="3224" t="s">
        <v>1371</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25"/>
      <c r="Q15" s="647"/>
      <c r="R15" s="1070"/>
      <c r="S15" s="1071"/>
      <c r="T15" s="1070"/>
      <c r="U15" s="1071"/>
      <c r="V15" s="1070"/>
      <c r="W15" s="1071"/>
      <c r="X15" s="1064"/>
      <c r="Y15" s="3225"/>
      <c r="Z15" s="1056"/>
      <c r="AA15" s="1081">
        <v>1</v>
      </c>
      <c r="AB15" s="1081">
        <v>1</v>
      </c>
      <c r="AC15" s="1081">
        <v>1</v>
      </c>
    </row>
    <row r="16" spans="1:29" ht="285">
      <c r="A16" s="882"/>
      <c r="B16" s="926"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25"/>
      <c r="Q16" s="647" t="str">
        <f>B16</f>
        <v>公共配套设施</v>
      </c>
      <c r="R16" s="1070" t="s">
        <v>1358</v>
      </c>
      <c r="S16" s="1071">
        <f>F16</f>
        <v>100</v>
      </c>
      <c r="T16" s="1070" t="s">
        <v>1358</v>
      </c>
      <c r="U16" s="1071">
        <f>H16</f>
        <v>100</v>
      </c>
      <c r="V16" s="1070" t="s">
        <v>1358</v>
      </c>
      <c r="W16" s="1071">
        <f>J16</f>
        <v>100</v>
      </c>
      <c r="X16" s="1064"/>
      <c r="Y16" s="3225"/>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25"/>
      <c r="Q17" s="647"/>
      <c r="R17" s="1070"/>
      <c r="S17" s="1071"/>
      <c r="T17" s="1070"/>
      <c r="U17" s="1071"/>
      <c r="V17" s="1070"/>
      <c r="W17" s="1071"/>
      <c r="X17" s="1064"/>
      <c r="Y17" s="3225"/>
      <c r="Z17" s="1056"/>
      <c r="AA17" s="1081">
        <v>1</v>
      </c>
      <c r="AB17" s="1081">
        <v>1</v>
      </c>
      <c r="AC17" s="1081">
        <v>1</v>
      </c>
    </row>
    <row r="18" spans="1:29" ht="15">
      <c r="A18" s="882"/>
      <c r="B18" s="933" t="s">
        <v>663</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25"/>
      <c r="Q18" s="647" t="str">
        <f>B18</f>
        <v>基础设施水平</v>
      </c>
      <c r="R18" s="1070" t="s">
        <v>1358</v>
      </c>
      <c r="S18" s="1071">
        <f>F18</f>
        <v>100</v>
      </c>
      <c r="T18" s="1070" t="s">
        <v>1358</v>
      </c>
      <c r="U18" s="1071">
        <f>H18</f>
        <v>100</v>
      </c>
      <c r="V18" s="1070" t="s">
        <v>1358</v>
      </c>
      <c r="W18" s="1071">
        <f>J18</f>
        <v>100</v>
      </c>
      <c r="X18" s="1064"/>
      <c r="Y18" s="3225"/>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25"/>
      <c r="Q19" s="647"/>
      <c r="R19" s="1070"/>
      <c r="S19" s="1071"/>
      <c r="T19" s="1070"/>
      <c r="U19" s="1071"/>
      <c r="V19" s="1070"/>
      <c r="W19" s="1071"/>
      <c r="X19" s="1064"/>
      <c r="Y19" s="3225"/>
      <c r="Z19" s="1056"/>
      <c r="AA19" s="1081">
        <v>1</v>
      </c>
      <c r="AB19" s="1081">
        <v>1</v>
      </c>
      <c r="AC19" s="1081">
        <v>1</v>
      </c>
    </row>
    <row r="20" spans="1:29" ht="256.5">
      <c r="A20" s="882"/>
      <c r="B20" s="926"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25"/>
      <c r="Q20" s="647" t="str">
        <f>B20</f>
        <v>自然及人文环境</v>
      </c>
      <c r="R20" s="1070" t="s">
        <v>1358</v>
      </c>
      <c r="S20" s="1071">
        <f>F20</f>
        <v>100</v>
      </c>
      <c r="T20" s="1070" t="s">
        <v>1358</v>
      </c>
      <c r="U20" s="1071">
        <f>H20</f>
        <v>100</v>
      </c>
      <c r="V20" s="1070" t="s">
        <v>1358</v>
      </c>
      <c r="W20" s="1071">
        <f>J20</f>
        <v>100</v>
      </c>
      <c r="X20" s="1064"/>
      <c r="Y20" s="3225"/>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25"/>
      <c r="Q21" s="647"/>
      <c r="R21" s="1070"/>
      <c r="S21" s="1071"/>
      <c r="T21" s="1070"/>
      <c r="U21" s="1071"/>
      <c r="V21" s="1070"/>
      <c r="W21" s="1071"/>
      <c r="X21" s="1064"/>
      <c r="Y21" s="3225"/>
      <c r="Z21" s="1056"/>
      <c r="AA21" s="1081">
        <v>1</v>
      </c>
      <c r="AB21" s="1081">
        <v>1</v>
      </c>
      <c r="AC21" s="1081">
        <v>1</v>
      </c>
    </row>
    <row r="22" spans="1:29" ht="15">
      <c r="A22" s="882"/>
      <c r="B22" s="926" t="s">
        <v>1444</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25"/>
      <c r="Q22" s="647" t="str">
        <f>B22</f>
        <v>楼层</v>
      </c>
      <c r="R22" s="1070" t="s">
        <v>1358</v>
      </c>
      <c r="S22" s="1071">
        <f>F22</f>
        <v>100</v>
      </c>
      <c r="T22" s="1070" t="s">
        <v>1358</v>
      </c>
      <c r="U22" s="1071">
        <f>H22</f>
        <v>100</v>
      </c>
      <c r="V22" s="1070" t="s">
        <v>1358</v>
      </c>
      <c r="W22" s="1071">
        <f>J22</f>
        <v>100</v>
      </c>
      <c r="X22" s="1064"/>
      <c r="Y22" s="3225"/>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25"/>
      <c r="Q23" s="647">
        <f>B23</f>
        <v>111</v>
      </c>
      <c r="R23" s="1070" t="s">
        <v>1358</v>
      </c>
      <c r="S23" s="1071">
        <f>F23</f>
        <v>100</v>
      </c>
      <c r="T23" s="1070" t="s">
        <v>1358</v>
      </c>
      <c r="U23" s="1071">
        <f>H23</f>
        <v>100</v>
      </c>
      <c r="V23" s="1070" t="s">
        <v>1358</v>
      </c>
      <c r="W23" s="1071">
        <f>J23</f>
        <v>100</v>
      </c>
      <c r="X23" s="1064"/>
      <c r="Y23" s="3225"/>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25"/>
      <c r="Q24" s="647">
        <f t="shared" ref="Q24:Q36" si="11">B24</f>
        <v>111</v>
      </c>
      <c r="R24" s="1070" t="s">
        <v>1358</v>
      </c>
      <c r="S24" s="1071">
        <f>F24</f>
        <v>100</v>
      </c>
      <c r="T24" s="1070" t="s">
        <v>1358</v>
      </c>
      <c r="U24" s="1071">
        <f>H24</f>
        <v>100</v>
      </c>
      <c r="V24" s="1070" t="s">
        <v>1358</v>
      </c>
      <c r="W24" s="1071">
        <f>J24</f>
        <v>100</v>
      </c>
      <c r="X24" s="1064"/>
      <c r="Y24" s="3225"/>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25"/>
      <c r="Q25" s="1069">
        <f t="shared" si="11"/>
        <v>111</v>
      </c>
      <c r="R25" s="1065" t="s">
        <v>1358</v>
      </c>
      <c r="S25" s="1066">
        <f>F25</f>
        <v>100</v>
      </c>
      <c r="T25" s="1065" t="s">
        <v>1358</v>
      </c>
      <c r="U25" s="1066">
        <f>H25</f>
        <v>100</v>
      </c>
      <c r="V25" s="1065" t="s">
        <v>1358</v>
      </c>
      <c r="W25" s="1066">
        <f>J25</f>
        <v>100</v>
      </c>
      <c r="X25" s="1067"/>
      <c r="Y25" s="3225"/>
      <c r="Z25" s="1080">
        <f>Q25</f>
        <v>111</v>
      </c>
      <c r="AA25" s="1081">
        <f t="shared" si="3"/>
        <v>1</v>
      </c>
      <c r="AB25" s="1081">
        <f t="shared" si="4"/>
        <v>1</v>
      </c>
      <c r="AC25" s="1081">
        <f t="shared" si="5"/>
        <v>1</v>
      </c>
    </row>
    <row r="26" spans="1:29" ht="15">
      <c r="A26" s="1327" t="s">
        <v>1380</v>
      </c>
      <c r="B26" s="1328" t="s">
        <v>1460</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67" t="s">
        <v>1383</v>
      </c>
      <c r="Q26" s="647" t="str">
        <f t="shared" si="11"/>
        <v>配套类型</v>
      </c>
      <c r="R26" s="1070" t="s">
        <v>1358</v>
      </c>
      <c r="S26" s="1071">
        <f t="shared" ref="S26:S36" si="12">F26</f>
        <v>100</v>
      </c>
      <c r="T26" s="1070" t="s">
        <v>1358</v>
      </c>
      <c r="U26" s="1071">
        <f t="shared" ref="U26:U36" si="13">H26</f>
        <v>100</v>
      </c>
      <c r="V26" s="1070" t="s">
        <v>1358</v>
      </c>
      <c r="W26" s="1071">
        <f t="shared" ref="W26:W36" si="14">J26</f>
        <v>100</v>
      </c>
      <c r="X26" s="1064"/>
      <c r="Y26" s="3226" t="s">
        <v>1383</v>
      </c>
      <c r="Z26" s="1056" t="str">
        <f t="shared" ref="Z26:Z36" si="15">Q26</f>
        <v>配套类型</v>
      </c>
      <c r="AA26" s="1081">
        <f t="shared" si="3"/>
        <v>1</v>
      </c>
      <c r="AB26" s="1081">
        <f t="shared" si="4"/>
        <v>1</v>
      </c>
      <c r="AC26" s="1081">
        <f t="shared" si="5"/>
        <v>1</v>
      </c>
    </row>
    <row r="27" spans="1:29" s="863" customFormat="1" ht="15">
      <c r="A27" s="1330"/>
      <c r="B27" s="939" t="s">
        <v>1461</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26"/>
      <c r="Q27" s="1294" t="str">
        <f t="shared" si="11"/>
        <v>项目停车位配比</v>
      </c>
      <c r="R27" s="1072" t="s">
        <v>1358</v>
      </c>
      <c r="S27" s="1073">
        <f t="shared" si="12"/>
        <v>100</v>
      </c>
      <c r="T27" s="1072" t="s">
        <v>1358</v>
      </c>
      <c r="U27" s="1073">
        <f t="shared" si="13"/>
        <v>100</v>
      </c>
      <c r="V27" s="1072" t="s">
        <v>1358</v>
      </c>
      <c r="W27" s="1073">
        <f t="shared" si="14"/>
        <v>100</v>
      </c>
      <c r="X27" s="1074"/>
      <c r="Y27" s="3226"/>
      <c r="Z27" s="1082" t="str">
        <f t="shared" si="15"/>
        <v>项目停车位配比</v>
      </c>
      <c r="AA27" s="1081">
        <f t="shared" si="3"/>
        <v>1</v>
      </c>
      <c r="AB27" s="1081">
        <f t="shared" si="4"/>
        <v>1</v>
      </c>
      <c r="AC27" s="1081">
        <f t="shared" si="5"/>
        <v>1</v>
      </c>
    </row>
    <row r="28" spans="1:29" ht="15">
      <c r="A28" s="1332"/>
      <c r="B28" s="939" t="s">
        <v>1388</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26"/>
      <c r="Q28" s="647" t="str">
        <f t="shared" si="11"/>
        <v>公共部分装修</v>
      </c>
      <c r="R28" s="1070" t="s">
        <v>1358</v>
      </c>
      <c r="S28" s="1071">
        <f t="shared" si="12"/>
        <v>100</v>
      </c>
      <c r="T28" s="1070" t="s">
        <v>1358</v>
      </c>
      <c r="U28" s="1071">
        <f t="shared" si="13"/>
        <v>100</v>
      </c>
      <c r="V28" s="1070" t="s">
        <v>1358</v>
      </c>
      <c r="W28" s="1071">
        <f t="shared" si="14"/>
        <v>100</v>
      </c>
      <c r="X28" s="1064"/>
      <c r="Y28" s="3226"/>
      <c r="Z28" s="1056" t="str">
        <f t="shared" si="15"/>
        <v>公共部分装修</v>
      </c>
      <c r="AA28" s="1081">
        <f t="shared" si="3"/>
        <v>1</v>
      </c>
      <c r="AB28" s="1081">
        <f t="shared" si="4"/>
        <v>1</v>
      </c>
      <c r="AC28" s="1081">
        <f t="shared" si="5"/>
        <v>1</v>
      </c>
    </row>
    <row r="29" spans="1:29" ht="15">
      <c r="A29" s="1332"/>
      <c r="B29" s="939" t="s">
        <v>1462</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26"/>
      <c r="Q29" s="647" t="str">
        <f t="shared" si="11"/>
        <v>成新率</v>
      </c>
      <c r="R29" s="1070" t="s">
        <v>1358</v>
      </c>
      <c r="S29" s="1071" t="e">
        <f t="shared" si="12"/>
        <v>#N/A</v>
      </c>
      <c r="T29" s="1070" t="s">
        <v>1358</v>
      </c>
      <c r="U29" s="1071" t="e">
        <f t="shared" si="13"/>
        <v>#N/A</v>
      </c>
      <c r="V29" s="1070" t="s">
        <v>1358</v>
      </c>
      <c r="W29" s="1071" t="e">
        <f t="shared" si="14"/>
        <v>#N/A</v>
      </c>
      <c r="X29" s="1064"/>
      <c r="Y29" s="3226"/>
      <c r="Z29" s="1056" t="str">
        <f t="shared" si="15"/>
        <v>成新率</v>
      </c>
      <c r="AA29" s="1081" t="e">
        <f t="shared" si="3"/>
        <v>#N/A</v>
      </c>
      <c r="AB29" s="1081" t="e">
        <f t="shared" si="4"/>
        <v>#N/A</v>
      </c>
      <c r="AC29" s="1081" t="e">
        <f t="shared" si="5"/>
        <v>#N/A</v>
      </c>
    </row>
    <row r="30" spans="1:29" ht="15">
      <c r="A30" s="1332"/>
      <c r="B30" s="939" t="s">
        <v>1463</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26"/>
      <c r="Q30" s="647" t="str">
        <f t="shared" si="11"/>
        <v>物业等级</v>
      </c>
      <c r="R30" s="1070" t="s">
        <v>1358</v>
      </c>
      <c r="S30" s="1071">
        <f t="shared" si="12"/>
        <v>100</v>
      </c>
      <c r="T30" s="1070" t="s">
        <v>1358</v>
      </c>
      <c r="U30" s="1071">
        <f t="shared" si="13"/>
        <v>100</v>
      </c>
      <c r="V30" s="1070" t="s">
        <v>1358</v>
      </c>
      <c r="W30" s="1071">
        <f t="shared" si="14"/>
        <v>100</v>
      </c>
      <c r="X30" s="1064"/>
      <c r="Y30" s="3226"/>
      <c r="Z30" s="1056" t="str">
        <f t="shared" si="15"/>
        <v>物业等级</v>
      </c>
      <c r="AA30" s="1081">
        <f t="shared" si="3"/>
        <v>1</v>
      </c>
      <c r="AB30" s="1081">
        <f t="shared" si="4"/>
        <v>1</v>
      </c>
      <c r="AC30" s="1081">
        <f t="shared" si="5"/>
        <v>1</v>
      </c>
    </row>
    <row r="31" spans="1:29" s="861" customFormat="1" ht="15">
      <c r="A31" s="1333"/>
      <c r="B31" s="939" t="s">
        <v>1464</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26"/>
      <c r="Q31" s="1069" t="str">
        <f t="shared" si="11"/>
        <v>停车位面积</v>
      </c>
      <c r="R31" s="1065" t="s">
        <v>1358</v>
      </c>
      <c r="S31" s="1066" t="e">
        <f t="shared" si="12"/>
        <v>#N/A</v>
      </c>
      <c r="T31" s="1065" t="s">
        <v>1358</v>
      </c>
      <c r="U31" s="1066" t="e">
        <f t="shared" si="13"/>
        <v>#N/A</v>
      </c>
      <c r="V31" s="1065" t="s">
        <v>1358</v>
      </c>
      <c r="W31" s="1066" t="e">
        <f t="shared" si="14"/>
        <v>#N/A</v>
      </c>
      <c r="X31" s="1067"/>
      <c r="Y31" s="3226"/>
      <c r="Z31" s="1080" t="str">
        <f t="shared" si="15"/>
        <v>停车位面积</v>
      </c>
      <c r="AA31" s="1079" t="e">
        <f t="shared" si="3"/>
        <v>#N/A</v>
      </c>
      <c r="AB31" s="1079" t="e">
        <f t="shared" si="4"/>
        <v>#N/A</v>
      </c>
      <c r="AC31" s="1079" t="e">
        <f t="shared" si="5"/>
        <v>#N/A</v>
      </c>
    </row>
    <row r="32" spans="1:29" ht="15">
      <c r="A32" s="1332"/>
      <c r="B32" s="939" t="s">
        <v>1465</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26" t="s">
        <v>1383</v>
      </c>
      <c r="Q32" s="647" t="str">
        <f t="shared" si="11"/>
        <v>车位类型</v>
      </c>
      <c r="R32" s="1070" t="s">
        <v>1358</v>
      </c>
      <c r="S32" s="1071">
        <f t="shared" si="12"/>
        <v>100</v>
      </c>
      <c r="T32" s="1070" t="s">
        <v>1358</v>
      </c>
      <c r="U32" s="1071">
        <f t="shared" si="13"/>
        <v>100</v>
      </c>
      <c r="V32" s="1070" t="s">
        <v>1358</v>
      </c>
      <c r="W32" s="1071">
        <f t="shared" si="14"/>
        <v>100</v>
      </c>
      <c r="X32" s="1064"/>
      <c r="Y32" s="3226" t="s">
        <v>1383</v>
      </c>
      <c r="Z32" s="1056" t="str">
        <f t="shared" si="15"/>
        <v>车位类型</v>
      </c>
      <c r="AA32" s="1081">
        <f t="shared" si="3"/>
        <v>1</v>
      </c>
      <c r="AB32" s="1081">
        <f t="shared" si="4"/>
        <v>1</v>
      </c>
      <c r="AC32" s="1081">
        <f t="shared" si="5"/>
        <v>1</v>
      </c>
    </row>
    <row r="33" spans="1:29" ht="15">
      <c r="A33" s="1332"/>
      <c r="B33" s="939" t="s">
        <v>1466</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26"/>
      <c r="Q33" s="647" t="str">
        <f t="shared" si="11"/>
        <v>是否直接入户</v>
      </c>
      <c r="R33" s="1070" t="s">
        <v>1358</v>
      </c>
      <c r="S33" s="1071">
        <f t="shared" si="12"/>
        <v>100</v>
      </c>
      <c r="T33" s="1070" t="s">
        <v>1358</v>
      </c>
      <c r="U33" s="1071">
        <f t="shared" si="13"/>
        <v>100</v>
      </c>
      <c r="V33" s="1070" t="s">
        <v>1358</v>
      </c>
      <c r="W33" s="1071">
        <f t="shared" si="14"/>
        <v>100</v>
      </c>
      <c r="X33" s="1064"/>
      <c r="Y33" s="3226"/>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26"/>
      <c r="Q34" s="647">
        <f t="shared" si="11"/>
        <v>111</v>
      </c>
      <c r="R34" s="1070" t="s">
        <v>1358</v>
      </c>
      <c r="S34" s="1071">
        <f t="shared" si="12"/>
        <v>100</v>
      </c>
      <c r="T34" s="1070" t="s">
        <v>1358</v>
      </c>
      <c r="U34" s="1071">
        <f t="shared" si="13"/>
        <v>100</v>
      </c>
      <c r="V34" s="1070" t="s">
        <v>1358</v>
      </c>
      <c r="W34" s="1071">
        <f t="shared" si="14"/>
        <v>100</v>
      </c>
      <c r="X34" s="1064"/>
      <c r="Y34" s="3226"/>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26"/>
      <c r="Q35" s="1294">
        <f t="shared" si="11"/>
        <v>111</v>
      </c>
      <c r="R35" s="1072" t="s">
        <v>1358</v>
      </c>
      <c r="S35" s="1073">
        <f t="shared" si="12"/>
        <v>100</v>
      </c>
      <c r="T35" s="1072" t="s">
        <v>1358</v>
      </c>
      <c r="U35" s="1073">
        <f t="shared" si="13"/>
        <v>100</v>
      </c>
      <c r="V35" s="1072" t="s">
        <v>1358</v>
      </c>
      <c r="W35" s="1073">
        <f t="shared" si="14"/>
        <v>100</v>
      </c>
      <c r="X35" s="1074"/>
      <c r="Y35" s="3226"/>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26"/>
      <c r="Q36" s="647">
        <f t="shared" si="11"/>
        <v>111</v>
      </c>
      <c r="R36" s="1070" t="s">
        <v>1358</v>
      </c>
      <c r="S36" s="1071">
        <f t="shared" si="12"/>
        <v>100</v>
      </c>
      <c r="T36" s="1070" t="s">
        <v>1358</v>
      </c>
      <c r="U36" s="1071">
        <f t="shared" si="13"/>
        <v>100</v>
      </c>
      <c r="V36" s="1070" t="s">
        <v>1358</v>
      </c>
      <c r="W36" s="1071">
        <f t="shared" si="14"/>
        <v>100</v>
      </c>
      <c r="X36" s="1064"/>
      <c r="Y36" s="3226"/>
      <c r="Z36" s="1056">
        <f t="shared" si="15"/>
        <v>111</v>
      </c>
      <c r="AA36" s="1081">
        <f t="shared" si="3"/>
        <v>1</v>
      </c>
      <c r="AB36" s="1081">
        <f t="shared" si="4"/>
        <v>1</v>
      </c>
      <c r="AC36" s="1081">
        <f t="shared" si="5"/>
        <v>1</v>
      </c>
    </row>
    <row r="37" spans="1:29" ht="15">
      <c r="A37" s="960" t="s">
        <v>1467</v>
      </c>
      <c r="B37" s="1335" t="s">
        <v>1468</v>
      </c>
      <c r="C37" s="1270" t="s">
        <v>124</v>
      </c>
      <c r="D37" s="1271"/>
      <c r="E37" s="1272"/>
      <c r="F37" s="1273"/>
      <c r="G37" s="1274"/>
      <c r="H37" s="1275"/>
      <c r="I37" s="1272"/>
      <c r="J37" s="1275"/>
      <c r="K37" s="1344"/>
      <c r="L37" s="1048"/>
      <c r="M37" s="977"/>
      <c r="N37" s="1024"/>
      <c r="O37" s="977"/>
      <c r="P37" s="3216" t="str">
        <f>A37</f>
        <v>成交单价</v>
      </c>
      <c r="Q37" s="3216"/>
      <c r="R37" s="3217">
        <f>E37</f>
        <v>0</v>
      </c>
      <c r="S37" s="3217"/>
      <c r="T37" s="3217">
        <f>G37</f>
        <v>0</v>
      </c>
      <c r="U37" s="3217"/>
      <c r="V37" s="3217">
        <f>I37</f>
        <v>0</v>
      </c>
      <c r="W37" s="3217"/>
      <c r="X37" s="1012"/>
      <c r="Y37" s="1083"/>
      <c r="Z37" s="1012"/>
      <c r="AA37" s="1012"/>
      <c r="AB37" s="1012"/>
      <c r="AC37" s="1012"/>
    </row>
    <row r="38" spans="1:29" ht="15">
      <c r="A38" s="968" t="s">
        <v>1398</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1012"/>
      <c r="Y38" s="1012"/>
      <c r="Z38" s="1012"/>
      <c r="AA38" s="1012"/>
      <c r="AB38" s="1012"/>
      <c r="AC38" s="1012"/>
    </row>
    <row r="39" spans="1:29" ht="15">
      <c r="A39" s="974" t="s">
        <v>1469</v>
      </c>
      <c r="B39" s="975"/>
      <c r="C39" s="1280" t="e">
        <f>R39</f>
        <v>#DIV/0!</v>
      </c>
      <c r="D39" s="1280"/>
      <c r="E39" s="1280"/>
      <c r="F39" s="1280"/>
      <c r="G39" s="1280"/>
      <c r="H39" s="1280"/>
      <c r="I39" s="1280"/>
      <c r="J39" s="1280"/>
      <c r="K39" s="1346"/>
      <c r="L39" s="1048"/>
      <c r="M39" s="977"/>
      <c r="N39" s="977"/>
      <c r="O39" s="977"/>
      <c r="P39" s="3228" t="str">
        <f>A39</f>
        <v>估价对象XX用房的比较价值（楼面单价，元/平方米）</v>
      </c>
      <c r="Q39" s="3229"/>
      <c r="R39" s="3230" t="e">
        <f>IF(F1="售价",ROUND(AVERAGE(R38:V38),0),ROUND(AVERAGE(R38:V38),1))</f>
        <v>#DIV/0!</v>
      </c>
      <c r="S39" s="3230"/>
      <c r="T39" s="3230"/>
      <c r="U39" s="3230"/>
      <c r="V39" s="3230"/>
      <c r="W39" s="3230"/>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1400</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1401</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1402</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1403</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1356</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1404</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1359</v>
      </c>
      <c r="B51" s="1095"/>
      <c r="C51" s="1096" t="s">
        <v>1360</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1405</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1366</v>
      </c>
      <c r="C55" s="1106" t="s">
        <v>1406</v>
      </c>
      <c r="D55" s="1106" t="s">
        <v>1407</v>
      </c>
      <c r="E55" s="1106" t="s">
        <v>1408</v>
      </c>
      <c r="F55" s="1106" t="s">
        <v>1409</v>
      </c>
      <c r="G55" s="1106" t="s">
        <v>1410</v>
      </c>
      <c r="H55" s="1106" t="s">
        <v>1411</v>
      </c>
      <c r="I55" s="1106" t="s">
        <v>1412</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1369</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661</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663</v>
      </c>
      <c r="C67" s="1129" t="s">
        <v>1413</v>
      </c>
      <c r="D67" s="1129" t="s">
        <v>1414</v>
      </c>
      <c r="E67" s="1129" t="s">
        <v>1415</v>
      </c>
      <c r="F67" s="1129" t="s">
        <v>1416</v>
      </c>
      <c r="G67" s="1129" t="s">
        <v>1417</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667</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1444</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1380</v>
      </c>
      <c r="B79" s="1101" t="s">
        <v>1470</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1461</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1388</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1462</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1463</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1464</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1465</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1466</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IF(C2="——",ROUND(C37*D3/10000,0),ROUND(C37*D3/10000,0)-D2)</f>
        <v>#DIV/0!</v>
      </c>
      <c r="C2" s="1239"/>
      <c r="D2" s="1197" t="e">
        <f ca="1">SUMIF(INDIRECT("'"&amp;F2&amp;"'"&amp;"!A:A"),"承租人权益价值",INDIRECT("'"&amp;F2&amp;"'"&amp;"!c:c"))</f>
        <v>#REF!</v>
      </c>
      <c r="E2" s="1240" t="s">
        <v>915</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IF(C2="——",C37,ROUND(B2*10000/D3,0))</f>
        <v>#DIV/0!</v>
      </c>
      <c r="C3" s="1242" t="s">
        <v>1344</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13" t="s">
        <v>1357</v>
      </c>
      <c r="Q7" s="3214"/>
      <c r="R7" s="1065" t="s">
        <v>1358</v>
      </c>
      <c r="S7" s="1066">
        <f t="shared" ref="S7:S14" si="0">F7</f>
        <v>0</v>
      </c>
      <c r="T7" s="1065" t="s">
        <v>1358</v>
      </c>
      <c r="U7" s="1066">
        <f t="shared" ref="U7:U14" si="1">H7</f>
        <v>0</v>
      </c>
      <c r="V7" s="1065" t="s">
        <v>1358</v>
      </c>
      <c r="W7" s="1066">
        <f t="shared" ref="W7:W14"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34" si="3">D8/F8</f>
        <v>#DIV/0!</v>
      </c>
      <c r="AB8" s="1079" t="e">
        <f t="shared" ref="AB8:AB34" si="4">D8/H8</f>
        <v>#DIV/0!</v>
      </c>
      <c r="AC8" s="1079" t="e">
        <f t="shared" ref="AC8:AC34" si="5">D8/J8</f>
        <v>#DIV/0!</v>
      </c>
    </row>
    <row r="9" spans="1:29" s="861" customFormat="1">
      <c r="A9" s="894" t="s">
        <v>1363</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16" t="s">
        <v>1364</v>
      </c>
      <c r="Q9" s="1069" t="str">
        <f t="shared" ref="Q9:Q14" si="6">B9</f>
        <v>用途</v>
      </c>
      <c r="R9" s="1065" t="s">
        <v>1358</v>
      </c>
      <c r="S9" s="1066">
        <f t="shared" si="0"/>
        <v>100</v>
      </c>
      <c r="T9" s="1065" t="s">
        <v>1358</v>
      </c>
      <c r="U9" s="1066">
        <f t="shared" si="1"/>
        <v>100</v>
      </c>
      <c r="V9" s="1065" t="s">
        <v>1358</v>
      </c>
      <c r="W9" s="1066">
        <f t="shared" si="2"/>
        <v>100</v>
      </c>
      <c r="X9" s="1067"/>
      <c r="Y9" s="3045" t="s">
        <v>1365</v>
      </c>
      <c r="Z9" s="1080" t="str">
        <f t="shared" ref="Z9:Z14" si="7">Q9</f>
        <v>用途</v>
      </c>
      <c r="AA9" s="1079">
        <f t="shared" si="3"/>
        <v>1</v>
      </c>
      <c r="AB9" s="1079">
        <f t="shared" si="4"/>
        <v>1</v>
      </c>
      <c r="AC9" s="1079">
        <f t="shared" si="5"/>
        <v>1</v>
      </c>
    </row>
    <row r="10" spans="1:29" s="862" customFormat="1" ht="27">
      <c r="A10" s="898"/>
      <c r="B10" s="899" t="s">
        <v>1366</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16"/>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16"/>
      <c r="Q11" s="1069">
        <f t="shared" si="6"/>
        <v>111</v>
      </c>
      <c r="R11" s="1065" t="s">
        <v>1358</v>
      </c>
      <c r="S11" s="1066">
        <f t="shared" si="0"/>
        <v>100</v>
      </c>
      <c r="T11" s="1065" t="s">
        <v>1358</v>
      </c>
      <c r="U11" s="1066">
        <f t="shared" si="1"/>
        <v>100</v>
      </c>
      <c r="V11" s="1065" t="s">
        <v>1358</v>
      </c>
      <c r="W11" s="1066">
        <f t="shared" si="2"/>
        <v>100</v>
      </c>
      <c r="X11" s="1067"/>
      <c r="Y11" s="3045"/>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71">
      <c r="A14" s="916" t="s">
        <v>1369</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24" t="s">
        <v>1371</v>
      </c>
      <c r="Q14" s="647" t="str">
        <f t="shared" si="6"/>
        <v>交通便捷度</v>
      </c>
      <c r="R14" s="1070" t="s">
        <v>1358</v>
      </c>
      <c r="S14" s="1071">
        <f t="shared" si="0"/>
        <v>100</v>
      </c>
      <c r="T14" s="1070" t="s">
        <v>1358</v>
      </c>
      <c r="U14" s="1071">
        <f t="shared" si="1"/>
        <v>100</v>
      </c>
      <c r="V14" s="1070" t="s">
        <v>1358</v>
      </c>
      <c r="W14" s="1071">
        <f t="shared" si="2"/>
        <v>100</v>
      </c>
      <c r="X14" s="1064"/>
      <c r="Y14" s="3224" t="s">
        <v>1371</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25"/>
      <c r="Q15" s="647"/>
      <c r="R15" s="1070"/>
      <c r="S15" s="1071"/>
      <c r="T15" s="1070"/>
      <c r="U15" s="1071"/>
      <c r="V15" s="1070"/>
      <c r="W15" s="1071"/>
      <c r="X15" s="1064"/>
      <c r="Y15" s="3225"/>
      <c r="Z15" s="1056"/>
      <c r="AA15" s="1081">
        <v>1</v>
      </c>
      <c r="AB15" s="1081">
        <v>1</v>
      </c>
      <c r="AC15" s="1081">
        <v>1</v>
      </c>
    </row>
    <row r="16" spans="1:29" ht="285">
      <c r="A16" s="902"/>
      <c r="B16" s="1203"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25"/>
      <c r="Q16" s="647" t="str">
        <f>B16</f>
        <v>公共配套设施</v>
      </c>
      <c r="R16" s="1070" t="s">
        <v>1358</v>
      </c>
      <c r="S16" s="1071">
        <f>F16</f>
        <v>100</v>
      </c>
      <c r="T16" s="1070" t="s">
        <v>1358</v>
      </c>
      <c r="U16" s="1071">
        <f>H16</f>
        <v>100</v>
      </c>
      <c r="V16" s="1070" t="s">
        <v>1358</v>
      </c>
      <c r="W16" s="1071">
        <f>J16</f>
        <v>100</v>
      </c>
      <c r="X16" s="1064"/>
      <c r="Y16" s="3225"/>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25"/>
      <c r="Q17" s="647"/>
      <c r="R17" s="1070"/>
      <c r="S17" s="1071"/>
      <c r="T17" s="1070"/>
      <c r="U17" s="1071"/>
      <c r="V17" s="1070"/>
      <c r="W17" s="1071"/>
      <c r="X17" s="1064"/>
      <c r="Y17" s="3225"/>
      <c r="Z17" s="1056"/>
      <c r="AA17" s="1081">
        <v>1</v>
      </c>
      <c r="AB17" s="1081">
        <v>1</v>
      </c>
      <c r="AC17" s="1081">
        <v>1</v>
      </c>
    </row>
    <row r="18" spans="1:29" ht="15">
      <c r="A18" s="902"/>
      <c r="B18" s="1207" t="s">
        <v>663</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25"/>
      <c r="Q18" s="647" t="str">
        <f>B18</f>
        <v>基础设施水平</v>
      </c>
      <c r="R18" s="1070" t="s">
        <v>1358</v>
      </c>
      <c r="S18" s="1071">
        <f>F18</f>
        <v>100</v>
      </c>
      <c r="T18" s="1070" t="s">
        <v>1358</v>
      </c>
      <c r="U18" s="1071">
        <f>H18</f>
        <v>100</v>
      </c>
      <c r="V18" s="1070" t="s">
        <v>1358</v>
      </c>
      <c r="W18" s="1071">
        <f>J18</f>
        <v>100</v>
      </c>
      <c r="X18" s="1064"/>
      <c r="Y18" s="3225"/>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25"/>
      <c r="Q19" s="647"/>
      <c r="R19" s="1070"/>
      <c r="S19" s="1071"/>
      <c r="T19" s="1070"/>
      <c r="U19" s="1071"/>
      <c r="V19" s="1070"/>
      <c r="W19" s="1071"/>
      <c r="X19" s="1064"/>
      <c r="Y19" s="3225"/>
      <c r="Z19" s="1056"/>
      <c r="AA19" s="1081">
        <v>1</v>
      </c>
      <c r="AB19" s="1081">
        <v>1</v>
      </c>
      <c r="AC19" s="1081">
        <v>1</v>
      </c>
    </row>
    <row r="20" spans="1:29" ht="256.5">
      <c r="A20" s="902"/>
      <c r="B20" s="1203"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25"/>
      <c r="Q20" s="647" t="str">
        <f>B20</f>
        <v>自然及人文环境</v>
      </c>
      <c r="R20" s="1070" t="s">
        <v>1358</v>
      </c>
      <c r="S20" s="1071">
        <f>F20</f>
        <v>100</v>
      </c>
      <c r="T20" s="1070" t="s">
        <v>1358</v>
      </c>
      <c r="U20" s="1071">
        <f>H20</f>
        <v>100</v>
      </c>
      <c r="V20" s="1070" t="s">
        <v>1358</v>
      </c>
      <c r="W20" s="1071">
        <f>J20</f>
        <v>100</v>
      </c>
      <c r="X20" s="1064"/>
      <c r="Y20" s="3225"/>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25"/>
      <c r="Q21" s="647"/>
      <c r="R21" s="1070"/>
      <c r="S21" s="1071"/>
      <c r="T21" s="1070"/>
      <c r="U21" s="1071"/>
      <c r="V21" s="1070"/>
      <c r="W21" s="1071"/>
      <c r="X21" s="1064"/>
      <c r="Y21" s="3225"/>
      <c r="Z21" s="1056"/>
      <c r="AA21" s="1081">
        <v>1</v>
      </c>
      <c r="AB21" s="1081">
        <v>1</v>
      </c>
      <c r="AC21" s="1081">
        <v>1</v>
      </c>
    </row>
    <row r="22" spans="1:29" ht="15">
      <c r="A22" s="902"/>
      <c r="B22" s="1203" t="s">
        <v>1444</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25"/>
      <c r="Q22" s="647" t="str">
        <f>B22</f>
        <v>楼层</v>
      </c>
      <c r="R22" s="1070" t="s">
        <v>1358</v>
      </c>
      <c r="S22" s="1071">
        <f>F22</f>
        <v>100</v>
      </c>
      <c r="T22" s="1070" t="s">
        <v>1358</v>
      </c>
      <c r="U22" s="1071">
        <f>H22</f>
        <v>100</v>
      </c>
      <c r="V22" s="1070" t="s">
        <v>1358</v>
      </c>
      <c r="W22" s="1071">
        <f>J22</f>
        <v>100</v>
      </c>
      <c r="X22" s="1064"/>
      <c r="Y22" s="3225"/>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25"/>
      <c r="Q23" s="647">
        <f>B23</f>
        <v>111</v>
      </c>
      <c r="R23" s="1070" t="s">
        <v>1358</v>
      </c>
      <c r="S23" s="1071">
        <f>F23</f>
        <v>100</v>
      </c>
      <c r="T23" s="1070" t="s">
        <v>1358</v>
      </c>
      <c r="U23" s="1071">
        <f>H23</f>
        <v>100</v>
      </c>
      <c r="V23" s="1070" t="s">
        <v>1358</v>
      </c>
      <c r="W23" s="1071">
        <f>J23</f>
        <v>100</v>
      </c>
      <c r="X23" s="1064"/>
      <c r="Y23" s="3225"/>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25"/>
      <c r="Q24" s="647">
        <f t="shared" ref="Q24:Q34" si="11">B24</f>
        <v>111</v>
      </c>
      <c r="R24" s="1070" t="s">
        <v>1358</v>
      </c>
      <c r="S24" s="1071">
        <f>F24</f>
        <v>100</v>
      </c>
      <c r="T24" s="1070" t="s">
        <v>1358</v>
      </c>
      <c r="U24" s="1071">
        <f>H24</f>
        <v>100</v>
      </c>
      <c r="V24" s="1070" t="s">
        <v>1358</v>
      </c>
      <c r="W24" s="1071">
        <f>J24</f>
        <v>100</v>
      </c>
      <c r="X24" s="1064"/>
      <c r="Y24" s="3225"/>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25"/>
      <c r="Q25" s="1069">
        <f t="shared" si="11"/>
        <v>111</v>
      </c>
      <c r="R25" s="1065" t="s">
        <v>1358</v>
      </c>
      <c r="S25" s="1066">
        <f>F25</f>
        <v>100</v>
      </c>
      <c r="T25" s="1065" t="s">
        <v>1358</v>
      </c>
      <c r="U25" s="1066">
        <f>H25</f>
        <v>100</v>
      </c>
      <c r="V25" s="1065" t="s">
        <v>1358</v>
      </c>
      <c r="W25" s="1066">
        <f>J25</f>
        <v>100</v>
      </c>
      <c r="X25" s="1067"/>
      <c r="Y25" s="3225"/>
      <c r="Z25" s="1080">
        <f>Q25</f>
        <v>111</v>
      </c>
      <c r="AA25" s="1081">
        <f t="shared" si="3"/>
        <v>1</v>
      </c>
      <c r="AB25" s="1081">
        <f t="shared" si="4"/>
        <v>1</v>
      </c>
      <c r="AC25" s="1081">
        <f t="shared" si="5"/>
        <v>1</v>
      </c>
    </row>
    <row r="26" spans="1:29" ht="15">
      <c r="A26" s="1259" t="s">
        <v>1380</v>
      </c>
      <c r="B26" s="895" t="s">
        <v>1388</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67" t="s">
        <v>1383</v>
      </c>
      <c r="Q26" s="647" t="str">
        <f t="shared" si="11"/>
        <v>公共部分装修</v>
      </c>
      <c r="R26" s="1070" t="s">
        <v>1358</v>
      </c>
      <c r="S26" s="1071">
        <f t="shared" ref="S26:S34" si="12">F26</f>
        <v>100</v>
      </c>
      <c r="T26" s="1070" t="s">
        <v>1358</v>
      </c>
      <c r="U26" s="1071">
        <f t="shared" ref="U26:U34" si="13">H26</f>
        <v>100</v>
      </c>
      <c r="V26" s="1070" t="s">
        <v>1358</v>
      </c>
      <c r="W26" s="1071">
        <f t="shared" ref="W26:W34" si="14">J26</f>
        <v>100</v>
      </c>
      <c r="X26" s="1064"/>
      <c r="Y26" s="3226" t="s">
        <v>1383</v>
      </c>
      <c r="Z26" s="1056" t="str">
        <f t="shared" ref="Z26:Z34" si="15">Q26</f>
        <v>公共部分装修</v>
      </c>
      <c r="AA26" s="1081">
        <f t="shared" si="3"/>
        <v>1</v>
      </c>
      <c r="AB26" s="1081">
        <f t="shared" si="4"/>
        <v>1</v>
      </c>
      <c r="AC26" s="1081">
        <f t="shared" si="5"/>
        <v>1</v>
      </c>
    </row>
    <row r="27" spans="1:29" s="863" customFormat="1" ht="15">
      <c r="A27" s="958"/>
      <c r="B27" s="899" t="s">
        <v>1462</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26"/>
      <c r="Q27" s="1294" t="str">
        <f t="shared" si="11"/>
        <v>成新率</v>
      </c>
      <c r="R27" s="1072" t="s">
        <v>1358</v>
      </c>
      <c r="S27" s="1073" t="e">
        <f t="shared" si="12"/>
        <v>#N/A</v>
      </c>
      <c r="T27" s="1072" t="s">
        <v>1358</v>
      </c>
      <c r="U27" s="1073" t="e">
        <f t="shared" si="13"/>
        <v>#N/A</v>
      </c>
      <c r="V27" s="1072" t="s">
        <v>1358</v>
      </c>
      <c r="W27" s="1073" t="e">
        <f t="shared" si="14"/>
        <v>#N/A</v>
      </c>
      <c r="X27" s="1074"/>
      <c r="Y27" s="3226"/>
      <c r="Z27" s="1082" t="str">
        <f t="shared" si="15"/>
        <v>成新率</v>
      </c>
      <c r="AA27" s="1081" t="e">
        <f t="shared" si="3"/>
        <v>#N/A</v>
      </c>
      <c r="AB27" s="1081" t="e">
        <f t="shared" si="4"/>
        <v>#N/A</v>
      </c>
      <c r="AC27" s="1081" t="e">
        <f t="shared" si="5"/>
        <v>#N/A</v>
      </c>
    </row>
    <row r="28" spans="1:29" ht="15">
      <c r="A28" s="953"/>
      <c r="B28" s="899" t="s">
        <v>1463</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26"/>
      <c r="Q28" s="647" t="str">
        <f t="shared" si="11"/>
        <v>物业等级</v>
      </c>
      <c r="R28" s="1070" t="s">
        <v>1358</v>
      </c>
      <c r="S28" s="1071">
        <f t="shared" si="12"/>
        <v>100</v>
      </c>
      <c r="T28" s="1070" t="s">
        <v>1358</v>
      </c>
      <c r="U28" s="1071">
        <f t="shared" si="13"/>
        <v>100</v>
      </c>
      <c r="V28" s="1070" t="s">
        <v>1358</v>
      </c>
      <c r="W28" s="1071">
        <f t="shared" si="14"/>
        <v>100</v>
      </c>
      <c r="X28" s="1064"/>
      <c r="Y28" s="3226"/>
      <c r="Z28" s="1056" t="str">
        <f t="shared" si="15"/>
        <v>物业等级</v>
      </c>
      <c r="AA28" s="1081">
        <f t="shared" si="3"/>
        <v>1</v>
      </c>
      <c r="AB28" s="1081">
        <f t="shared" si="4"/>
        <v>1</v>
      </c>
      <c r="AC28" s="1081">
        <f t="shared" si="5"/>
        <v>1</v>
      </c>
    </row>
    <row r="29" spans="1:29" ht="15">
      <c r="A29" s="953"/>
      <c r="B29" s="899" t="s">
        <v>1471</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26"/>
      <c r="Q29" s="647" t="str">
        <f t="shared" si="11"/>
        <v>有无电梯</v>
      </c>
      <c r="R29" s="1070" t="s">
        <v>1358</v>
      </c>
      <c r="S29" s="1071">
        <f t="shared" si="12"/>
        <v>100</v>
      </c>
      <c r="T29" s="1070" t="s">
        <v>1358</v>
      </c>
      <c r="U29" s="1071">
        <f t="shared" si="13"/>
        <v>100</v>
      </c>
      <c r="V29" s="1070" t="s">
        <v>1358</v>
      </c>
      <c r="W29" s="1071">
        <f t="shared" si="14"/>
        <v>100</v>
      </c>
      <c r="X29" s="1064"/>
      <c r="Y29" s="3226"/>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26"/>
      <c r="Q30" s="647" t="str">
        <f t="shared" si="11"/>
        <v>建筑面积</v>
      </c>
      <c r="R30" s="1070" t="s">
        <v>1358</v>
      </c>
      <c r="S30" s="1071" t="e">
        <f t="shared" si="12"/>
        <v>#N/A</v>
      </c>
      <c r="T30" s="1070" t="s">
        <v>1358</v>
      </c>
      <c r="U30" s="1071" t="e">
        <f t="shared" si="13"/>
        <v>#N/A</v>
      </c>
      <c r="V30" s="1070" t="s">
        <v>1358</v>
      </c>
      <c r="W30" s="1071" t="e">
        <f t="shared" si="14"/>
        <v>#N/A</v>
      </c>
      <c r="X30" s="1064"/>
      <c r="Y30" s="3226"/>
      <c r="Z30" s="1056" t="str">
        <f t="shared" si="15"/>
        <v>建筑面积</v>
      </c>
      <c r="AA30" s="1081" t="e">
        <f t="shared" si="3"/>
        <v>#N/A</v>
      </c>
      <c r="AB30" s="1081" t="e">
        <f t="shared" si="4"/>
        <v>#N/A</v>
      </c>
      <c r="AC30" s="1081" t="e">
        <f t="shared" si="5"/>
        <v>#N/A</v>
      </c>
    </row>
    <row r="31" spans="1:29" s="861" customFormat="1" ht="15">
      <c r="A31" s="955"/>
      <c r="B31" s="899" t="s">
        <v>1472</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26"/>
      <c r="Q31" s="1069" t="str">
        <f t="shared" si="11"/>
        <v>是否封闭</v>
      </c>
      <c r="R31" s="1065" t="s">
        <v>1358</v>
      </c>
      <c r="S31" s="1066">
        <f t="shared" si="12"/>
        <v>100</v>
      </c>
      <c r="T31" s="1065" t="s">
        <v>1358</v>
      </c>
      <c r="U31" s="1066">
        <f t="shared" si="13"/>
        <v>100</v>
      </c>
      <c r="V31" s="1065" t="s">
        <v>1358</v>
      </c>
      <c r="W31" s="1066">
        <f t="shared" si="14"/>
        <v>100</v>
      </c>
      <c r="X31" s="1067"/>
      <c r="Y31" s="3226"/>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26" t="s">
        <v>1383</v>
      </c>
      <c r="Q32" s="647">
        <f t="shared" si="11"/>
        <v>111</v>
      </c>
      <c r="R32" s="1070" t="s">
        <v>1358</v>
      </c>
      <c r="S32" s="1071">
        <f t="shared" si="12"/>
        <v>100</v>
      </c>
      <c r="T32" s="1070" t="s">
        <v>1358</v>
      </c>
      <c r="U32" s="1071">
        <f t="shared" si="13"/>
        <v>100</v>
      </c>
      <c r="V32" s="1070" t="s">
        <v>1358</v>
      </c>
      <c r="W32" s="1071">
        <f t="shared" si="14"/>
        <v>100</v>
      </c>
      <c r="X32" s="1064"/>
      <c r="Y32" s="3226" t="s">
        <v>1383</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26"/>
      <c r="Q33" s="647">
        <f t="shared" si="11"/>
        <v>111</v>
      </c>
      <c r="R33" s="1070" t="s">
        <v>1358</v>
      </c>
      <c r="S33" s="1071">
        <f t="shared" si="12"/>
        <v>100</v>
      </c>
      <c r="T33" s="1070" t="s">
        <v>1358</v>
      </c>
      <c r="U33" s="1071">
        <f t="shared" si="13"/>
        <v>100</v>
      </c>
      <c r="V33" s="1070" t="s">
        <v>1358</v>
      </c>
      <c r="W33" s="1071">
        <f t="shared" si="14"/>
        <v>100</v>
      </c>
      <c r="X33" s="1064"/>
      <c r="Y33" s="3226"/>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26"/>
      <c r="Q34" s="647">
        <f t="shared" si="11"/>
        <v>111</v>
      </c>
      <c r="R34" s="1070" t="s">
        <v>1358</v>
      </c>
      <c r="S34" s="1071">
        <f t="shared" si="12"/>
        <v>100</v>
      </c>
      <c r="T34" s="1070" t="s">
        <v>1358</v>
      </c>
      <c r="U34" s="1071">
        <f t="shared" si="13"/>
        <v>100</v>
      </c>
      <c r="V34" s="1070" t="s">
        <v>1358</v>
      </c>
      <c r="W34" s="1071">
        <f t="shared" si="14"/>
        <v>100</v>
      </c>
      <c r="X34" s="1064"/>
      <c r="Y34" s="3226"/>
      <c r="Z34" s="1056">
        <f t="shared" si="15"/>
        <v>111</v>
      </c>
      <c r="AA34" s="1081">
        <f t="shared" si="3"/>
        <v>1</v>
      </c>
      <c r="AB34" s="1081">
        <f t="shared" si="4"/>
        <v>1</v>
      </c>
      <c r="AC34" s="1081">
        <f t="shared" si="5"/>
        <v>1</v>
      </c>
    </row>
    <row r="35" spans="1:29" ht="15">
      <c r="A35" s="960" t="s">
        <v>1397</v>
      </c>
      <c r="B35" s="1269"/>
      <c r="C35" s="1270" t="s">
        <v>124</v>
      </c>
      <c r="D35" s="1271"/>
      <c r="E35" s="1272"/>
      <c r="F35" s="1273"/>
      <c r="G35" s="1274"/>
      <c r="H35" s="1275"/>
      <c r="I35" s="1272"/>
      <c r="J35" s="1275"/>
      <c r="K35" s="1047"/>
      <c r="L35" s="1048"/>
      <c r="M35" s="977"/>
      <c r="N35" s="1024"/>
      <c r="O35" s="977"/>
      <c r="P35" s="3216" t="str">
        <f>A35</f>
        <v>成交单价（元/平方米）</v>
      </c>
      <c r="Q35" s="3216"/>
      <c r="R35" s="3217">
        <f>E35</f>
        <v>0</v>
      </c>
      <c r="S35" s="3217"/>
      <c r="T35" s="3217">
        <f>G35</f>
        <v>0</v>
      </c>
      <c r="U35" s="3217"/>
      <c r="V35" s="3217">
        <f>I35</f>
        <v>0</v>
      </c>
      <c r="W35" s="3217"/>
      <c r="X35" s="1012"/>
      <c r="Y35" s="1083"/>
      <c r="Z35" s="1012"/>
      <c r="AA35" s="1012"/>
      <c r="AB35" s="1012"/>
      <c r="AC35" s="1012"/>
    </row>
    <row r="36" spans="1:29" ht="15">
      <c r="A36" s="968" t="s">
        <v>1398</v>
      </c>
      <c r="B36" s="1276"/>
      <c r="C36" s="1277" t="e">
        <f>R37</f>
        <v>#DIV/0!</v>
      </c>
      <c r="D36" s="1278"/>
      <c r="E36" s="1279" t="e">
        <f>R36</f>
        <v>#DIV/0!</v>
      </c>
      <c r="F36" s="1279"/>
      <c r="G36" s="1277" t="e">
        <f>T36</f>
        <v>#DIV/0!</v>
      </c>
      <c r="H36" s="1278"/>
      <c r="I36" s="1279" t="e">
        <f>V36</f>
        <v>#DIV/0!</v>
      </c>
      <c r="J36" s="1278"/>
      <c r="K36" s="1049"/>
      <c r="L36" s="1048"/>
      <c r="M36" s="977"/>
      <c r="N36" s="1024"/>
      <c r="O36" s="977"/>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1012"/>
      <c r="Y36" s="1012"/>
      <c r="Z36" s="1012"/>
      <c r="AA36" s="1012"/>
      <c r="AB36" s="1012"/>
      <c r="AC36" s="1012"/>
    </row>
    <row r="37" spans="1:29" ht="15">
      <c r="A37" s="974" t="s">
        <v>1399</v>
      </c>
      <c r="B37" s="975"/>
      <c r="C37" s="1280" t="e">
        <f>R37</f>
        <v>#DIV/0!</v>
      </c>
      <c r="D37" s="1280"/>
      <c r="E37" s="1280"/>
      <c r="F37" s="1280"/>
      <c r="G37" s="1280"/>
      <c r="H37" s="1280"/>
      <c r="I37" s="1280"/>
      <c r="J37" s="1280"/>
      <c r="K37" s="1050"/>
      <c r="L37" s="1048"/>
      <c r="M37" s="977"/>
      <c r="N37" s="977"/>
      <c r="O37" s="977"/>
      <c r="P37" s="3228" t="str">
        <f>A37</f>
        <v>估价对象XX用房的比较价值（楼面单价，元/平方米）</v>
      </c>
      <c r="Q37" s="3229"/>
      <c r="R37" s="3230" t="e">
        <f>IF(F1="售价",ROUND(AVERAGE(R36:V36),0),ROUND(AVERAGE(R36:V36),1))</f>
        <v>#DIV/0!</v>
      </c>
      <c r="S37" s="3230"/>
      <c r="T37" s="3230"/>
      <c r="U37" s="3230"/>
      <c r="V37" s="3230"/>
      <c r="W37" s="3230"/>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1400</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1401</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1402</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1403</v>
      </c>
      <c r="B45" s="1012"/>
      <c r="C45" s="1013"/>
      <c r="D45" s="1013"/>
      <c r="E45" s="1013"/>
      <c r="F45" s="1014"/>
      <c r="G45" s="1014"/>
      <c r="H45" s="1013"/>
      <c r="I45" s="1013"/>
      <c r="J45" s="1013"/>
      <c r="K45" s="1060"/>
      <c r="L45" s="1061"/>
      <c r="M45" s="1013"/>
      <c r="N45" s="1013"/>
      <c r="O45" s="1013"/>
      <c r="P45" s="1063"/>
      <c r="Q45" s="1075"/>
    </row>
    <row r="46" spans="1:29" s="866" customFormat="1" ht="15">
      <c r="A46" s="1281" t="s">
        <v>1356</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1404</v>
      </c>
      <c r="B48" s="1091"/>
      <c r="C48" s="1092"/>
      <c r="D48" s="1093"/>
      <c r="E48" s="1093"/>
      <c r="F48" s="1093"/>
      <c r="G48" s="1093"/>
      <c r="H48" s="1093"/>
      <c r="I48" s="1093"/>
      <c r="J48" s="1093"/>
      <c r="K48" s="1093"/>
      <c r="L48" s="1093"/>
      <c r="M48" s="1141"/>
      <c r="N48" s="1093"/>
      <c r="O48" s="1142"/>
      <c r="P48" s="1075"/>
      <c r="Q48" s="1075"/>
    </row>
    <row r="49" spans="1:17" s="861" customFormat="1" ht="15">
      <c r="A49" s="1094" t="s">
        <v>1359</v>
      </c>
      <c r="B49" s="1095"/>
      <c r="C49" s="1096" t="s">
        <v>1360</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1405</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1366</v>
      </c>
      <c r="C53" s="1106" t="s">
        <v>1406</v>
      </c>
      <c r="D53" s="1106" t="s">
        <v>1407</v>
      </c>
      <c r="E53" s="1106" t="s">
        <v>1408</v>
      </c>
      <c r="F53" s="1106" t="s">
        <v>1409</v>
      </c>
      <c r="G53" s="1106" t="s">
        <v>1410</v>
      </c>
      <c r="H53" s="1106" t="s">
        <v>1411</v>
      </c>
      <c r="I53" s="1106" t="s">
        <v>1412</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1369</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1473</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663</v>
      </c>
      <c r="C65" s="1129" t="s">
        <v>1413</v>
      </c>
      <c r="D65" s="1129" t="s">
        <v>1414</v>
      </c>
      <c r="E65" s="1129" t="s">
        <v>1415</v>
      </c>
      <c r="F65" s="1129" t="s">
        <v>1416</v>
      </c>
      <c r="G65" s="1129" t="s">
        <v>1417</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667</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1444</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1380</v>
      </c>
      <c r="B77" s="1101" t="s">
        <v>1388</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1462</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1463</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1471</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1472</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1474</v>
      </c>
      <c r="B1" s="871"/>
      <c r="C1" s="872" t="s">
        <v>1475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914</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30"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30"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30" s="861" customFormat="1" ht="15">
      <c r="A7" s="886" t="s">
        <v>1356</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30" s="861" customFormat="1" ht="15">
      <c r="A8" s="886" t="s">
        <v>1359</v>
      </c>
      <c r="B8" s="887"/>
      <c r="C8" s="893" t="s">
        <v>1360</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5" si="3">D8/F8</f>
        <v>#DIV/0!</v>
      </c>
      <c r="AB8" s="1079" t="e">
        <f t="shared" ref="AB8:AB45" si="4">D8/H8</f>
        <v>#DIV/0!</v>
      </c>
      <c r="AC8" s="1079" t="e">
        <f t="shared" ref="AC8:AC45" si="5">D8/J8</f>
        <v>#DIV/0!</v>
      </c>
    </row>
    <row r="9" spans="1:30" s="861" customFormat="1">
      <c r="A9" s="894" t="s">
        <v>1363</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16"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30" s="862" customFormat="1" ht="27">
      <c r="A10" s="898"/>
      <c r="B10" s="899" t="s">
        <v>1366</v>
      </c>
      <c r="C10" s="900"/>
      <c r="D10" s="901">
        <v>100</v>
      </c>
      <c r="E10" s="1198"/>
      <c r="F10" s="901">
        <f>ROUND(100/'数据-取费表'!G16,0)</f>
        <v>130</v>
      </c>
      <c r="G10" s="1199"/>
      <c r="H10" s="901">
        <f>ROUND(100/'数据-取费表'!G16,0)</f>
        <v>130</v>
      </c>
      <c r="I10" s="1199"/>
      <c r="J10" s="901">
        <f>ROUND(100/'数据-取费表'!G16,0)</f>
        <v>130</v>
      </c>
      <c r="K10" s="1029"/>
      <c r="L10" s="1030"/>
      <c r="M10" s="1031"/>
      <c r="N10" s="1031"/>
      <c r="O10" s="1032"/>
      <c r="P10" s="3216"/>
      <c r="Q10" s="1069" t="str">
        <f t="shared" si="6"/>
        <v>土地使用年限（年）</v>
      </c>
      <c r="R10" s="1065" t="s">
        <v>1358</v>
      </c>
      <c r="S10" s="1066">
        <f t="shared" si="0"/>
        <v>130</v>
      </c>
      <c r="T10" s="1065" t="s">
        <v>1358</v>
      </c>
      <c r="U10" s="1066">
        <f t="shared" si="1"/>
        <v>130</v>
      </c>
      <c r="V10" s="1065" t="s">
        <v>1358</v>
      </c>
      <c r="W10" s="1066">
        <f t="shared" si="2"/>
        <v>130</v>
      </c>
      <c r="X10" s="1067"/>
      <c r="Y10" s="3045"/>
      <c r="Z10" s="1080" t="str">
        <f t="shared" si="7"/>
        <v>土地使用年限（年）</v>
      </c>
      <c r="AA10" s="1079">
        <f t="shared" si="3"/>
        <v>0.76923076923076927</v>
      </c>
      <c r="AB10" s="1079">
        <f t="shared" si="4"/>
        <v>0.76923076923076927</v>
      </c>
      <c r="AC10" s="1079">
        <f t="shared" si="5"/>
        <v>0.76923076923076927</v>
      </c>
    </row>
    <row r="11" spans="1:30" ht="15">
      <c r="A11" s="902"/>
      <c r="B11" s="899" t="s">
        <v>1368</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16"/>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30" s="861" customFormat="1" ht="15">
      <c r="A12" s="905"/>
      <c r="B12" s="906" t="s">
        <v>1476</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16"/>
      <c r="Q12" s="1069" t="str">
        <f t="shared" si="6"/>
        <v>配建</v>
      </c>
      <c r="R12" s="1065" t="s">
        <v>1358</v>
      </c>
      <c r="S12" s="1066">
        <f t="shared" si="0"/>
        <v>100</v>
      </c>
      <c r="T12" s="1065" t="s">
        <v>1358</v>
      </c>
      <c r="U12" s="1066">
        <f t="shared" si="1"/>
        <v>100</v>
      </c>
      <c r="V12" s="1065" t="s">
        <v>1358</v>
      </c>
      <c r="W12" s="1066">
        <f t="shared" si="2"/>
        <v>100</v>
      </c>
      <c r="X12" s="1067"/>
      <c r="Y12" s="3045"/>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16"/>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30" ht="99.75">
      <c r="A15" s="916" t="s">
        <v>1369</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24" t="s">
        <v>1371</v>
      </c>
      <c r="Q15" s="647" t="str">
        <f t="shared" si="6"/>
        <v>居住社区成熟度</v>
      </c>
      <c r="R15" s="1070" t="s">
        <v>1358</v>
      </c>
      <c r="S15" s="1071">
        <f t="shared" si="0"/>
        <v>100</v>
      </c>
      <c r="T15" s="1070" t="s">
        <v>1358</v>
      </c>
      <c r="U15" s="1071">
        <f t="shared" si="1"/>
        <v>100</v>
      </c>
      <c r="V15" s="1070" t="s">
        <v>1358</v>
      </c>
      <c r="W15" s="1071">
        <f t="shared" si="2"/>
        <v>100</v>
      </c>
      <c r="X15" s="1064"/>
      <c r="Y15" s="3224" t="s">
        <v>1371</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25"/>
      <c r="Q16" s="647"/>
      <c r="R16" s="1070"/>
      <c r="S16" s="1071"/>
      <c r="T16" s="1070"/>
      <c r="U16" s="1071"/>
      <c r="V16" s="1070"/>
      <c r="W16" s="1071"/>
      <c r="X16" s="1064"/>
      <c r="Y16" s="3225"/>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25"/>
      <c r="Q17" s="647" t="str">
        <f>B17</f>
        <v>商业繁华度</v>
      </c>
      <c r="R17" s="1070" t="s">
        <v>1358</v>
      </c>
      <c r="S17" s="1071">
        <f>F17</f>
        <v>100</v>
      </c>
      <c r="T17" s="1070" t="s">
        <v>1358</v>
      </c>
      <c r="U17" s="1071">
        <f>H17</f>
        <v>100</v>
      </c>
      <c r="V17" s="1070" t="s">
        <v>1358</v>
      </c>
      <c r="W17" s="1071">
        <f>J17</f>
        <v>100</v>
      </c>
      <c r="X17" s="1064"/>
      <c r="Y17" s="3225"/>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25"/>
      <c r="Q18" s="647"/>
      <c r="R18" s="1070"/>
      <c r="S18" s="1071"/>
      <c r="T18" s="1070"/>
      <c r="U18" s="1071"/>
      <c r="V18" s="1070"/>
      <c r="W18" s="1071"/>
      <c r="X18" s="1064"/>
      <c r="Y18" s="3225"/>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25"/>
      <c r="Q19" s="647" t="str">
        <f>B19</f>
        <v>办公集聚程度</v>
      </c>
      <c r="R19" s="1070" t="s">
        <v>1358</v>
      </c>
      <c r="S19" s="1071">
        <f>F19</f>
        <v>100</v>
      </c>
      <c r="T19" s="1070" t="s">
        <v>1358</v>
      </c>
      <c r="U19" s="1071">
        <f>H19</f>
        <v>100</v>
      </c>
      <c r="V19" s="1070" t="s">
        <v>1358</v>
      </c>
      <c r="W19" s="1071">
        <f>J19</f>
        <v>100</v>
      </c>
      <c r="X19" s="1064"/>
      <c r="Y19" s="3225"/>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25"/>
      <c r="Q20" s="647"/>
      <c r="R20" s="1070"/>
      <c r="S20" s="1071"/>
      <c r="T20" s="1070"/>
      <c r="U20" s="1071"/>
      <c r="V20" s="1070"/>
      <c r="W20" s="1071"/>
      <c r="X20" s="1064"/>
      <c r="Y20" s="3225"/>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25"/>
      <c r="Q21" s="647" t="str">
        <f>B21</f>
        <v>交通便捷度</v>
      </c>
      <c r="R21" s="1070" t="s">
        <v>1358</v>
      </c>
      <c r="S21" s="1071">
        <f>F21</f>
        <v>100</v>
      </c>
      <c r="T21" s="1070" t="s">
        <v>1358</v>
      </c>
      <c r="U21" s="1071">
        <f>H21</f>
        <v>100</v>
      </c>
      <c r="V21" s="1070" t="s">
        <v>1358</v>
      </c>
      <c r="W21" s="1071">
        <f>J21</f>
        <v>100</v>
      </c>
      <c r="X21" s="1064"/>
      <c r="Y21" s="3225"/>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25"/>
      <c r="Q22" s="647"/>
      <c r="R22" s="1070"/>
      <c r="S22" s="1071"/>
      <c r="T22" s="1070"/>
      <c r="U22" s="1071"/>
      <c r="V22" s="1070"/>
      <c r="W22" s="1071"/>
      <c r="X22" s="1064"/>
      <c r="Y22" s="3225"/>
      <c r="Z22" s="1056"/>
      <c r="AA22" s="1081">
        <v>1</v>
      </c>
      <c r="AB22" s="1081">
        <v>1</v>
      </c>
      <c r="AC22" s="1081">
        <v>1</v>
      </c>
    </row>
    <row r="23" spans="1:29" ht="15">
      <c r="A23" s="882"/>
      <c r="B23" s="1203" t="s">
        <v>671</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25"/>
      <c r="Q23" s="647" t="str">
        <f t="shared" ref="Q23:Q38" si="8">B23</f>
        <v>区域土地利用方向</v>
      </c>
      <c r="R23" s="1070" t="s">
        <v>1358</v>
      </c>
      <c r="S23" s="1071">
        <f>F23</f>
        <v>100</v>
      </c>
      <c r="T23" s="1070" t="s">
        <v>1358</v>
      </c>
      <c r="U23" s="1071">
        <f>H23</f>
        <v>100</v>
      </c>
      <c r="V23" s="1070" t="s">
        <v>1358</v>
      </c>
      <c r="W23" s="1071">
        <f>J23</f>
        <v>100</v>
      </c>
      <c r="X23" s="1064"/>
      <c r="Y23" s="3225"/>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25"/>
      <c r="Q24" s="647"/>
      <c r="R24" s="1070"/>
      <c r="S24" s="1071"/>
      <c r="T24" s="1070"/>
      <c r="U24" s="1071"/>
      <c r="V24" s="1070"/>
      <c r="W24" s="1071"/>
      <c r="X24" s="1064"/>
      <c r="Y24" s="3225"/>
      <c r="Z24" s="1056"/>
      <c r="AA24" s="1081"/>
      <c r="AB24" s="1081"/>
      <c r="AC24" s="1081"/>
    </row>
    <row r="25" spans="1:29" ht="256.5">
      <c r="A25" s="882"/>
      <c r="B25" s="1207" t="s">
        <v>672</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25"/>
      <c r="Q25" s="647" t="str">
        <f t="shared" si="8"/>
        <v>自然及人文环境状况</v>
      </c>
      <c r="R25" s="1070" t="s">
        <v>1358</v>
      </c>
      <c r="S25" s="1071">
        <f>F25</f>
        <v>100</v>
      </c>
      <c r="T25" s="1070" t="s">
        <v>1358</v>
      </c>
      <c r="U25" s="1071">
        <f>H25</f>
        <v>100</v>
      </c>
      <c r="V25" s="1070" t="s">
        <v>1358</v>
      </c>
      <c r="W25" s="1071">
        <f>J25</f>
        <v>100</v>
      </c>
      <c r="X25" s="1064"/>
      <c r="Y25" s="3225"/>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25"/>
      <c r="Q26" s="647"/>
      <c r="R26" s="1070"/>
      <c r="S26" s="1071"/>
      <c r="T26" s="1070"/>
      <c r="U26" s="1071"/>
      <c r="V26" s="1070"/>
      <c r="W26" s="1071"/>
      <c r="X26" s="1064"/>
      <c r="Y26" s="3225"/>
      <c r="Z26" s="1056"/>
      <c r="AA26" s="1081">
        <v>1</v>
      </c>
      <c r="AB26" s="1081">
        <v>1</v>
      </c>
      <c r="AC26" s="1081">
        <v>1</v>
      </c>
    </row>
    <row r="27" spans="1:29" s="861" customFormat="1" ht="285">
      <c r="A27" s="932"/>
      <c r="B27" s="1207" t="s">
        <v>661</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25"/>
      <c r="Q27" s="1069" t="str">
        <f t="shared" si="8"/>
        <v>公共配套设施</v>
      </c>
      <c r="R27" s="1065" t="s">
        <v>1358</v>
      </c>
      <c r="S27" s="1066">
        <f>F27</f>
        <v>100</v>
      </c>
      <c r="T27" s="1065" t="s">
        <v>1358</v>
      </c>
      <c r="U27" s="1066">
        <f>H27</f>
        <v>100</v>
      </c>
      <c r="V27" s="1065" t="s">
        <v>1358</v>
      </c>
      <c r="W27" s="1066">
        <f>J27</f>
        <v>100</v>
      </c>
      <c r="X27" s="1067"/>
      <c r="Y27" s="3225"/>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25"/>
      <c r="Q28" s="1069"/>
      <c r="R28" s="1065"/>
      <c r="S28" s="1066"/>
      <c r="T28" s="1065"/>
      <c r="U28" s="1066"/>
      <c r="V28" s="1065"/>
      <c r="W28" s="1066"/>
      <c r="X28" s="1067"/>
      <c r="Y28" s="3225"/>
      <c r="Z28" s="1080"/>
      <c r="AA28" s="1081">
        <v>1</v>
      </c>
      <c r="AB28" s="1081">
        <v>1</v>
      </c>
      <c r="AC28" s="1081">
        <v>1</v>
      </c>
    </row>
    <row r="29" spans="1:29" s="861" customFormat="1" ht="15">
      <c r="A29" s="932"/>
      <c r="B29" s="1207" t="s">
        <v>663</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25"/>
      <c r="Q29" s="1069" t="str">
        <f t="shared" ref="Q29" si="9">B29</f>
        <v>基础设施水平</v>
      </c>
      <c r="R29" s="1065" t="s">
        <v>1358</v>
      </c>
      <c r="S29" s="1066">
        <f>F29</f>
        <v>100</v>
      </c>
      <c r="T29" s="1065" t="s">
        <v>1358</v>
      </c>
      <c r="U29" s="1066">
        <f>H29</f>
        <v>100</v>
      </c>
      <c r="V29" s="1065" t="s">
        <v>1358</v>
      </c>
      <c r="W29" s="1066">
        <f>J29</f>
        <v>100</v>
      </c>
      <c r="X29" s="1067"/>
      <c r="Y29" s="3225"/>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25"/>
      <c r="Q30" s="1069"/>
      <c r="R30" s="1065"/>
      <c r="S30" s="1066"/>
      <c r="T30" s="1065"/>
      <c r="U30" s="1066"/>
      <c r="V30" s="1065"/>
      <c r="W30" s="1066"/>
      <c r="X30" s="1067"/>
      <c r="Y30" s="3225"/>
      <c r="Z30" s="1080"/>
      <c r="AA30" s="1081">
        <v>1</v>
      </c>
      <c r="AB30" s="1081">
        <v>1</v>
      </c>
      <c r="AC30" s="1081">
        <v>1</v>
      </c>
    </row>
    <row r="31" spans="1:29" ht="15">
      <c r="A31" s="902"/>
      <c r="B31" s="950" t="s">
        <v>673</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25"/>
      <c r="Q31" s="647" t="str">
        <f t="shared" si="8"/>
        <v>临街状况</v>
      </c>
      <c r="R31" s="1070" t="s">
        <v>1358</v>
      </c>
      <c r="S31" s="1071">
        <f t="shared" ref="S31:S45" si="10">F31</f>
        <v>100</v>
      </c>
      <c r="T31" s="1070" t="s">
        <v>1358</v>
      </c>
      <c r="U31" s="1071">
        <f t="shared" ref="U31:U45" si="11">H31</f>
        <v>100</v>
      </c>
      <c r="V31" s="1070" t="s">
        <v>1358</v>
      </c>
      <c r="W31" s="1071">
        <f t="shared" ref="W31:W45" si="12">J31</f>
        <v>100</v>
      </c>
      <c r="X31" s="1064"/>
      <c r="Y31" s="3225"/>
      <c r="Z31" s="1056" t="str">
        <f t="shared" ref="Z31:Z45" si="13">Q31</f>
        <v>临街状况</v>
      </c>
      <c r="AA31" s="1081">
        <f t="shared" si="3"/>
        <v>1</v>
      </c>
      <c r="AB31" s="1081">
        <f t="shared" si="4"/>
        <v>1</v>
      </c>
      <c r="AC31" s="1081">
        <f t="shared" si="5"/>
        <v>1</v>
      </c>
    </row>
    <row r="32" spans="1:29" ht="27">
      <c r="A32" s="902"/>
      <c r="B32" s="1207" t="s">
        <v>668</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25"/>
      <c r="Q32" s="647" t="str">
        <f t="shared" si="8"/>
        <v>毗邻道路的类型与等级</v>
      </c>
      <c r="R32" s="1070" t="s">
        <v>1358</v>
      </c>
      <c r="S32" s="1071">
        <f t="shared" si="10"/>
        <v>100</v>
      </c>
      <c r="T32" s="1070" t="s">
        <v>1358</v>
      </c>
      <c r="U32" s="1071">
        <f t="shared" si="11"/>
        <v>100</v>
      </c>
      <c r="V32" s="1070" t="s">
        <v>1358</v>
      </c>
      <c r="W32" s="1071">
        <f t="shared" si="12"/>
        <v>100</v>
      </c>
      <c r="X32" s="1064"/>
      <c r="Y32" s="3225"/>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25"/>
      <c r="Q33" s="647"/>
      <c r="R33" s="1070"/>
      <c r="S33" s="1071"/>
      <c r="T33" s="1070"/>
      <c r="U33" s="1071"/>
      <c r="V33" s="1070"/>
      <c r="W33" s="1071"/>
      <c r="X33" s="1064"/>
      <c r="Y33" s="3225"/>
      <c r="Z33" s="1056"/>
      <c r="AA33" s="1081">
        <v>1</v>
      </c>
      <c r="AB33" s="1081">
        <v>1</v>
      </c>
      <c r="AC33" s="1081">
        <v>1</v>
      </c>
    </row>
    <row r="34" spans="1:29" ht="15">
      <c r="A34" s="902"/>
      <c r="B34" s="899" t="s">
        <v>674</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25"/>
      <c r="Q34" s="647" t="str">
        <f t="shared" si="8"/>
        <v>土地级别</v>
      </c>
      <c r="R34" s="1070" t="s">
        <v>1358</v>
      </c>
      <c r="S34" s="1071">
        <f t="shared" si="10"/>
        <v>100</v>
      </c>
      <c r="T34" s="1070" t="s">
        <v>1358</v>
      </c>
      <c r="U34" s="1071">
        <f t="shared" si="11"/>
        <v>100</v>
      </c>
      <c r="V34" s="1070" t="s">
        <v>1358</v>
      </c>
      <c r="W34" s="1071">
        <f t="shared" si="12"/>
        <v>100</v>
      </c>
      <c r="X34" s="1064"/>
      <c r="Y34" s="3225"/>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25"/>
      <c r="Q35" s="647">
        <f t="shared" si="8"/>
        <v>111</v>
      </c>
      <c r="R35" s="1070" t="s">
        <v>1358</v>
      </c>
      <c r="S35" s="1071">
        <f t="shared" si="10"/>
        <v>100</v>
      </c>
      <c r="T35" s="1070" t="s">
        <v>1358</v>
      </c>
      <c r="U35" s="1071">
        <f t="shared" si="11"/>
        <v>100</v>
      </c>
      <c r="V35" s="1070" t="s">
        <v>1358</v>
      </c>
      <c r="W35" s="1071">
        <f t="shared" si="12"/>
        <v>100</v>
      </c>
      <c r="X35" s="1064"/>
      <c r="Y35" s="3225"/>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67" t="s">
        <v>1383</v>
      </c>
      <c r="Q36" s="647">
        <f t="shared" si="8"/>
        <v>111</v>
      </c>
      <c r="R36" s="1070" t="s">
        <v>1358</v>
      </c>
      <c r="S36" s="1071">
        <f t="shared" si="10"/>
        <v>100</v>
      </c>
      <c r="T36" s="1070" t="s">
        <v>1358</v>
      </c>
      <c r="U36" s="1071">
        <f t="shared" si="11"/>
        <v>100</v>
      </c>
      <c r="V36" s="1070" t="s">
        <v>1358</v>
      </c>
      <c r="W36" s="1071">
        <f t="shared" si="12"/>
        <v>100</v>
      </c>
      <c r="X36" s="1064"/>
      <c r="Y36" s="3226" t="s">
        <v>1383</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26"/>
      <c r="Q37" s="647">
        <f t="shared" si="8"/>
        <v>111</v>
      </c>
      <c r="R37" s="1072" t="s">
        <v>1358</v>
      </c>
      <c r="S37" s="1073">
        <f t="shared" si="10"/>
        <v>100</v>
      </c>
      <c r="T37" s="1072" t="s">
        <v>1358</v>
      </c>
      <c r="U37" s="1073">
        <f t="shared" si="11"/>
        <v>100</v>
      </c>
      <c r="V37" s="1072" t="s">
        <v>1358</v>
      </c>
      <c r="W37" s="1073">
        <f t="shared" si="12"/>
        <v>100</v>
      </c>
      <c r="X37" s="1074"/>
      <c r="Y37" s="3226"/>
      <c r="Z37" s="1082">
        <f t="shared" si="13"/>
        <v>111</v>
      </c>
      <c r="AA37" s="1081">
        <f t="shared" si="3"/>
        <v>1</v>
      </c>
      <c r="AB37" s="1081">
        <f t="shared" si="4"/>
        <v>1</v>
      </c>
      <c r="AC37" s="1081">
        <f t="shared" si="5"/>
        <v>1</v>
      </c>
    </row>
    <row r="38" spans="1:29" ht="15">
      <c r="A38" s="953" t="s">
        <v>1380</v>
      </c>
      <c r="B38" s="950" t="s">
        <v>1477</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26"/>
      <c r="Q38" s="647" t="str">
        <f t="shared" si="8"/>
        <v>宗地面积</v>
      </c>
      <c r="R38" s="1070" t="s">
        <v>1358</v>
      </c>
      <c r="S38" s="1071" t="e">
        <f t="shared" si="10"/>
        <v>#N/A</v>
      </c>
      <c r="T38" s="1070" t="s">
        <v>1358</v>
      </c>
      <c r="U38" s="1071" t="e">
        <f t="shared" si="11"/>
        <v>#N/A</v>
      </c>
      <c r="V38" s="1070" t="s">
        <v>1358</v>
      </c>
      <c r="W38" s="1071" t="e">
        <f t="shared" si="12"/>
        <v>#N/A</v>
      </c>
      <c r="X38" s="1064"/>
      <c r="Y38" s="3226"/>
      <c r="Z38" s="1056" t="str">
        <f t="shared" si="13"/>
        <v>宗地面积</v>
      </c>
      <c r="AA38" s="1081" t="e">
        <f t="shared" si="3"/>
        <v>#N/A</v>
      </c>
      <c r="AB38" s="1081" t="e">
        <f t="shared" si="4"/>
        <v>#N/A</v>
      </c>
      <c r="AC38" s="1081" t="e">
        <f t="shared" si="5"/>
        <v>#N/A</v>
      </c>
    </row>
    <row r="39" spans="1:29" ht="15">
      <c r="A39" s="953"/>
      <c r="B39" s="899" t="s">
        <v>1478</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26"/>
      <c r="Q39" s="647" t="str">
        <f t="shared" ref="Q39:Q45" si="14">B39</f>
        <v>宗地形状</v>
      </c>
      <c r="R39" s="1070" t="s">
        <v>1358</v>
      </c>
      <c r="S39" s="1071">
        <f t="shared" si="10"/>
        <v>100</v>
      </c>
      <c r="T39" s="1070" t="s">
        <v>1358</v>
      </c>
      <c r="U39" s="1071">
        <f t="shared" si="11"/>
        <v>100</v>
      </c>
      <c r="V39" s="1070" t="s">
        <v>1358</v>
      </c>
      <c r="W39" s="1071">
        <f t="shared" si="12"/>
        <v>100</v>
      </c>
      <c r="X39" s="1064"/>
      <c r="Y39" s="3226"/>
      <c r="Z39" s="1056" t="str">
        <f t="shared" si="13"/>
        <v>宗地形状</v>
      </c>
      <c r="AA39" s="1081">
        <f t="shared" si="3"/>
        <v>1</v>
      </c>
      <c r="AB39" s="1081">
        <f t="shared" si="4"/>
        <v>1</v>
      </c>
      <c r="AC39" s="1081">
        <f t="shared" si="5"/>
        <v>1</v>
      </c>
    </row>
    <row r="40" spans="1:29" ht="15">
      <c r="A40" s="953"/>
      <c r="B40" s="899" t="s">
        <v>1479</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26"/>
      <c r="Q40" s="647" t="str">
        <f t="shared" si="14"/>
        <v>临街宽度及深度</v>
      </c>
      <c r="R40" s="1070" t="s">
        <v>1358</v>
      </c>
      <c r="S40" s="1071">
        <f t="shared" si="10"/>
        <v>100</v>
      </c>
      <c r="T40" s="1070" t="s">
        <v>1358</v>
      </c>
      <c r="U40" s="1071">
        <f t="shared" si="11"/>
        <v>100</v>
      </c>
      <c r="V40" s="1070" t="s">
        <v>1358</v>
      </c>
      <c r="W40" s="1071">
        <f t="shared" si="12"/>
        <v>100</v>
      </c>
      <c r="X40" s="1064"/>
      <c r="Y40" s="3226"/>
      <c r="Z40" s="1056" t="str">
        <f t="shared" si="13"/>
        <v>临街宽度及深度</v>
      </c>
      <c r="AA40" s="1081">
        <f t="shared" si="3"/>
        <v>1</v>
      </c>
      <c r="AB40" s="1081">
        <f t="shared" si="4"/>
        <v>1</v>
      </c>
      <c r="AC40" s="1081">
        <f t="shared" si="5"/>
        <v>1</v>
      </c>
    </row>
    <row r="41" spans="1:29" s="861" customFormat="1" ht="15">
      <c r="A41" s="955"/>
      <c r="B41" s="899" t="s">
        <v>1480</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26"/>
      <c r="Q41" s="647" t="str">
        <f t="shared" si="14"/>
        <v>宗地开发程度</v>
      </c>
      <c r="R41" s="1065" t="s">
        <v>1358</v>
      </c>
      <c r="S41" s="1066">
        <f t="shared" si="10"/>
        <v>100</v>
      </c>
      <c r="T41" s="1065" t="s">
        <v>1358</v>
      </c>
      <c r="U41" s="1066">
        <f t="shared" si="11"/>
        <v>100</v>
      </c>
      <c r="V41" s="1065" t="s">
        <v>1358</v>
      </c>
      <c r="W41" s="1066">
        <f t="shared" si="12"/>
        <v>100</v>
      </c>
      <c r="X41" s="1067"/>
      <c r="Y41" s="3226"/>
      <c r="Z41" s="1080" t="str">
        <f t="shared" si="13"/>
        <v>宗地开发程度</v>
      </c>
      <c r="AA41" s="1079">
        <f t="shared" si="3"/>
        <v>1</v>
      </c>
      <c r="AB41" s="1079">
        <f t="shared" si="4"/>
        <v>1</v>
      </c>
      <c r="AC41" s="1079">
        <f t="shared" si="5"/>
        <v>1</v>
      </c>
    </row>
    <row r="42" spans="1:29" ht="15">
      <c r="A42" s="953"/>
      <c r="B42" s="899" t="s">
        <v>1481</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26" t="s">
        <v>1383</v>
      </c>
      <c r="Q42" s="647" t="str">
        <f t="shared" si="14"/>
        <v>工程地质条件</v>
      </c>
      <c r="R42" s="1070" t="s">
        <v>1358</v>
      </c>
      <c r="S42" s="1071">
        <f t="shared" si="10"/>
        <v>100</v>
      </c>
      <c r="T42" s="1070" t="s">
        <v>1358</v>
      </c>
      <c r="U42" s="1071">
        <f t="shared" si="11"/>
        <v>100</v>
      </c>
      <c r="V42" s="1070" t="s">
        <v>1358</v>
      </c>
      <c r="W42" s="1071">
        <f t="shared" si="12"/>
        <v>100</v>
      </c>
      <c r="X42" s="1064"/>
      <c r="Y42" s="3226" t="s">
        <v>1383</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26"/>
      <c r="Q43" s="647">
        <f t="shared" si="14"/>
        <v>111</v>
      </c>
      <c r="R43" s="1070" t="s">
        <v>1358</v>
      </c>
      <c r="S43" s="1071">
        <f t="shared" si="10"/>
        <v>100</v>
      </c>
      <c r="T43" s="1070" t="s">
        <v>1358</v>
      </c>
      <c r="U43" s="1071">
        <f t="shared" si="11"/>
        <v>100</v>
      </c>
      <c r="V43" s="1070" t="s">
        <v>1358</v>
      </c>
      <c r="W43" s="1071">
        <f t="shared" si="12"/>
        <v>100</v>
      </c>
      <c r="X43" s="1064"/>
      <c r="Y43" s="3226"/>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26"/>
      <c r="Q44" s="647">
        <f t="shared" si="14"/>
        <v>111</v>
      </c>
      <c r="R44" s="1070" t="s">
        <v>1358</v>
      </c>
      <c r="S44" s="1071">
        <f t="shared" si="10"/>
        <v>100</v>
      </c>
      <c r="T44" s="1070" t="s">
        <v>1358</v>
      </c>
      <c r="U44" s="1071">
        <f t="shared" si="11"/>
        <v>100</v>
      </c>
      <c r="V44" s="1070" t="s">
        <v>1358</v>
      </c>
      <c r="W44" s="1071">
        <f t="shared" si="12"/>
        <v>100</v>
      </c>
      <c r="X44" s="1064"/>
      <c r="Y44" s="3226"/>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26"/>
      <c r="Q45" s="647">
        <f t="shared" si="14"/>
        <v>111</v>
      </c>
      <c r="R45" s="1072" t="s">
        <v>1358</v>
      </c>
      <c r="S45" s="1073">
        <f t="shared" si="10"/>
        <v>100</v>
      </c>
      <c r="T45" s="1072" t="s">
        <v>1358</v>
      </c>
      <c r="U45" s="1073">
        <f t="shared" si="11"/>
        <v>100</v>
      </c>
      <c r="V45" s="1072" t="s">
        <v>1358</v>
      </c>
      <c r="W45" s="1073">
        <f t="shared" si="12"/>
        <v>100</v>
      </c>
      <c r="X45" s="1074"/>
      <c r="Y45" s="3226"/>
      <c r="Z45" s="1082">
        <f t="shared" si="13"/>
        <v>111</v>
      </c>
      <c r="AA45" s="1081">
        <f t="shared" si="3"/>
        <v>1</v>
      </c>
      <c r="AB45" s="1081">
        <f t="shared" si="4"/>
        <v>1</v>
      </c>
      <c r="AC45" s="1081">
        <f t="shared" si="5"/>
        <v>1</v>
      </c>
    </row>
    <row r="46" spans="1:29" ht="15">
      <c r="A46" s="960" t="s">
        <v>1467</v>
      </c>
      <c r="B46" s="961" t="s">
        <v>1482</v>
      </c>
      <c r="C46" s="962" t="s">
        <v>124</v>
      </c>
      <c r="D46" s="963"/>
      <c r="E46" s="964"/>
      <c r="F46" s="965"/>
      <c r="G46" s="966"/>
      <c r="H46" s="967"/>
      <c r="I46" s="964"/>
      <c r="J46" s="967"/>
      <c r="K46" s="1047"/>
      <c r="L46" s="1048"/>
      <c r="M46" s="977"/>
      <c r="N46" s="1024"/>
      <c r="O46" s="977"/>
      <c r="P46" s="3216" t="str">
        <f>A46</f>
        <v>成交单价</v>
      </c>
      <c r="Q46" s="3216"/>
      <c r="R46" s="3246">
        <f>E46</f>
        <v>0</v>
      </c>
      <c r="S46" s="3246"/>
      <c r="T46" s="3246">
        <f>G46</f>
        <v>0</v>
      </c>
      <c r="U46" s="3246"/>
      <c r="V46" s="3246">
        <f>I46</f>
        <v>0</v>
      </c>
      <c r="W46" s="3246"/>
      <c r="X46" s="1012"/>
      <c r="Y46" s="1083"/>
      <c r="Z46" s="1012"/>
      <c r="AA46" s="1012"/>
      <c r="AB46" s="1012"/>
      <c r="AC46" s="1012"/>
    </row>
    <row r="47" spans="1:29" ht="15">
      <c r="A47" s="968" t="s">
        <v>1398</v>
      </c>
      <c r="B47" s="969"/>
      <c r="C47" s="970" t="e">
        <f>R48</f>
        <v>#DIV/0!</v>
      </c>
      <c r="D47" s="971"/>
      <c r="E47" s="970" t="e">
        <f>R47</f>
        <v>#DIV/0!</v>
      </c>
      <c r="F47" s="972"/>
      <c r="G47" s="973" t="e">
        <f>T47</f>
        <v>#DIV/0!</v>
      </c>
      <c r="H47" s="971"/>
      <c r="I47" s="970" t="e">
        <f>V47</f>
        <v>#DIV/0!</v>
      </c>
      <c r="J47" s="971"/>
      <c r="K47" s="1049"/>
      <c r="L47" s="1048"/>
      <c r="M47" s="977"/>
      <c r="N47" s="977"/>
      <c r="O47" s="977"/>
      <c r="P47" s="3216" t="str">
        <f>A47</f>
        <v>比较价值（元/平方米）</v>
      </c>
      <c r="Q47" s="3216"/>
      <c r="R47" s="3269" t="e">
        <f>ROUND(PRODUCT(R46,AA7:AA45),0)</f>
        <v>#DIV/0!</v>
      </c>
      <c r="S47" s="3269"/>
      <c r="T47" s="3269" t="e">
        <f>ROUND(PRODUCT(T46,AB7:AB45),0)</f>
        <v>#DIV/0!</v>
      </c>
      <c r="U47" s="3269"/>
      <c r="V47" s="3269" t="e">
        <f>ROUND(PRODUCT(V46,AC7:AC45),0)</f>
        <v>#DIV/0!</v>
      </c>
      <c r="W47" s="3269"/>
      <c r="X47" s="1012"/>
      <c r="Y47" s="1012"/>
      <c r="Z47" s="1012"/>
      <c r="AA47" s="1012"/>
      <c r="AB47" s="1012"/>
      <c r="AC47" s="1012"/>
    </row>
    <row r="48" spans="1:29" ht="15">
      <c r="A48" s="974" t="s">
        <v>1483</v>
      </c>
      <c r="B48" s="975"/>
      <c r="C48" s="976" t="e">
        <f>R48</f>
        <v>#DIV/0!</v>
      </c>
      <c r="D48" s="976"/>
      <c r="E48" s="976"/>
      <c r="F48" s="976"/>
      <c r="G48" s="976"/>
      <c r="H48" s="976"/>
      <c r="I48" s="976"/>
      <c r="J48" s="976"/>
      <c r="K48" s="1050"/>
      <c r="L48" s="1048"/>
      <c r="M48" s="977"/>
      <c r="N48" s="977"/>
      <c r="O48" s="977"/>
      <c r="P48" s="3228" t="str">
        <f>A48</f>
        <v>估价对象XX用房的比较价值（楼面单价，元/平方米）</v>
      </c>
      <c r="Q48" s="3229"/>
      <c r="R48" s="3270" t="e">
        <f>ROUND(AVERAGE(R47:V47),0)</f>
        <v>#DIV/0!</v>
      </c>
      <c r="S48" s="3270"/>
      <c r="T48" s="3270"/>
      <c r="U48" s="3270"/>
      <c r="V48" s="3270"/>
      <c r="W48" s="3270"/>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1400</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1401</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1402</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1484</v>
      </c>
      <c r="B55" s="987" t="s">
        <v>1485</v>
      </c>
      <c r="C55" s="988" t="s">
        <v>1486</v>
      </c>
      <c r="D55" s="989" t="s">
        <v>1487</v>
      </c>
      <c r="E55" s="990" t="s">
        <v>1488</v>
      </c>
      <c r="F55" s="1211" t="s">
        <v>1489</v>
      </c>
      <c r="G55" s="3195" t="s">
        <v>1490</v>
      </c>
      <c r="H55" s="3271"/>
      <c r="I55" s="1215" t="s">
        <v>1491</v>
      </c>
      <c r="J55" s="1216">
        <f>项目基本情况!F35</f>
        <v>0</v>
      </c>
      <c r="K55" s="1057" t="s">
        <v>1492</v>
      </c>
      <c r="L55" s="1053"/>
      <c r="M55" s="977"/>
      <c r="N55" s="977"/>
      <c r="O55" s="977"/>
    </row>
    <row r="56" spans="1:15" s="865" customFormat="1">
      <c r="A56" s="992" t="s">
        <v>1493</v>
      </c>
      <c r="B56" s="993" t="e">
        <f>C48</f>
        <v>#DIV/0!</v>
      </c>
      <c r="C56" s="994">
        <v>1</v>
      </c>
      <c r="D56" s="995">
        <v>1</v>
      </c>
      <c r="E56" s="994">
        <f>'数据-汇总表'!E8+'数据-汇总表'!E9</f>
        <v>200.96</v>
      </c>
      <c r="F56" s="1212" t="e">
        <f t="shared" ref="F56:F65" si="15">ROUND(B56*E56/10000,0)</f>
        <v>#DIV/0!</v>
      </c>
      <c r="G56" s="3218"/>
      <c r="H56" s="3216"/>
      <c r="I56" s="1217">
        <v>1</v>
      </c>
      <c r="J56" s="1218">
        <v>1</v>
      </c>
      <c r="K56" s="982"/>
      <c r="L56" s="1058"/>
      <c r="M56" s="1058"/>
      <c r="N56" s="1058"/>
      <c r="O56" s="1058"/>
    </row>
    <row r="57" spans="1:15" s="865" customFormat="1">
      <c r="A57" s="997" t="s">
        <v>1494</v>
      </c>
      <c r="B57" s="161" t="e">
        <f>ROUND($C$48*C57*D57,0)</f>
        <v>#DIV/0!</v>
      </c>
      <c r="C57" s="592">
        <f t="shared" ref="C57:C65" si="16">IF($C$55="北京市系数",I57,J57)</f>
        <v>0</v>
      </c>
      <c r="D57" s="998">
        <v>0.25</v>
      </c>
      <c r="E57" s="999"/>
      <c r="F57" s="1212" t="e">
        <f t="shared" si="15"/>
        <v>#DIV/0!</v>
      </c>
      <c r="G57" s="3268" t="s">
        <v>1495</v>
      </c>
      <c r="H57" s="1001">
        <f>项目基本情况!B37</f>
        <v>0</v>
      </c>
      <c r="I57" s="1217">
        <f>SUMIF(修正!A45:A56,H57,修正!B45:B56)</f>
        <v>0</v>
      </c>
      <c r="J57" s="1219"/>
      <c r="K57" s="977"/>
      <c r="L57" s="1058"/>
      <c r="M57" s="1058"/>
      <c r="N57" s="1058"/>
      <c r="O57" s="1058"/>
    </row>
    <row r="58" spans="1:15" s="865" customFormat="1">
      <c r="A58" s="997" t="s">
        <v>1496</v>
      </c>
      <c r="B58" s="161" t="e">
        <f t="shared" ref="B58:B65" si="17">ROUND($C$48*C58*D58,0)</f>
        <v>#DIV/0!</v>
      </c>
      <c r="C58" s="592">
        <f t="shared" si="16"/>
        <v>0</v>
      </c>
      <c r="D58" s="998">
        <v>0.25</v>
      </c>
      <c r="E58" s="999"/>
      <c r="F58" s="1212" t="e">
        <f t="shared" si="15"/>
        <v>#DIV/0!</v>
      </c>
      <c r="G58" s="3268"/>
      <c r="H58" s="1001">
        <f>项目基本情况!B37</f>
        <v>0</v>
      </c>
      <c r="I58" s="1217">
        <f>SUMIF(修正!A45:A56,H58,修正!C45:C56)</f>
        <v>0</v>
      </c>
      <c r="J58" s="1219"/>
      <c r="K58" s="982"/>
      <c r="L58" s="1058"/>
      <c r="M58" s="1058"/>
      <c r="N58" s="1058"/>
      <c r="O58" s="1058"/>
    </row>
    <row r="59" spans="1:15" s="865" customFormat="1">
      <c r="A59" s="997" t="s">
        <v>1497</v>
      </c>
      <c r="B59" s="161" t="e">
        <f t="shared" si="17"/>
        <v>#DIV/0!</v>
      </c>
      <c r="C59" s="592">
        <f t="shared" si="16"/>
        <v>0</v>
      </c>
      <c r="D59" s="998">
        <v>0.25</v>
      </c>
      <c r="E59" s="999"/>
      <c r="F59" s="1212" t="e">
        <f t="shared" si="15"/>
        <v>#DIV/0!</v>
      </c>
      <c r="G59" s="3268"/>
      <c r="H59" s="1001">
        <f>项目基本情况!B37</f>
        <v>0</v>
      </c>
      <c r="I59" s="1217">
        <f>SUMIF(修正!A45:A56,H59,修正!D45:D56)</f>
        <v>0</v>
      </c>
      <c r="J59" s="1219"/>
      <c r="K59" s="977"/>
      <c r="L59" s="1058"/>
      <c r="M59" s="1058"/>
      <c r="N59" s="1058"/>
      <c r="O59" s="1058"/>
    </row>
    <row r="60" spans="1:15" s="865" customFormat="1">
      <c r="A60" s="997" t="s">
        <v>1498</v>
      </c>
      <c r="B60" s="161" t="e">
        <f t="shared" si="17"/>
        <v>#DIV/0!</v>
      </c>
      <c r="C60" s="592">
        <f t="shared" si="16"/>
        <v>0</v>
      </c>
      <c r="D60" s="998">
        <v>0.25</v>
      </c>
      <c r="E60" s="999"/>
      <c r="F60" s="1212" t="e">
        <f t="shared" si="15"/>
        <v>#DIV/0!</v>
      </c>
      <c r="G60" s="3268"/>
      <c r="H60" s="1001">
        <f>项目基本情况!B37</f>
        <v>0</v>
      </c>
      <c r="I60" s="1217">
        <f>SUMIF(修正!A45:A56,H60,修正!E45:E56)</f>
        <v>0</v>
      </c>
      <c r="J60" s="1219"/>
      <c r="K60" s="982"/>
      <c r="L60" s="1058"/>
      <c r="M60" s="1058"/>
      <c r="N60" s="1058"/>
      <c r="O60" s="1058"/>
    </row>
    <row r="61" spans="1:15" s="865" customFormat="1">
      <c r="A61" s="997" t="s">
        <v>1499</v>
      </c>
      <c r="B61" s="161" t="e">
        <f t="shared" si="17"/>
        <v>#DIV/0!</v>
      </c>
      <c r="C61" s="592">
        <f t="shared" si="16"/>
        <v>0</v>
      </c>
      <c r="D61" s="998">
        <v>0.25</v>
      </c>
      <c r="E61" s="160">
        <f>'数据-汇总表'!E11</f>
        <v>0</v>
      </c>
      <c r="F61" s="1212" t="e">
        <f t="shared" si="15"/>
        <v>#DIV/0!</v>
      </c>
      <c r="G61" s="1000" t="s">
        <v>1500</v>
      </c>
      <c r="H61" s="1001">
        <f>项目基本情况!C37</f>
        <v>0</v>
      </c>
      <c r="I61" s="1217">
        <f>SUMIF(修正!A45:A56,H61,修正!F45:F56)</f>
        <v>0</v>
      </c>
      <c r="J61" s="1219"/>
      <c r="K61" s="977"/>
      <c r="L61" s="1058"/>
      <c r="M61" s="1058"/>
      <c r="N61" s="1058"/>
      <c r="O61" s="1058"/>
    </row>
    <row r="62" spans="1:15" s="865" customFormat="1">
      <c r="A62" s="997" t="s">
        <v>1501</v>
      </c>
      <c r="B62" s="161" t="e">
        <f t="shared" si="17"/>
        <v>#DIV/0!</v>
      </c>
      <c r="C62" s="592">
        <f t="shared" si="16"/>
        <v>0</v>
      </c>
      <c r="D62" s="998">
        <v>0.25</v>
      </c>
      <c r="E62" s="160">
        <f>'数据-汇总表'!E12</f>
        <v>0</v>
      </c>
      <c r="F62" s="1212" t="e">
        <f t="shared" si="15"/>
        <v>#DIV/0!</v>
      </c>
      <c r="G62" s="1002" t="s">
        <v>1502</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1503</v>
      </c>
      <c r="B63" s="161" t="e">
        <f t="shared" si="17"/>
        <v>#DIV/0!</v>
      </c>
      <c r="C63" s="592">
        <f t="shared" si="16"/>
        <v>0</v>
      </c>
      <c r="D63" s="998">
        <v>0.25</v>
      </c>
      <c r="E63" s="160">
        <f>'数据-汇总表'!E13</f>
        <v>0</v>
      </c>
      <c r="F63" s="1212" t="e">
        <f t="shared" si="15"/>
        <v>#DIV/0!</v>
      </c>
      <c r="G63" s="1002" t="s">
        <v>1504</v>
      </c>
      <c r="H63" s="1001">
        <f>IF(G63="商业",项目基本情况!B37,IF(G63="办公",项目基本情况!C37,IF(G63="住宅",项目基本情况!D37,项目基本情况!E37)))</f>
        <v>0</v>
      </c>
      <c r="I63" s="1217">
        <f>SUMIF(修正!A45:A56,H63,修正!H45:H56)</f>
        <v>0</v>
      </c>
      <c r="J63" s="1219"/>
      <c r="K63" s="977"/>
      <c r="L63" s="1058"/>
      <c r="M63" s="1058"/>
      <c r="N63" s="1058"/>
      <c r="O63" s="1058"/>
    </row>
    <row r="64" spans="1:15" s="865" customFormat="1">
      <c r="A64" s="997" t="s">
        <v>1505</v>
      </c>
      <c r="B64" s="161" t="e">
        <f t="shared" si="17"/>
        <v>#DIV/0!</v>
      </c>
      <c r="C64" s="592">
        <f t="shared" si="16"/>
        <v>0</v>
      </c>
      <c r="D64" s="998">
        <v>0.25</v>
      </c>
      <c r="E64" s="160">
        <f>'数据-汇总表'!E14</f>
        <v>0</v>
      </c>
      <c r="F64" s="1212" t="e">
        <f t="shared" si="15"/>
        <v>#DIV/0!</v>
      </c>
      <c r="G64" s="1000" t="s">
        <v>1495</v>
      </c>
      <c r="H64" s="1001">
        <f>项目基本情况!B37</f>
        <v>0</v>
      </c>
      <c r="I64" s="1217">
        <f>SUMIF(修正!A45:A56,H64,修正!H45:H56)</f>
        <v>0</v>
      </c>
      <c r="J64" s="1219"/>
      <c r="K64" s="982"/>
      <c r="L64" s="1058"/>
      <c r="M64" s="1058"/>
      <c r="N64" s="1058"/>
      <c r="O64" s="1058"/>
    </row>
    <row r="65" spans="1:17" s="865" customFormat="1">
      <c r="A65" s="997" t="s">
        <v>1506</v>
      </c>
      <c r="B65" s="161" t="e">
        <f t="shared" si="17"/>
        <v>#DIV/0!</v>
      </c>
      <c r="C65" s="592">
        <f t="shared" si="16"/>
        <v>0</v>
      </c>
      <c r="D65" s="998">
        <v>0.25</v>
      </c>
      <c r="E65" s="160">
        <f>'数据-汇总表'!E15</f>
        <v>0</v>
      </c>
      <c r="F65" s="1212" t="e">
        <f t="shared" si="15"/>
        <v>#DIV/0!</v>
      </c>
      <c r="G65" s="1003" t="s">
        <v>1500</v>
      </c>
      <c r="H65" s="1004">
        <f>项目基本情况!C37</f>
        <v>0</v>
      </c>
      <c r="I65" s="1223">
        <f>SUMIF(修正!A45:A56,H65,修正!H45:H56)</f>
        <v>0</v>
      </c>
      <c r="J65" s="1224"/>
      <c r="K65" s="977"/>
      <c r="L65" s="1058"/>
      <c r="M65" s="1058"/>
      <c r="N65" s="1058"/>
      <c r="O65" s="1058"/>
    </row>
    <row r="66" spans="1:17" s="865" customFormat="1" ht="12.75">
      <c r="A66" s="1005" t="s">
        <v>1507</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1403</v>
      </c>
      <c r="B69" s="1012"/>
      <c r="C69" s="1013"/>
      <c r="D69" s="1013"/>
      <c r="E69" s="1013"/>
      <c r="F69" s="1014"/>
      <c r="G69" s="1014"/>
      <c r="H69" s="1013"/>
      <c r="I69" s="1013"/>
      <c r="J69" s="1062"/>
      <c r="K69" s="1225"/>
      <c r="L69" s="1226"/>
      <c r="M69" s="1062"/>
      <c r="N69" s="1062"/>
      <c r="O69" s="1062"/>
      <c r="P69" s="1063"/>
      <c r="Q69" s="1075"/>
    </row>
    <row r="70" spans="1:17" s="866" customFormat="1" ht="15">
      <c r="A70" s="1084" t="s">
        <v>1508</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1509</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1404</v>
      </c>
      <c r="B72" s="1091"/>
      <c r="C72" s="1092"/>
      <c r="D72" s="1093"/>
      <c r="E72" s="1093"/>
      <c r="F72" s="1093"/>
      <c r="G72" s="1093"/>
      <c r="H72" s="1093"/>
      <c r="I72" s="1093"/>
      <c r="J72" s="1093"/>
      <c r="K72" s="1093"/>
      <c r="L72" s="1093"/>
      <c r="M72" s="1141"/>
      <c r="N72" s="1093"/>
      <c r="O72" s="1228"/>
      <c r="P72" s="1075"/>
      <c r="Q72" s="1075"/>
    </row>
    <row r="73" spans="1:17" s="861" customFormat="1" ht="15">
      <c r="A73" s="1094" t="s">
        <v>1359</v>
      </c>
      <c r="B73" s="1095"/>
      <c r="C73" s="1096" t="s">
        <v>1360</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1405</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1366</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1368</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1369</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671</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672</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661</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663</v>
      </c>
      <c r="C102" s="1129" t="s">
        <v>1413</v>
      </c>
      <c r="D102" s="1129" t="s">
        <v>1414</v>
      </c>
      <c r="E102" s="1129" t="s">
        <v>1415</v>
      </c>
      <c r="F102" s="1129" t="s">
        <v>1416</v>
      </c>
      <c r="G102" s="1129" t="s">
        <v>1417</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1510</v>
      </c>
      <c r="D104" s="1106" t="s">
        <v>1511</v>
      </c>
      <c r="E104" s="1106" t="s">
        <v>1512</v>
      </c>
      <c r="F104" s="1106" t="s">
        <v>1513</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668</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674</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1380</v>
      </c>
      <c r="B116" s="1101" t="s">
        <v>1477</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1478</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1479</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1480</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1481</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1474</v>
      </c>
      <c r="B1" s="871"/>
      <c r="C1" s="872" t="s">
        <v>1455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914</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72" t="s">
        <v>1514</v>
      </c>
      <c r="D6" s="3273"/>
      <c r="E6" s="3274" t="s">
        <v>1514</v>
      </c>
      <c r="F6" s="3275"/>
      <c r="G6" s="3272" t="s">
        <v>1514</v>
      </c>
      <c r="H6" s="3273"/>
      <c r="I6" s="3272" t="s">
        <v>1514</v>
      </c>
      <c r="J6" s="3273"/>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0" si="3">D8/F8</f>
        <v>#DIV/0!</v>
      </c>
      <c r="AB8" s="1079" t="e">
        <f t="shared" ref="AB8:AB40" si="4">D8/H8</f>
        <v>#DIV/0!</v>
      </c>
      <c r="AC8" s="1079" t="e">
        <f t="shared" ref="AC8:AC40" si="5">D8/J8</f>
        <v>#DIV/0!</v>
      </c>
    </row>
    <row r="9" spans="1:29" s="861" customFormat="1">
      <c r="A9" s="894" t="s">
        <v>1363</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16"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900"/>
      <c r="D10" s="901">
        <v>100</v>
      </c>
      <c r="E10" s="900"/>
      <c r="F10" s="901">
        <f>ROUND(100/'数据-取费表'!G16,0)</f>
        <v>130</v>
      </c>
      <c r="G10" s="900"/>
      <c r="H10" s="901">
        <f>ROUND(100/'数据-取费表'!G16,0)</f>
        <v>130</v>
      </c>
      <c r="I10" s="900"/>
      <c r="J10" s="901">
        <f>ROUND(100/'数据-取费表'!G16,0)</f>
        <v>130</v>
      </c>
      <c r="K10" s="1029"/>
      <c r="L10" s="1030"/>
      <c r="M10" s="1031"/>
      <c r="N10" s="1031"/>
      <c r="O10" s="1032"/>
      <c r="P10" s="3216"/>
      <c r="Q10" s="1069" t="str">
        <f t="shared" si="6"/>
        <v>土地使用年限（年）</v>
      </c>
      <c r="R10" s="1065" t="s">
        <v>1358</v>
      </c>
      <c r="S10" s="1066">
        <f t="shared" si="0"/>
        <v>130</v>
      </c>
      <c r="T10" s="1065" t="s">
        <v>1358</v>
      </c>
      <c r="U10" s="1066">
        <f t="shared" si="1"/>
        <v>130</v>
      </c>
      <c r="V10" s="1065" t="s">
        <v>1358</v>
      </c>
      <c r="W10" s="1066">
        <f t="shared" si="2"/>
        <v>130</v>
      </c>
      <c r="X10" s="1067"/>
      <c r="Y10" s="3045"/>
      <c r="Z10" s="1080" t="str">
        <f t="shared" si="7"/>
        <v>土地使用年限（年）</v>
      </c>
      <c r="AA10" s="1079">
        <f t="shared" si="3"/>
        <v>0.76923076923076927</v>
      </c>
      <c r="AB10" s="1079">
        <f t="shared" si="4"/>
        <v>0.76923076923076927</v>
      </c>
      <c r="AC10" s="1079">
        <f t="shared" si="5"/>
        <v>0.76923076923076927</v>
      </c>
    </row>
    <row r="11" spans="1:29" ht="15">
      <c r="A11" s="902"/>
      <c r="B11" s="899" t="s">
        <v>1368</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16"/>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16"/>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57">
      <c r="A15" s="916" t="s">
        <v>1369</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24" t="s">
        <v>1371</v>
      </c>
      <c r="Q15" s="647" t="str">
        <f t="shared" si="6"/>
        <v>产业集聚程度</v>
      </c>
      <c r="R15" s="1070" t="s">
        <v>1358</v>
      </c>
      <c r="S15" s="1071">
        <f t="shared" si="0"/>
        <v>100</v>
      </c>
      <c r="T15" s="1070" t="s">
        <v>1358</v>
      </c>
      <c r="U15" s="1071">
        <f t="shared" si="1"/>
        <v>100</v>
      </c>
      <c r="V15" s="1070" t="s">
        <v>1358</v>
      </c>
      <c r="W15" s="1071">
        <f t="shared" si="2"/>
        <v>100</v>
      </c>
      <c r="X15" s="1064"/>
      <c r="Y15" s="3224" t="s">
        <v>1371</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25"/>
      <c r="Q16" s="647"/>
      <c r="R16" s="1070"/>
      <c r="S16" s="1071"/>
      <c r="T16" s="1070"/>
      <c r="U16" s="1071"/>
      <c r="V16" s="1070"/>
      <c r="W16" s="1071"/>
      <c r="X16" s="1064"/>
      <c r="Y16" s="3225"/>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25"/>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25"/>
      <c r="Q18" s="647"/>
      <c r="R18" s="1070"/>
      <c r="S18" s="1071"/>
      <c r="T18" s="1070"/>
      <c r="U18" s="1071"/>
      <c r="V18" s="1070"/>
      <c r="W18" s="1071"/>
      <c r="X18" s="1064"/>
      <c r="Y18" s="3225"/>
      <c r="Z18" s="1056"/>
      <c r="AA18" s="1081">
        <v>1</v>
      </c>
      <c r="AB18" s="1081">
        <v>1</v>
      </c>
      <c r="AC18" s="1081">
        <v>1</v>
      </c>
    </row>
    <row r="19" spans="1:29" ht="15">
      <c r="A19" s="902"/>
      <c r="B19" s="926" t="s">
        <v>671</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25"/>
      <c r="Q19" s="647" t="str">
        <f t="shared" ref="Q19:Q34" si="8">B19</f>
        <v>区域土地利用方向</v>
      </c>
      <c r="R19" s="1070" t="s">
        <v>1358</v>
      </c>
      <c r="S19" s="1071">
        <f>F19</f>
        <v>100</v>
      </c>
      <c r="T19" s="1070" t="s">
        <v>1358</v>
      </c>
      <c r="U19" s="1071">
        <f>H19</f>
        <v>100</v>
      </c>
      <c r="V19" s="1070" t="s">
        <v>1358</v>
      </c>
      <c r="W19" s="1071">
        <f>J19</f>
        <v>100</v>
      </c>
      <c r="X19" s="1064"/>
      <c r="Y19" s="3225"/>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25"/>
      <c r="Q20" s="647"/>
      <c r="R20" s="1070"/>
      <c r="S20" s="1071"/>
      <c r="T20" s="1070"/>
      <c r="U20" s="1071"/>
      <c r="V20" s="1070"/>
      <c r="W20" s="1071"/>
      <c r="X20" s="1064"/>
      <c r="Y20" s="3225"/>
      <c r="Z20" s="1056"/>
      <c r="AA20" s="1081"/>
      <c r="AB20" s="1081"/>
      <c r="AC20" s="1081"/>
    </row>
    <row r="21" spans="1:29" ht="71.25">
      <c r="A21" s="882"/>
      <c r="B21" s="926" t="s">
        <v>665</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25"/>
      <c r="Q21" s="647" t="str">
        <f t="shared" si="8"/>
        <v>环境状况</v>
      </c>
      <c r="R21" s="1070" t="s">
        <v>1358</v>
      </c>
      <c r="S21" s="1071">
        <f>F21</f>
        <v>100</v>
      </c>
      <c r="T21" s="1070" t="s">
        <v>1358</v>
      </c>
      <c r="U21" s="1071">
        <f>H21</f>
        <v>100</v>
      </c>
      <c r="V21" s="1070" t="s">
        <v>1358</v>
      </c>
      <c r="W21" s="1071">
        <f>J21</f>
        <v>100</v>
      </c>
      <c r="X21" s="1064"/>
      <c r="Y21" s="3225"/>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25"/>
      <c r="Q22" s="647"/>
      <c r="R22" s="1070"/>
      <c r="S22" s="1071"/>
      <c r="T22" s="1070"/>
      <c r="U22" s="1071"/>
      <c r="V22" s="1070"/>
      <c r="W22" s="1071"/>
      <c r="X22" s="1064"/>
      <c r="Y22" s="3225"/>
      <c r="Z22" s="1056"/>
      <c r="AA22" s="1081">
        <v>1</v>
      </c>
      <c r="AB22" s="1081">
        <v>1</v>
      </c>
      <c r="AC22" s="1081">
        <v>1</v>
      </c>
    </row>
    <row r="23" spans="1:29" s="861" customFormat="1" ht="42.75">
      <c r="A23" s="932"/>
      <c r="B23" s="933" t="s">
        <v>661</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25"/>
      <c r="Q23" s="1069" t="str">
        <f t="shared" si="8"/>
        <v>公共配套设施</v>
      </c>
      <c r="R23" s="1065" t="s">
        <v>1358</v>
      </c>
      <c r="S23" s="1066">
        <f>F23</f>
        <v>100</v>
      </c>
      <c r="T23" s="1065" t="s">
        <v>1358</v>
      </c>
      <c r="U23" s="1066">
        <f>H23</f>
        <v>100</v>
      </c>
      <c r="V23" s="1065" t="s">
        <v>1358</v>
      </c>
      <c r="W23" s="1066">
        <f>J23</f>
        <v>100</v>
      </c>
      <c r="X23" s="1067"/>
      <c r="Y23" s="3225"/>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25"/>
      <c r="Q24" s="1069"/>
      <c r="R24" s="1065"/>
      <c r="S24" s="1066"/>
      <c r="T24" s="1065"/>
      <c r="U24" s="1066"/>
      <c r="V24" s="1065"/>
      <c r="W24" s="1066"/>
      <c r="X24" s="1067"/>
      <c r="Y24" s="3225"/>
      <c r="Z24" s="1080"/>
      <c r="AA24" s="1079">
        <v>1</v>
      </c>
      <c r="AB24" s="1079">
        <v>1</v>
      </c>
      <c r="AC24" s="1079">
        <v>1</v>
      </c>
    </row>
    <row r="25" spans="1:29" s="861" customFormat="1" ht="28.5">
      <c r="A25" s="932"/>
      <c r="B25" s="933" t="s">
        <v>663</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25"/>
      <c r="Q25" s="1069" t="str">
        <f t="shared" ref="Q25" si="9">B25</f>
        <v>基础设施水平</v>
      </c>
      <c r="R25" s="1065" t="s">
        <v>1358</v>
      </c>
      <c r="S25" s="1066">
        <f>F25</f>
        <v>100</v>
      </c>
      <c r="T25" s="1065" t="s">
        <v>1358</v>
      </c>
      <c r="U25" s="1066">
        <f>H25</f>
        <v>100</v>
      </c>
      <c r="V25" s="1065" t="s">
        <v>1358</v>
      </c>
      <c r="W25" s="1066">
        <f>J25</f>
        <v>100</v>
      </c>
      <c r="X25" s="1067"/>
      <c r="Y25" s="3225"/>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25"/>
      <c r="Q26" s="1069"/>
      <c r="R26" s="1065"/>
      <c r="S26" s="1066"/>
      <c r="T26" s="1065"/>
      <c r="U26" s="1066"/>
      <c r="V26" s="1065"/>
      <c r="W26" s="1066"/>
      <c r="X26" s="1067"/>
      <c r="Y26" s="3225"/>
      <c r="Z26" s="1080"/>
      <c r="AA26" s="1079">
        <v>1</v>
      </c>
      <c r="AB26" s="1079">
        <v>1</v>
      </c>
      <c r="AC26" s="1079">
        <v>1</v>
      </c>
    </row>
    <row r="27" spans="1:29" ht="15">
      <c r="A27" s="902"/>
      <c r="B27" s="930" t="s">
        <v>673</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25"/>
      <c r="Q27" s="647" t="str">
        <f t="shared" si="8"/>
        <v>临街状况</v>
      </c>
      <c r="R27" s="1070" t="s">
        <v>1358</v>
      </c>
      <c r="S27" s="1071">
        <f t="shared" ref="S27:S40" si="10">F27</f>
        <v>100</v>
      </c>
      <c r="T27" s="1070" t="s">
        <v>1358</v>
      </c>
      <c r="U27" s="1071">
        <f t="shared" ref="U27:U40" si="11">H27</f>
        <v>100</v>
      </c>
      <c r="V27" s="1070" t="s">
        <v>1358</v>
      </c>
      <c r="W27" s="1071">
        <f t="shared" ref="W27:W40" si="12">J27</f>
        <v>100</v>
      </c>
      <c r="X27" s="1064"/>
      <c r="Y27" s="3225"/>
      <c r="Z27" s="1056" t="str">
        <f t="shared" ref="Z27:Z40" si="13">Q27</f>
        <v>临街状况</v>
      </c>
      <c r="AA27" s="1081">
        <f t="shared" si="3"/>
        <v>1</v>
      </c>
      <c r="AB27" s="1081">
        <f t="shared" si="4"/>
        <v>1</v>
      </c>
      <c r="AC27" s="1081">
        <f t="shared" si="5"/>
        <v>1</v>
      </c>
    </row>
    <row r="28" spans="1:29" ht="27">
      <c r="A28" s="902"/>
      <c r="B28" s="933" t="s">
        <v>668</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25"/>
      <c r="Q28" s="647" t="str">
        <f t="shared" si="8"/>
        <v>毗邻道路的类型与等级</v>
      </c>
      <c r="R28" s="1070" t="s">
        <v>1358</v>
      </c>
      <c r="S28" s="1071">
        <f t="shared" si="10"/>
        <v>100</v>
      </c>
      <c r="T28" s="1070" t="s">
        <v>1358</v>
      </c>
      <c r="U28" s="1071">
        <f t="shared" si="11"/>
        <v>100</v>
      </c>
      <c r="V28" s="1070" t="s">
        <v>1358</v>
      </c>
      <c r="W28" s="1071">
        <f t="shared" si="12"/>
        <v>100</v>
      </c>
      <c r="X28" s="1064"/>
      <c r="Y28" s="3225"/>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25"/>
      <c r="Q29" s="647"/>
      <c r="R29" s="1070"/>
      <c r="S29" s="1071"/>
      <c r="T29" s="1070"/>
      <c r="U29" s="1071"/>
      <c r="V29" s="1070"/>
      <c r="W29" s="1071"/>
      <c r="X29" s="1064"/>
      <c r="Y29" s="3225"/>
      <c r="Z29" s="1056"/>
      <c r="AA29" s="1081">
        <v>1</v>
      </c>
      <c r="AB29" s="1081">
        <v>1</v>
      </c>
      <c r="AC29" s="1081">
        <v>1</v>
      </c>
    </row>
    <row r="30" spans="1:29" ht="15">
      <c r="A30" s="902"/>
      <c r="B30" s="939" t="s">
        <v>674</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25"/>
      <c r="Q30" s="647" t="str">
        <f t="shared" si="8"/>
        <v>土地级别</v>
      </c>
      <c r="R30" s="1070" t="s">
        <v>1358</v>
      </c>
      <c r="S30" s="1071">
        <f t="shared" si="10"/>
        <v>100</v>
      </c>
      <c r="T30" s="1070" t="s">
        <v>1358</v>
      </c>
      <c r="U30" s="1071">
        <f t="shared" si="11"/>
        <v>100</v>
      </c>
      <c r="V30" s="1070" t="s">
        <v>1358</v>
      </c>
      <c r="W30" s="1071">
        <f t="shared" si="12"/>
        <v>100</v>
      </c>
      <c r="X30" s="1064"/>
      <c r="Y30" s="3225"/>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25"/>
      <c r="Q31" s="647">
        <f t="shared" si="8"/>
        <v>111</v>
      </c>
      <c r="R31" s="1070" t="s">
        <v>1358</v>
      </c>
      <c r="S31" s="1071">
        <f t="shared" si="10"/>
        <v>100</v>
      </c>
      <c r="T31" s="1070" t="s">
        <v>1358</v>
      </c>
      <c r="U31" s="1071">
        <f t="shared" si="11"/>
        <v>100</v>
      </c>
      <c r="V31" s="1070" t="s">
        <v>1358</v>
      </c>
      <c r="W31" s="1071">
        <f t="shared" si="12"/>
        <v>100</v>
      </c>
      <c r="X31" s="1064"/>
      <c r="Y31" s="3225"/>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67" t="s">
        <v>1383</v>
      </c>
      <c r="Q32" s="647">
        <f t="shared" si="8"/>
        <v>111</v>
      </c>
      <c r="R32" s="1070" t="s">
        <v>1358</v>
      </c>
      <c r="S32" s="1071">
        <f t="shared" si="10"/>
        <v>100</v>
      </c>
      <c r="T32" s="1070" t="s">
        <v>1358</v>
      </c>
      <c r="U32" s="1071">
        <f t="shared" si="11"/>
        <v>100</v>
      </c>
      <c r="V32" s="1070" t="s">
        <v>1358</v>
      </c>
      <c r="W32" s="1071">
        <f t="shared" si="12"/>
        <v>100</v>
      </c>
      <c r="X32" s="1064"/>
      <c r="Y32" s="3226" t="s">
        <v>1383</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26"/>
      <c r="Q33" s="647">
        <f t="shared" si="8"/>
        <v>111</v>
      </c>
      <c r="R33" s="1072" t="s">
        <v>1358</v>
      </c>
      <c r="S33" s="1073">
        <f t="shared" si="10"/>
        <v>100</v>
      </c>
      <c r="T33" s="1072" t="s">
        <v>1358</v>
      </c>
      <c r="U33" s="1073">
        <f t="shared" si="11"/>
        <v>100</v>
      </c>
      <c r="V33" s="1072" t="s">
        <v>1358</v>
      </c>
      <c r="W33" s="1073">
        <f t="shared" si="12"/>
        <v>100</v>
      </c>
      <c r="X33" s="1074"/>
      <c r="Y33" s="3226"/>
      <c r="Z33" s="1082">
        <f t="shared" si="13"/>
        <v>111</v>
      </c>
      <c r="AA33" s="1081">
        <f t="shared" si="3"/>
        <v>1</v>
      </c>
      <c r="AB33" s="1081">
        <f t="shared" si="4"/>
        <v>1</v>
      </c>
      <c r="AC33" s="1081">
        <f t="shared" si="5"/>
        <v>1</v>
      </c>
    </row>
    <row r="34" spans="1:29" ht="15">
      <c r="A34" s="916" t="s">
        <v>1380</v>
      </c>
      <c r="B34" s="950" t="s">
        <v>1477</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26"/>
      <c r="Q34" s="647" t="str">
        <f t="shared" si="8"/>
        <v>宗地面积</v>
      </c>
      <c r="R34" s="1070" t="s">
        <v>1358</v>
      </c>
      <c r="S34" s="1071" t="e">
        <f t="shared" si="10"/>
        <v>#N/A</v>
      </c>
      <c r="T34" s="1070" t="s">
        <v>1358</v>
      </c>
      <c r="U34" s="1071" t="e">
        <f t="shared" si="11"/>
        <v>#N/A</v>
      </c>
      <c r="V34" s="1070" t="s">
        <v>1358</v>
      </c>
      <c r="W34" s="1071" t="e">
        <f t="shared" si="12"/>
        <v>#N/A</v>
      </c>
      <c r="X34" s="1064"/>
      <c r="Y34" s="3226"/>
      <c r="Z34" s="1056" t="str">
        <f t="shared" si="13"/>
        <v>宗地面积</v>
      </c>
      <c r="AA34" s="1081" t="e">
        <f t="shared" si="3"/>
        <v>#N/A</v>
      </c>
      <c r="AB34" s="1081" t="e">
        <f t="shared" si="4"/>
        <v>#N/A</v>
      </c>
      <c r="AC34" s="1081" t="e">
        <f t="shared" si="5"/>
        <v>#N/A</v>
      </c>
    </row>
    <row r="35" spans="1:29" ht="15">
      <c r="A35" s="953"/>
      <c r="B35" s="899" t="s">
        <v>1478</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26"/>
      <c r="Q35" s="647" t="str">
        <f t="shared" ref="Q35:Q40" si="14">B35</f>
        <v>宗地形状</v>
      </c>
      <c r="R35" s="1070" t="s">
        <v>1358</v>
      </c>
      <c r="S35" s="1071">
        <f t="shared" si="10"/>
        <v>100</v>
      </c>
      <c r="T35" s="1070" t="s">
        <v>1358</v>
      </c>
      <c r="U35" s="1071">
        <f t="shared" si="11"/>
        <v>100</v>
      </c>
      <c r="V35" s="1070" t="s">
        <v>1358</v>
      </c>
      <c r="W35" s="1071">
        <f t="shared" si="12"/>
        <v>100</v>
      </c>
      <c r="X35" s="1064"/>
      <c r="Y35" s="3226"/>
      <c r="Z35" s="1056" t="str">
        <f t="shared" si="13"/>
        <v>宗地形状</v>
      </c>
      <c r="AA35" s="1081">
        <f t="shared" si="3"/>
        <v>1</v>
      </c>
      <c r="AB35" s="1081">
        <f t="shared" si="4"/>
        <v>1</v>
      </c>
      <c r="AC35" s="1081">
        <f t="shared" si="5"/>
        <v>1</v>
      </c>
    </row>
    <row r="36" spans="1:29" s="861" customFormat="1" ht="15">
      <c r="A36" s="955"/>
      <c r="B36" s="899" t="s">
        <v>1480</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26"/>
      <c r="Q36" s="647" t="str">
        <f t="shared" si="14"/>
        <v>宗地开发程度</v>
      </c>
      <c r="R36" s="1065" t="s">
        <v>1358</v>
      </c>
      <c r="S36" s="1066">
        <f t="shared" si="10"/>
        <v>100</v>
      </c>
      <c r="T36" s="1065" t="s">
        <v>1358</v>
      </c>
      <c r="U36" s="1066">
        <f t="shared" si="11"/>
        <v>100</v>
      </c>
      <c r="V36" s="1065" t="s">
        <v>1358</v>
      </c>
      <c r="W36" s="1066">
        <f t="shared" si="12"/>
        <v>100</v>
      </c>
      <c r="X36" s="1067"/>
      <c r="Y36" s="3226"/>
      <c r="Z36" s="1080" t="str">
        <f t="shared" si="13"/>
        <v>宗地开发程度</v>
      </c>
      <c r="AA36" s="1079">
        <f t="shared" si="3"/>
        <v>1</v>
      </c>
      <c r="AB36" s="1079">
        <f t="shared" si="4"/>
        <v>1</v>
      </c>
      <c r="AC36" s="1079">
        <f t="shared" si="5"/>
        <v>1</v>
      </c>
    </row>
    <row r="37" spans="1:29" ht="15">
      <c r="A37" s="953"/>
      <c r="B37" s="899" t="s">
        <v>1481</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26" t="s">
        <v>1383</v>
      </c>
      <c r="Q37" s="647" t="str">
        <f t="shared" si="14"/>
        <v>工程地质条件</v>
      </c>
      <c r="R37" s="1070" t="s">
        <v>1358</v>
      </c>
      <c r="S37" s="1071">
        <f t="shared" si="10"/>
        <v>100</v>
      </c>
      <c r="T37" s="1070" t="s">
        <v>1358</v>
      </c>
      <c r="U37" s="1071">
        <f t="shared" si="11"/>
        <v>100</v>
      </c>
      <c r="V37" s="1070" t="s">
        <v>1358</v>
      </c>
      <c r="W37" s="1071">
        <f t="shared" si="12"/>
        <v>100</v>
      </c>
      <c r="X37" s="1064"/>
      <c r="Y37" s="3226" t="s">
        <v>1383</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26"/>
      <c r="Q38" s="647">
        <f t="shared" si="14"/>
        <v>111</v>
      </c>
      <c r="R38" s="1070" t="s">
        <v>1358</v>
      </c>
      <c r="S38" s="1071">
        <f t="shared" si="10"/>
        <v>100</v>
      </c>
      <c r="T38" s="1070" t="s">
        <v>1358</v>
      </c>
      <c r="U38" s="1071">
        <f t="shared" si="11"/>
        <v>100</v>
      </c>
      <c r="V38" s="1070" t="s">
        <v>1358</v>
      </c>
      <c r="W38" s="1071">
        <f t="shared" si="12"/>
        <v>100</v>
      </c>
      <c r="X38" s="1064"/>
      <c r="Y38" s="3226"/>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26"/>
      <c r="Q39" s="647">
        <f t="shared" si="14"/>
        <v>111</v>
      </c>
      <c r="R39" s="1070" t="s">
        <v>1358</v>
      </c>
      <c r="S39" s="1071">
        <f t="shared" si="10"/>
        <v>100</v>
      </c>
      <c r="T39" s="1070" t="s">
        <v>1358</v>
      </c>
      <c r="U39" s="1071">
        <f t="shared" si="11"/>
        <v>100</v>
      </c>
      <c r="V39" s="1070" t="s">
        <v>1358</v>
      </c>
      <c r="W39" s="1071">
        <f t="shared" si="12"/>
        <v>100</v>
      </c>
      <c r="X39" s="1064"/>
      <c r="Y39" s="3226"/>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26"/>
      <c r="Q40" s="647">
        <f t="shared" si="14"/>
        <v>111</v>
      </c>
      <c r="R40" s="1072" t="s">
        <v>1358</v>
      </c>
      <c r="S40" s="1073">
        <f t="shared" si="10"/>
        <v>100</v>
      </c>
      <c r="T40" s="1072" t="s">
        <v>1358</v>
      </c>
      <c r="U40" s="1073">
        <f t="shared" si="11"/>
        <v>100</v>
      </c>
      <c r="V40" s="1072" t="s">
        <v>1358</v>
      </c>
      <c r="W40" s="1073">
        <f t="shared" si="12"/>
        <v>100</v>
      </c>
      <c r="X40" s="1074"/>
      <c r="Y40" s="3226"/>
      <c r="Z40" s="1082">
        <f t="shared" si="13"/>
        <v>111</v>
      </c>
      <c r="AA40" s="1081">
        <f t="shared" si="3"/>
        <v>1</v>
      </c>
      <c r="AB40" s="1081">
        <f t="shared" si="4"/>
        <v>1</v>
      </c>
      <c r="AC40" s="1081">
        <f t="shared" si="5"/>
        <v>1</v>
      </c>
    </row>
    <row r="41" spans="1:29" ht="15">
      <c r="A41" s="960" t="s">
        <v>1467</v>
      </c>
      <c r="B41" s="961" t="s">
        <v>1515</v>
      </c>
      <c r="C41" s="962" t="s">
        <v>124</v>
      </c>
      <c r="D41" s="963"/>
      <c r="E41" s="964"/>
      <c r="F41" s="965"/>
      <c r="G41" s="966"/>
      <c r="H41" s="967"/>
      <c r="I41" s="964"/>
      <c r="J41" s="967"/>
      <c r="K41" s="1047"/>
      <c r="L41" s="1048"/>
      <c r="M41" s="1024"/>
      <c r="N41" s="1024"/>
      <c r="O41" s="977"/>
      <c r="P41" s="3216" t="str">
        <f>A41</f>
        <v>成交单价</v>
      </c>
      <c r="Q41" s="3216"/>
      <c r="R41" s="3246">
        <f>E41</f>
        <v>0</v>
      </c>
      <c r="S41" s="3246"/>
      <c r="T41" s="3246">
        <f>G41</f>
        <v>0</v>
      </c>
      <c r="U41" s="3246"/>
      <c r="V41" s="3246">
        <f>I41</f>
        <v>0</v>
      </c>
      <c r="W41" s="3246"/>
      <c r="X41" s="1012"/>
      <c r="Y41" s="1083"/>
      <c r="Z41" s="1012"/>
      <c r="AA41" s="1012"/>
      <c r="AB41" s="1012"/>
      <c r="AC41" s="1012"/>
    </row>
    <row r="42" spans="1:29" ht="15">
      <c r="A42" s="968" t="s">
        <v>1398</v>
      </c>
      <c r="B42" s="969"/>
      <c r="C42" s="970" t="e">
        <f>R43</f>
        <v>#DIV/0!</v>
      </c>
      <c r="D42" s="971"/>
      <c r="E42" s="970" t="e">
        <f>R42</f>
        <v>#DIV/0!</v>
      </c>
      <c r="F42" s="972"/>
      <c r="G42" s="973" t="e">
        <f>T42</f>
        <v>#DIV/0!</v>
      </c>
      <c r="H42" s="971"/>
      <c r="I42" s="970" t="e">
        <f>V42</f>
        <v>#DIV/0!</v>
      </c>
      <c r="J42" s="971"/>
      <c r="K42" s="1049"/>
      <c r="L42" s="1048"/>
      <c r="M42" s="1024"/>
      <c r="N42" s="1024"/>
      <c r="O42" s="977"/>
      <c r="P42" s="3216" t="str">
        <f>A42</f>
        <v>比较价值（元/平方米）</v>
      </c>
      <c r="Q42" s="3216"/>
      <c r="R42" s="3269" t="e">
        <f>ROUND(PRODUCT(R41,AA7:AA40),0)</f>
        <v>#DIV/0!</v>
      </c>
      <c r="S42" s="3269"/>
      <c r="T42" s="3269" t="e">
        <f>ROUND(PRODUCT(T41,AB7:AB40),0)</f>
        <v>#DIV/0!</v>
      </c>
      <c r="U42" s="3269"/>
      <c r="V42" s="3269" t="e">
        <f>ROUND(PRODUCT(V41,AC7:AC40),0)</f>
        <v>#DIV/0!</v>
      </c>
      <c r="W42" s="3269"/>
      <c r="X42" s="1012"/>
      <c r="Y42" s="1012"/>
      <c r="Z42" s="1012"/>
      <c r="AA42" s="1012"/>
      <c r="AB42" s="1012"/>
      <c r="AC42" s="1012"/>
    </row>
    <row r="43" spans="1:29" ht="15">
      <c r="A43" s="974" t="s">
        <v>1399</v>
      </c>
      <c r="B43" s="975"/>
      <c r="C43" s="976" t="e">
        <f>R43</f>
        <v>#DIV/0!</v>
      </c>
      <c r="D43" s="976"/>
      <c r="E43" s="976"/>
      <c r="F43" s="976"/>
      <c r="G43" s="976"/>
      <c r="H43" s="976"/>
      <c r="I43" s="976"/>
      <c r="J43" s="976"/>
      <c r="K43" s="1050"/>
      <c r="L43" s="1048"/>
      <c r="M43" s="1024"/>
      <c r="N43" s="1024"/>
      <c r="O43" s="977"/>
      <c r="P43" s="3228" t="str">
        <f>A43</f>
        <v>估价对象XX用房的比较价值（楼面单价，元/平方米）</v>
      </c>
      <c r="Q43" s="3229"/>
      <c r="R43" s="3270" t="e">
        <f>ROUND(AVERAGE(R42:V42),0)</f>
        <v>#DIV/0!</v>
      </c>
      <c r="S43" s="3270"/>
      <c r="T43" s="3270"/>
      <c r="U43" s="3270"/>
      <c r="V43" s="3270"/>
      <c r="W43" s="3270"/>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1484</v>
      </c>
      <c r="B50" s="987" t="s">
        <v>1485</v>
      </c>
      <c r="C50" s="988" t="s">
        <v>1486</v>
      </c>
      <c r="D50" s="989" t="s">
        <v>1487</v>
      </c>
      <c r="E50" s="990" t="s">
        <v>1488</v>
      </c>
      <c r="F50" s="991" t="s">
        <v>1489</v>
      </c>
      <c r="G50" s="3195" t="s">
        <v>1490</v>
      </c>
      <c r="H50" s="3271"/>
      <c r="I50" s="1056" t="s">
        <v>1516</v>
      </c>
      <c r="J50" s="1056">
        <f>项目基本情况!F35</f>
        <v>0</v>
      </c>
      <c r="K50" s="1057" t="s">
        <v>1492</v>
      </c>
      <c r="L50" s="1053"/>
      <c r="M50" s="977"/>
      <c r="N50" s="977"/>
      <c r="O50" s="977"/>
    </row>
    <row r="51" spans="1:17" s="865" customFormat="1">
      <c r="A51" s="992" t="s">
        <v>1493</v>
      </c>
      <c r="B51" s="993" t="e">
        <f>C43</f>
        <v>#DIV/0!</v>
      </c>
      <c r="C51" s="994">
        <v>1</v>
      </c>
      <c r="D51" s="995">
        <v>1</v>
      </c>
      <c r="E51" s="994">
        <f>'数据-汇总表'!E8+'数据-汇总表'!E9</f>
        <v>200.96</v>
      </c>
      <c r="F51" s="996" t="e">
        <f t="shared" ref="F51:F60" si="15">ROUND(B51*E51/10000,0)</f>
        <v>#DIV/0!</v>
      </c>
      <c r="G51" s="3218"/>
      <c r="H51" s="3216"/>
      <c r="I51" s="674">
        <v>1</v>
      </c>
      <c r="J51" s="674">
        <v>1</v>
      </c>
      <c r="K51" s="982"/>
      <c r="L51" s="1058"/>
      <c r="M51" s="1058"/>
      <c r="N51" s="1058"/>
      <c r="O51" s="1058"/>
    </row>
    <row r="52" spans="1:17" s="865" customFormat="1">
      <c r="A52" s="997" t="s">
        <v>1494</v>
      </c>
      <c r="B52" s="161" t="e">
        <f>ROUND($C$43*C52*D52,0)</f>
        <v>#DIV/0!</v>
      </c>
      <c r="C52" s="592">
        <f t="shared" ref="C52:C60" si="16">IF($C$50="北京市系数",I52,J52)</f>
        <v>0</v>
      </c>
      <c r="D52" s="998">
        <v>0.25</v>
      </c>
      <c r="E52" s="999"/>
      <c r="F52" s="996" t="e">
        <f t="shared" si="15"/>
        <v>#DIV/0!</v>
      </c>
      <c r="G52" s="3268" t="s">
        <v>1495</v>
      </c>
      <c r="H52" s="1001">
        <f>项目基本情况!B37</f>
        <v>0</v>
      </c>
      <c r="I52" s="674">
        <f>SUMIF(修正!A45:A56,H52,修正!B45:B56)</f>
        <v>0</v>
      </c>
      <c r="J52" s="1059"/>
      <c r="K52" s="977"/>
      <c r="L52" s="1058"/>
      <c r="M52" s="1058"/>
      <c r="N52" s="1058"/>
      <c r="O52" s="1058"/>
    </row>
    <row r="53" spans="1:17" s="865" customFormat="1">
      <c r="A53" s="997" t="s">
        <v>1496</v>
      </c>
      <c r="B53" s="161" t="e">
        <f t="shared" ref="B53:B60" si="17">ROUND($C$43*C53*D53,0)</f>
        <v>#DIV/0!</v>
      </c>
      <c r="C53" s="592">
        <f t="shared" si="16"/>
        <v>0</v>
      </c>
      <c r="D53" s="998">
        <v>0.25</v>
      </c>
      <c r="E53" s="999"/>
      <c r="F53" s="996" t="e">
        <f t="shared" si="15"/>
        <v>#DIV/0!</v>
      </c>
      <c r="G53" s="3268"/>
      <c r="H53" s="1001">
        <f>项目基本情况!B37</f>
        <v>0</v>
      </c>
      <c r="I53" s="674">
        <f>SUMIF(修正!A45:A56,H53,修正!C45:C56)</f>
        <v>0</v>
      </c>
      <c r="J53" s="1059"/>
      <c r="K53" s="982"/>
      <c r="L53" s="1058"/>
      <c r="M53" s="1058"/>
      <c r="N53" s="1058"/>
      <c r="O53" s="1058"/>
    </row>
    <row r="54" spans="1:17" s="865" customFormat="1">
      <c r="A54" s="997" t="s">
        <v>1497</v>
      </c>
      <c r="B54" s="161" t="e">
        <f t="shared" si="17"/>
        <v>#DIV/0!</v>
      </c>
      <c r="C54" s="592">
        <f t="shared" si="16"/>
        <v>0</v>
      </c>
      <c r="D54" s="998">
        <v>0.25</v>
      </c>
      <c r="E54" s="999"/>
      <c r="F54" s="996" t="e">
        <f t="shared" si="15"/>
        <v>#DIV/0!</v>
      </c>
      <c r="G54" s="3268"/>
      <c r="H54" s="1001">
        <f>项目基本情况!B37</f>
        <v>0</v>
      </c>
      <c r="I54" s="674">
        <f>SUMIF(修正!A45:A56,H54,修正!D45:D56)</f>
        <v>0</v>
      </c>
      <c r="J54" s="1059"/>
      <c r="K54" s="977"/>
      <c r="L54" s="1058"/>
      <c r="M54" s="1058"/>
      <c r="N54" s="1058"/>
      <c r="O54" s="1058"/>
    </row>
    <row r="55" spans="1:17" s="865" customFormat="1">
      <c r="A55" s="997" t="s">
        <v>1498</v>
      </c>
      <c r="B55" s="161" t="e">
        <f t="shared" si="17"/>
        <v>#DIV/0!</v>
      </c>
      <c r="C55" s="592">
        <f t="shared" si="16"/>
        <v>0</v>
      </c>
      <c r="D55" s="998">
        <v>0.25</v>
      </c>
      <c r="E55" s="999"/>
      <c r="F55" s="996" t="e">
        <f t="shared" si="15"/>
        <v>#DIV/0!</v>
      </c>
      <c r="G55" s="3268"/>
      <c r="H55" s="1001">
        <f>项目基本情况!B37</f>
        <v>0</v>
      </c>
      <c r="I55" s="674">
        <f>SUMIF(修正!A45:A56,H55,修正!E45:E56)</f>
        <v>0</v>
      </c>
      <c r="J55" s="1059"/>
      <c r="K55" s="982"/>
      <c r="L55" s="1058"/>
      <c r="M55" s="1058"/>
      <c r="N55" s="1058"/>
      <c r="O55" s="1058"/>
    </row>
    <row r="56" spans="1:17" s="865" customFormat="1">
      <c r="A56" s="997" t="s">
        <v>1499</v>
      </c>
      <c r="B56" s="161" t="e">
        <f t="shared" si="17"/>
        <v>#DIV/0!</v>
      </c>
      <c r="C56" s="592">
        <f t="shared" si="16"/>
        <v>0</v>
      </c>
      <c r="D56" s="998">
        <v>0.25</v>
      </c>
      <c r="E56" s="160">
        <f>'数据-汇总表'!E11</f>
        <v>0</v>
      </c>
      <c r="F56" s="996" t="e">
        <f t="shared" si="15"/>
        <v>#DIV/0!</v>
      </c>
      <c r="G56" s="1000" t="s">
        <v>1500</v>
      </c>
      <c r="H56" s="1001">
        <f>项目基本情况!C37</f>
        <v>0</v>
      </c>
      <c r="I56" s="674">
        <f>SUMIF(修正!A45:A56,H56,修正!F45:F56)</f>
        <v>0</v>
      </c>
      <c r="J56" s="1059"/>
      <c r="K56" s="977"/>
      <c r="L56" s="1058"/>
      <c r="M56" s="1058"/>
      <c r="N56" s="1058"/>
      <c r="O56" s="1058"/>
    </row>
    <row r="57" spans="1:17" s="865" customFormat="1">
      <c r="A57" s="997" t="s">
        <v>1501</v>
      </c>
      <c r="B57" s="161" t="e">
        <f t="shared" si="17"/>
        <v>#DIV/0!</v>
      </c>
      <c r="C57" s="592">
        <f t="shared" si="16"/>
        <v>0</v>
      </c>
      <c r="D57" s="998">
        <v>0.25</v>
      </c>
      <c r="E57" s="160">
        <f>'数据-汇总表'!E12</f>
        <v>0</v>
      </c>
      <c r="F57" s="996" t="e">
        <f t="shared" si="15"/>
        <v>#DIV/0!</v>
      </c>
      <c r="G57" s="1002" t="s">
        <v>1502</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1503</v>
      </c>
      <c r="B58" s="161" t="e">
        <f t="shared" si="17"/>
        <v>#DIV/0!</v>
      </c>
      <c r="C58" s="592">
        <f t="shared" si="16"/>
        <v>0</v>
      </c>
      <c r="D58" s="998">
        <v>0.25</v>
      </c>
      <c r="E58" s="160">
        <f>'数据-汇总表'!E13</f>
        <v>0</v>
      </c>
      <c r="F58" s="996" t="e">
        <f t="shared" si="15"/>
        <v>#DIV/0!</v>
      </c>
      <c r="G58" s="1002" t="s">
        <v>1504</v>
      </c>
      <c r="H58" s="1001">
        <f>IF(G58="商业",项目基本情况!B37,IF(G58="办公",项目基本情况!C37,IF(G58="住宅",项目基本情况!D37,项目基本情况!E37)))</f>
        <v>0</v>
      </c>
      <c r="I58" s="674">
        <f>SUMIF(修正!A45:A56,H58,修正!H45:H56)</f>
        <v>0</v>
      </c>
      <c r="J58" s="1059"/>
      <c r="K58" s="977"/>
      <c r="L58" s="1058"/>
      <c r="M58" s="1058"/>
      <c r="N58" s="1058"/>
      <c r="O58" s="1058"/>
    </row>
    <row r="59" spans="1:17" s="865" customFormat="1">
      <c r="A59" s="997" t="s">
        <v>1505</v>
      </c>
      <c r="B59" s="161" t="e">
        <f t="shared" si="17"/>
        <v>#DIV/0!</v>
      </c>
      <c r="C59" s="592">
        <f t="shared" si="16"/>
        <v>0</v>
      </c>
      <c r="D59" s="998">
        <v>0.25</v>
      </c>
      <c r="E59" s="160">
        <f>'数据-汇总表'!E14</f>
        <v>0</v>
      </c>
      <c r="F59" s="996" t="e">
        <f t="shared" si="15"/>
        <v>#DIV/0!</v>
      </c>
      <c r="G59" s="1000" t="s">
        <v>1495</v>
      </c>
      <c r="H59" s="1001">
        <f>项目基本情况!B37</f>
        <v>0</v>
      </c>
      <c r="I59" s="674">
        <f>SUMIF(修正!A45:A56,H59,修正!H45:H56)</f>
        <v>0</v>
      </c>
      <c r="J59" s="1059"/>
      <c r="K59" s="982"/>
      <c r="L59" s="1058"/>
      <c r="M59" s="1058"/>
      <c r="N59" s="1058"/>
      <c r="O59" s="1058"/>
    </row>
    <row r="60" spans="1:17" s="865" customFormat="1">
      <c r="A60" s="997" t="s">
        <v>1506</v>
      </c>
      <c r="B60" s="161" t="e">
        <f t="shared" si="17"/>
        <v>#DIV/0!</v>
      </c>
      <c r="C60" s="592">
        <f t="shared" si="16"/>
        <v>0</v>
      </c>
      <c r="D60" s="998">
        <v>0.25</v>
      </c>
      <c r="E60" s="160">
        <f>'数据-汇总表'!E15</f>
        <v>0</v>
      </c>
      <c r="F60" s="996" t="e">
        <f t="shared" si="15"/>
        <v>#DIV/0!</v>
      </c>
      <c r="G60" s="1003" t="s">
        <v>1500</v>
      </c>
      <c r="H60" s="1004">
        <f>项目基本情况!C37</f>
        <v>0</v>
      </c>
      <c r="I60" s="674">
        <f>SUMIF(修正!A45:A56,H60,修正!H45:H56)</f>
        <v>0</v>
      </c>
      <c r="J60" s="1059"/>
      <c r="K60" s="977"/>
      <c r="L60" s="1058"/>
      <c r="M60" s="1058"/>
      <c r="N60" s="1058"/>
      <c r="O60" s="1058"/>
    </row>
    <row r="61" spans="1:17" s="865" customFormat="1">
      <c r="A61" s="1005" t="s">
        <v>1507</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1403</v>
      </c>
      <c r="B64" s="1012"/>
      <c r="C64" s="1013"/>
      <c r="D64" s="1013"/>
      <c r="E64" s="1013"/>
      <c r="F64" s="1014"/>
      <c r="G64" s="1014"/>
      <c r="H64" s="1013"/>
      <c r="I64" s="1013"/>
      <c r="J64" s="1013"/>
      <c r="K64" s="1060"/>
      <c r="L64" s="1061"/>
      <c r="M64" s="1013"/>
      <c r="N64" s="1013"/>
      <c r="O64" s="1062"/>
      <c r="P64" s="1063"/>
      <c r="Q64" s="1075"/>
    </row>
    <row r="65" spans="1:17" s="866" customFormat="1" ht="15">
      <c r="A65" s="1084" t="s">
        <v>1508</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1404</v>
      </c>
      <c r="B67" s="1091"/>
      <c r="C67" s="1092"/>
      <c r="D67" s="1093"/>
      <c r="E67" s="1093"/>
      <c r="F67" s="1093"/>
      <c r="G67" s="1093"/>
      <c r="H67" s="1093"/>
      <c r="I67" s="1093"/>
      <c r="J67" s="1093"/>
      <c r="K67" s="1093"/>
      <c r="L67" s="1093"/>
      <c r="M67" s="1141"/>
      <c r="N67" s="1141"/>
      <c r="O67" s="1142"/>
      <c r="P67" s="1075"/>
      <c r="Q67" s="1075"/>
    </row>
    <row r="68" spans="1:17" s="861" customFormat="1" ht="15">
      <c r="A68" s="1094" t="s">
        <v>1359</v>
      </c>
      <c r="B68" s="1095"/>
      <c r="C68" s="1096" t="s">
        <v>1360</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1405</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1366</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1368</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1369</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671</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672</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661</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663</v>
      </c>
      <c r="C93" s="1129" t="s">
        <v>1413</v>
      </c>
      <c r="D93" s="1129" t="s">
        <v>1414</v>
      </c>
      <c r="E93" s="1129" t="s">
        <v>1415</v>
      </c>
      <c r="F93" s="1129" t="s">
        <v>1416</v>
      </c>
      <c r="G93" s="1129" t="s">
        <v>1417</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1510</v>
      </c>
      <c r="D95" s="1106" t="s">
        <v>1511</v>
      </c>
      <c r="E95" s="1106" t="s">
        <v>1512</v>
      </c>
      <c r="F95" s="1106" t="s">
        <v>1513</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668</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674</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1380</v>
      </c>
      <c r="B107" s="1101" t="s">
        <v>1477</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1478</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1480</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1481</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F36" sqref="F36"/>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1517</v>
      </c>
      <c r="B1" s="141"/>
      <c r="C1" s="144" t="s">
        <v>1344</v>
      </c>
      <c r="D1" s="558">
        <f>SUM(D29:D30,D33:D39)</f>
        <v>0</v>
      </c>
      <c r="E1" s="559"/>
      <c r="F1" s="559"/>
      <c r="G1" s="559"/>
      <c r="H1" s="559"/>
      <c r="I1" s="559"/>
      <c r="J1" s="559"/>
      <c r="K1" s="551"/>
      <c r="L1" s="724" t="s">
        <v>1518</v>
      </c>
      <c r="M1" s="725">
        <f>SUMPRODUCT((区片价!B5:B9=I2)*(区片价!C3:F3=E2)*(区片价!C5:F9))</f>
        <v>0</v>
      </c>
      <c r="N1" s="726">
        <f>SUMPRODUCT((因素修正幅度!B5:B9=I2)*(因素修正幅度!C3:F3=E2)*(因素修正幅度!C5:F9))</f>
        <v>0</v>
      </c>
      <c r="O1" s="552"/>
      <c r="P1" s="552"/>
      <c r="Q1" s="551"/>
      <c r="R1" s="800" t="s">
        <v>1519</v>
      </c>
      <c r="S1" s="800" t="s">
        <v>1520</v>
      </c>
      <c r="T1" s="800" t="s">
        <v>1521</v>
      </c>
      <c r="U1" s="800" t="s">
        <v>1522</v>
      </c>
      <c r="V1" s="800" t="s">
        <v>1523</v>
      </c>
      <c r="W1" s="801"/>
      <c r="X1" s="801"/>
      <c r="Y1" s="801"/>
      <c r="Z1" s="801"/>
      <c r="AA1" s="801"/>
      <c r="AB1" s="801"/>
      <c r="AC1" s="809"/>
      <c r="AD1" s="810"/>
      <c r="AE1" s="810"/>
      <c r="AF1" s="810"/>
      <c r="AG1" s="810"/>
      <c r="AH1" s="810"/>
      <c r="AI1" s="810"/>
      <c r="AJ1" s="821"/>
    </row>
    <row r="2" spans="1:36" ht="15.75">
      <c r="A2" s="144" t="s">
        <v>914</v>
      </c>
      <c r="B2" s="148" t="e">
        <f>C26</f>
        <v>#DIV/0!</v>
      </c>
      <c r="C2" s="560" t="s">
        <v>915</v>
      </c>
      <c r="D2" s="561" t="s">
        <v>1524</v>
      </c>
      <c r="E2" s="562"/>
      <c r="F2" s="561" t="s">
        <v>1525</v>
      </c>
      <c r="G2" s="563">
        <f>IF(E2="商业",项目基本情况!B37,IF(E2="办公",项目基本情况!C37,IF(E2="住宅",项目基本情况!D37,项目基本情况!E37)))</f>
        <v>0</v>
      </c>
      <c r="H2" s="561" t="s">
        <v>1526</v>
      </c>
      <c r="I2" s="563">
        <f>IF(E2="商业",项目基本情况!B38,IF(E2="办公",项目基本情况!C38,IF(E2="住宅",项目基本情况!D38,项目基本情况!E38)))</f>
        <v>0</v>
      </c>
      <c r="J2" s="727"/>
      <c r="K2" s="551"/>
      <c r="L2" s="728" t="s">
        <v>1527</v>
      </c>
      <c r="M2" s="729">
        <f>SUMPRODUCT((区片价!B10:B28=I2)*(区片价!C3:F3=E2)*(区片价!C10:F28))</f>
        <v>0</v>
      </c>
      <c r="N2" s="726">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21"/>
    </row>
    <row r="3" spans="1:36" ht="15.75">
      <c r="A3" s="147" t="s">
        <v>916</v>
      </c>
      <c r="B3" s="148" t="e">
        <f>ROUND(B2*10000/D1,0)</f>
        <v>#DIV/0!</v>
      </c>
      <c r="C3" s="560" t="s">
        <v>917</v>
      </c>
      <c r="D3" s="561" t="s">
        <v>1528</v>
      </c>
      <c r="E3" s="564"/>
      <c r="F3" s="565" t="s">
        <v>1529</v>
      </c>
      <c r="G3" s="566" t="e">
        <f>IF(F3="宗地容积率",'数据-汇总表'!I4,IF(F3="估价对象容积率",'数据-汇总表'!I6,'数据-汇总表'!I7))</f>
        <v>#DIV/0!</v>
      </c>
      <c r="H3" s="567" t="s">
        <v>1530</v>
      </c>
      <c r="I3" s="730"/>
      <c r="J3" s="727" t="s">
        <v>1531</v>
      </c>
      <c r="K3" s="551"/>
      <c r="L3" s="728" t="s">
        <v>1532</v>
      </c>
      <c r="M3" s="729">
        <f>SUMPRODUCT((区片价!B29:B48=I2)*(区片价!C3:F3=E2)*(区片价!C29:F48))</f>
        <v>0</v>
      </c>
      <c r="N3" s="726">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21"/>
    </row>
    <row r="4" spans="1:36" ht="15.75">
      <c r="A4" s="3276"/>
      <c r="B4" s="3277"/>
      <c r="C4" s="3277"/>
      <c r="D4" s="3278"/>
      <c r="E4" s="3278"/>
      <c r="F4" s="3278"/>
      <c r="G4" s="3278"/>
      <c r="H4" s="3278"/>
      <c r="I4" s="3278"/>
      <c r="J4" s="3279"/>
      <c r="K4" s="551"/>
      <c r="L4" s="728" t="s">
        <v>1533</v>
      </c>
      <c r="M4" s="729">
        <f>SUMPRODUCT((区片价!B49:B75=I2)*(区片价!C3:F3=E2)*(区片价!C49:F75))</f>
        <v>0</v>
      </c>
      <c r="N4" s="726">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21"/>
    </row>
    <row r="5" spans="1:36" s="550" customFormat="1" ht="15">
      <c r="A5" s="568" t="s">
        <v>821</v>
      </c>
      <c r="B5" s="569" t="s">
        <v>1534</v>
      </c>
      <c r="C5" s="570" t="e">
        <f>ROUND(IF(E2="商业",IF(F16="增加",C6*C7+C16,C6*C7-C16),IF(E2="住宅",IF(F16="增加",C6*C12+C16,C6*C12-C16),IF(F16="增加",C6+C16,C6-C16))),0)</f>
        <v>#DIV/0!</v>
      </c>
      <c r="D5" s="571">
        <f>ROUND(IF(E2="商业",IF(F16="增加",C6+C16,C6-C16)),0)</f>
        <v>0</v>
      </c>
      <c r="E5" s="572"/>
      <c r="F5" s="572"/>
      <c r="G5" s="573"/>
      <c r="H5" s="573"/>
      <c r="I5" s="573"/>
      <c r="J5" s="731"/>
      <c r="K5" s="732"/>
      <c r="L5" s="728" t="s">
        <v>1535</v>
      </c>
      <c r="M5" s="729">
        <f>SUMPRODUCT((区片价!B76:B109=I2)*(区片价!C3:F3=E2)*(区片价!C76:F109))</f>
        <v>0</v>
      </c>
      <c r="N5" s="726">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2"/>
    </row>
    <row r="6" spans="1:36" ht="15">
      <c r="A6" s="574" t="s">
        <v>919</v>
      </c>
      <c r="B6" s="575" t="s">
        <v>1536</v>
      </c>
      <c r="C6" s="576">
        <f>SUMIF(L1:L12,G2,M1:M12)</f>
        <v>0</v>
      </c>
      <c r="D6" s="577" t="s">
        <v>1537</v>
      </c>
      <c r="E6" s="578"/>
      <c r="F6" s="578"/>
      <c r="G6" s="579"/>
      <c r="H6" s="579"/>
      <c r="I6" s="579"/>
      <c r="J6" s="733"/>
      <c r="K6" s="734"/>
      <c r="L6" s="728" t="s">
        <v>1538</v>
      </c>
      <c r="M6" s="729">
        <f>SUMPRODUCT((区片价!B110:B157=I2)*(区片价!C3:F3=E2)*(区片价!C110:F157))</f>
        <v>0</v>
      </c>
      <c r="N6" s="726">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2"/>
    </row>
    <row r="7" spans="1:36" ht="24">
      <c r="A7" s="3284" t="str">
        <f>IF(E2="商业",IF(C8="不临58条商业街","",2),"")</f>
        <v/>
      </c>
      <c r="B7" s="580" t="s">
        <v>1539</v>
      </c>
      <c r="C7" s="581" t="e">
        <f>IF(C8="不临58条商业街",1,ROUND(1+(1.6*E8+1.2*E9+0.8*E10+0.4*E11)*C9,4))</f>
        <v>#DIV/0!</v>
      </c>
      <c r="D7" s="582" t="s">
        <v>1540</v>
      </c>
      <c r="E7" s="583"/>
      <c r="F7" s="584"/>
      <c r="G7" s="585"/>
      <c r="H7" s="585"/>
      <c r="I7" s="585"/>
      <c r="J7" s="735"/>
      <c r="K7" s="734"/>
      <c r="L7" s="728" t="s">
        <v>1541</v>
      </c>
      <c r="M7" s="729">
        <f>SUMPRODUCT((区片价!B158:B205=I2)*(区片价!C3:F3=E2)*(区片价!C158:F205))</f>
        <v>0</v>
      </c>
      <c r="N7" s="726">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1542</v>
      </c>
      <c r="X7" s="804">
        <f>G2</f>
        <v>0</v>
      </c>
      <c r="Y7" s="804" t="s">
        <v>1543</v>
      </c>
      <c r="Z7" s="813" t="e">
        <f>G3</f>
        <v>#DIV/0!</v>
      </c>
      <c r="AA7" s="801"/>
      <c r="AB7" s="801"/>
      <c r="AC7" s="809"/>
      <c r="AD7" s="810"/>
      <c r="AE7" s="810"/>
      <c r="AF7" s="810"/>
      <c r="AG7" s="810"/>
      <c r="AH7" s="810"/>
      <c r="AI7" s="810"/>
      <c r="AJ7" s="821"/>
    </row>
    <row r="8" spans="1:36" ht="15">
      <c r="A8" s="3285"/>
      <c r="B8" s="567" t="s">
        <v>1544</v>
      </c>
      <c r="C8" s="586"/>
      <c r="D8" s="587" t="s">
        <v>1545</v>
      </c>
      <c r="E8" s="588" t="e">
        <f>ROUND(C11/E7,4)</f>
        <v>#DIV/0!</v>
      </c>
      <c r="F8" s="589" t="s">
        <v>1546</v>
      </c>
      <c r="G8" s="590"/>
      <c r="H8" s="590"/>
      <c r="I8" s="590"/>
      <c r="J8" s="736"/>
      <c r="K8" s="551"/>
      <c r="L8" s="728" t="s">
        <v>1547</v>
      </c>
      <c r="M8" s="729">
        <f>SUMPRODUCT((区片价!B206:B244=I2)*(区片价!C3:F3=E2)*(区片价!C206:F244))</f>
        <v>0</v>
      </c>
      <c r="N8" s="726">
        <f>SUMPRODUCT((因素修正幅度!B206:B244=I2)*(因素修正幅度!C3:F3=E2)*(因素修正幅度!C206:F244))</f>
        <v>0</v>
      </c>
      <c r="O8" s="551"/>
      <c r="P8" s="551"/>
      <c r="Q8" s="551"/>
      <c r="R8" s="800">
        <v>7</v>
      </c>
      <c r="S8" s="802"/>
      <c r="T8" s="800" t="e">
        <f t="shared" si="0"/>
        <v>#DIV/0!</v>
      </c>
      <c r="U8" s="802"/>
      <c r="V8" s="800" t="e">
        <f t="shared" si="1"/>
        <v>#DIV/0!</v>
      </c>
      <c r="W8" s="3280" t="s">
        <v>1548</v>
      </c>
      <c r="X8" s="3281"/>
      <c r="Y8" s="814" t="s">
        <v>1549</v>
      </c>
      <c r="Z8" s="814" t="s">
        <v>1550</v>
      </c>
      <c r="AA8" s="814" t="s">
        <v>1551</v>
      </c>
      <c r="AB8" s="814" t="s">
        <v>1552</v>
      </c>
      <c r="AC8" s="814" t="s">
        <v>1553</v>
      </c>
      <c r="AD8" s="814" t="s">
        <v>1554</v>
      </c>
      <c r="AE8" s="814" t="s">
        <v>1555</v>
      </c>
      <c r="AF8" s="814" t="s">
        <v>1556</v>
      </c>
      <c r="AG8" s="814" t="s">
        <v>1557</v>
      </c>
      <c r="AH8" s="814" t="s">
        <v>1558</v>
      </c>
      <c r="AI8" s="814" t="s">
        <v>1559</v>
      </c>
      <c r="AJ8" s="814" t="s">
        <v>1560</v>
      </c>
    </row>
    <row r="9" spans="1:36" ht="15">
      <c r="A9" s="3285"/>
      <c r="B9" s="567" t="s">
        <v>1561</v>
      </c>
      <c r="C9" s="591">
        <f>SUMIF(修正!C59:C119,C8,修正!E59:E119)</f>
        <v>0</v>
      </c>
      <c r="D9" s="592" t="s">
        <v>1562</v>
      </c>
      <c r="E9" s="592" t="e">
        <f>ROUND(C11/E7,4)</f>
        <v>#DIV/0!</v>
      </c>
      <c r="F9" s="589" t="s">
        <v>1563</v>
      </c>
      <c r="G9" s="590"/>
      <c r="H9" s="590"/>
      <c r="I9" s="590"/>
      <c r="J9" s="736"/>
      <c r="K9" s="551"/>
      <c r="L9" s="728" t="s">
        <v>1564</v>
      </c>
      <c r="M9" s="729">
        <f>SUMPRODUCT((区片价!B245:B289=I2)*(区片价!C3:F3=E2)*(区片价!C245:F289))</f>
        <v>0</v>
      </c>
      <c r="N9" s="726">
        <f>SUMPRODUCT((因素修正幅度!B245:B289=I2)*(因素修正幅度!C3:F3=E2)*(因素修正幅度!C245:F289))</f>
        <v>0</v>
      </c>
      <c r="O9" s="551"/>
      <c r="P9" s="551"/>
      <c r="Q9" s="551"/>
      <c r="R9" s="800">
        <v>8</v>
      </c>
      <c r="S9" s="802"/>
      <c r="T9" s="800" t="e">
        <f t="shared" si="0"/>
        <v>#DIV/0!</v>
      </c>
      <c r="U9" s="802"/>
      <c r="V9" s="800" t="e">
        <f t="shared" si="1"/>
        <v>#DIV/0!</v>
      </c>
      <c r="W9" s="3295" t="s">
        <v>1565</v>
      </c>
      <c r="X9" s="805" t="s">
        <v>1566</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285"/>
      <c r="B10" s="567" t="s">
        <v>1567</v>
      </c>
      <c r="C10" s="592">
        <f>SUMIF(修正!C59:C119,C8,修正!F59:F119)</f>
        <v>0</v>
      </c>
      <c r="D10" s="592" t="s">
        <v>1568</v>
      </c>
      <c r="E10" s="592" t="e">
        <f>ROUND(C11/E7,4)</f>
        <v>#DIV/0!</v>
      </c>
      <c r="F10" s="589" t="s">
        <v>1569</v>
      </c>
      <c r="G10" s="590"/>
      <c r="H10" s="590"/>
      <c r="I10" s="590"/>
      <c r="J10" s="736"/>
      <c r="K10" s="551"/>
      <c r="L10" s="728" t="s">
        <v>1570</v>
      </c>
      <c r="M10" s="729">
        <f>SUMPRODUCT((区片价!B290:B316=I2)*(区片价!C3:F3=E2)*(区片价!C290:F316))</f>
        <v>0</v>
      </c>
      <c r="N10" s="726">
        <f>SUMPRODUCT((因素修正幅度!B290:B316=I2)*(因素修正幅度!C3:F3=E2)*(因素修正幅度!C290:F316))</f>
        <v>0</v>
      </c>
      <c r="O10" s="551"/>
      <c r="P10" s="551"/>
      <c r="Q10" s="551"/>
      <c r="R10" s="800">
        <v>9</v>
      </c>
      <c r="S10" s="802"/>
      <c r="T10" s="800" t="e">
        <f t="shared" si="0"/>
        <v>#DIV/0!</v>
      </c>
      <c r="U10" s="802"/>
      <c r="V10" s="800" t="e">
        <f t="shared" si="1"/>
        <v>#DIV/0!</v>
      </c>
      <c r="W10" s="3295"/>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285"/>
      <c r="B11" s="593" t="s">
        <v>1571</v>
      </c>
      <c r="C11" s="594">
        <f>C10/4</f>
        <v>0</v>
      </c>
      <c r="D11" s="594" t="s">
        <v>1572</v>
      </c>
      <c r="E11" s="594" t="e">
        <f>ROUND(C11/E7,4)</f>
        <v>#DIV/0!</v>
      </c>
      <c r="F11" s="595" t="s">
        <v>1573</v>
      </c>
      <c r="G11" s="596"/>
      <c r="H11" s="596"/>
      <c r="I11" s="596"/>
      <c r="J11" s="737"/>
      <c r="K11" s="551"/>
      <c r="L11" s="728" t="s">
        <v>1574</v>
      </c>
      <c r="M11" s="729">
        <f>SUMPRODUCT((区片价!B317:B337=I2)*(区片价!C3:F3=E2)*(区片价!C317:F337))</f>
        <v>0</v>
      </c>
      <c r="N11" s="726">
        <f>SUMPRODUCT((因素修正幅度!B317:B337=I2)*(因素修正幅度!C3:F3=E2)*(因素修正幅度!C317:F337))</f>
        <v>0</v>
      </c>
      <c r="O11" s="551"/>
      <c r="P11" s="551"/>
      <c r="Q11" s="551"/>
      <c r="R11" s="800">
        <v>10</v>
      </c>
      <c r="S11" s="802"/>
      <c r="T11" s="800" t="e">
        <f t="shared" si="0"/>
        <v>#DIV/0!</v>
      </c>
      <c r="U11" s="802"/>
      <c r="V11" s="800" t="e">
        <f t="shared" si="1"/>
        <v>#DIV/0!</v>
      </c>
      <c r="W11" s="3295" t="s">
        <v>1575</v>
      </c>
      <c r="X11" s="806" t="s">
        <v>1543</v>
      </c>
      <c r="Y11" s="818" t="e">
        <f>$G$3</f>
        <v>#DIV/0!</v>
      </c>
      <c r="Z11" s="818" t="e">
        <f t="shared" ref="Z11:AJ11" si="3">$G$3</f>
        <v>#DIV/0!</v>
      </c>
      <c r="AA11" s="818" t="e">
        <f t="shared" si="3"/>
        <v>#DIV/0!</v>
      </c>
      <c r="AB11" s="818" t="e">
        <f t="shared" si="3"/>
        <v>#DIV/0!</v>
      </c>
      <c r="AC11" s="818" t="e">
        <f t="shared" si="3"/>
        <v>#DIV/0!</v>
      </c>
      <c r="AD11" s="818" t="e">
        <f t="shared" si="3"/>
        <v>#DIV/0!</v>
      </c>
      <c r="AE11" s="818" t="e">
        <f t="shared" si="3"/>
        <v>#DIV/0!</v>
      </c>
      <c r="AF11" s="818" t="e">
        <f t="shared" si="3"/>
        <v>#DIV/0!</v>
      </c>
      <c r="AG11" s="818" t="e">
        <f t="shared" si="3"/>
        <v>#DIV/0!</v>
      </c>
      <c r="AH11" s="818" t="e">
        <f t="shared" si="3"/>
        <v>#DIV/0!</v>
      </c>
      <c r="AI11" s="818" t="e">
        <f t="shared" si="3"/>
        <v>#DIV/0!</v>
      </c>
      <c r="AJ11" s="818" t="e">
        <f t="shared" si="3"/>
        <v>#DIV/0!</v>
      </c>
    </row>
    <row r="12" spans="1:36" ht="24.75">
      <c r="A12" s="3284" t="s">
        <v>1576</v>
      </c>
      <c r="B12" s="597" t="s">
        <v>1577</v>
      </c>
      <c r="C12" s="581">
        <f>ROUND(C15*D15*E15*F15*G15*H15*I15*J15,4)</f>
        <v>1</v>
      </c>
      <c r="D12" s="598" t="s">
        <v>1578</v>
      </c>
      <c r="E12" s="599"/>
      <c r="F12" s="599"/>
      <c r="G12" s="600"/>
      <c r="H12" s="600"/>
      <c r="I12" s="600"/>
      <c r="J12" s="738"/>
      <c r="K12" s="551"/>
      <c r="L12" s="739" t="s">
        <v>1579</v>
      </c>
      <c r="M12" s="740">
        <f>SUMPRODUCT((区片价!B338:B344=I2)*(区片价!C3:F3=E2)*(区片价!C338:F344))</f>
        <v>0</v>
      </c>
      <c r="N12" s="726">
        <f>SUMPRODUCT((因素修正幅度!B338:B344=I2)*(因素修正幅度!C3:F3=E2)*(因素修正幅度!C338:F344))</f>
        <v>0</v>
      </c>
      <c r="O12" s="551"/>
      <c r="P12" s="551"/>
      <c r="Q12" s="551"/>
      <c r="R12" s="800">
        <v>11</v>
      </c>
      <c r="S12" s="802"/>
      <c r="T12" s="800" t="e">
        <f t="shared" si="0"/>
        <v>#DIV/0!</v>
      </c>
      <c r="U12" s="802"/>
      <c r="V12" s="800" t="e">
        <f t="shared" si="1"/>
        <v>#DIV/0!</v>
      </c>
      <c r="W12" s="3295"/>
      <c r="X12" s="807" t="s">
        <v>1580</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286"/>
      <c r="B13" s="601" t="s">
        <v>1581</v>
      </c>
      <c r="C13" s="602" t="s">
        <v>1582</v>
      </c>
      <c r="D13" s="603" t="s">
        <v>1583</v>
      </c>
      <c r="E13" s="603" t="s">
        <v>1584</v>
      </c>
      <c r="F13" s="604" t="s">
        <v>1585</v>
      </c>
      <c r="G13" s="605" t="s">
        <v>1586</v>
      </c>
      <c r="H13" s="605" t="s">
        <v>1586</v>
      </c>
      <c r="I13" s="605" t="s">
        <v>1586</v>
      </c>
      <c r="J13" s="741" t="s">
        <v>1586</v>
      </c>
      <c r="K13" s="551"/>
      <c r="L13" s="551"/>
      <c r="M13" s="551"/>
      <c r="N13" s="551"/>
      <c r="O13" s="551"/>
      <c r="P13" s="551"/>
      <c r="Q13" s="551"/>
      <c r="R13" s="800">
        <v>12</v>
      </c>
      <c r="S13" s="802"/>
      <c r="T13" s="800" t="e">
        <f t="shared" si="0"/>
        <v>#DIV/0!</v>
      </c>
      <c r="U13" s="802"/>
      <c r="V13" s="800" t="e">
        <f t="shared" si="1"/>
        <v>#DIV/0!</v>
      </c>
      <c r="W13" s="3295"/>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286"/>
      <c r="B14" s="606"/>
      <c r="C14" s="607"/>
      <c r="D14" s="608"/>
      <c r="E14" s="608"/>
      <c r="F14" s="609"/>
      <c r="G14" s="610" t="s">
        <v>1587</v>
      </c>
      <c r="H14" s="611"/>
      <c r="I14" s="742"/>
      <c r="J14" s="743"/>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0"/>
      <c r="AE14" s="810"/>
      <c r="AF14" s="810"/>
      <c r="AG14" s="810"/>
      <c r="AH14" s="810"/>
      <c r="AI14" s="810"/>
      <c r="AJ14" s="821"/>
    </row>
    <row r="15" spans="1:36" ht="15">
      <c r="A15" s="3287"/>
      <c r="B15" s="612" t="s">
        <v>1588</v>
      </c>
      <c r="C15" s="613">
        <f>IF(C14="有",1.1,1)</f>
        <v>1</v>
      </c>
      <c r="D15" s="613">
        <f>IF(D14="有",1.1,1)</f>
        <v>1</v>
      </c>
      <c r="E15" s="613">
        <f>IF(E14="有",1.1,1)</f>
        <v>1</v>
      </c>
      <c r="F15" s="613">
        <f>IF(F14="500米范围内",1.2,IF(F14="500-1000米",1.1,1))</f>
        <v>1</v>
      </c>
      <c r="G15" s="614">
        <v>1</v>
      </c>
      <c r="H15" s="614">
        <v>1</v>
      </c>
      <c r="I15" s="614">
        <v>1</v>
      </c>
      <c r="J15" s="744">
        <v>1</v>
      </c>
      <c r="K15" s="551"/>
      <c r="L15" s="745" t="s">
        <v>1524</v>
      </c>
      <c r="M15" s="587" t="s">
        <v>1589</v>
      </c>
      <c r="N15" s="587" t="s">
        <v>1590</v>
      </c>
      <c r="O15" s="587" t="s">
        <v>1591</v>
      </c>
      <c r="P15" s="746" t="s">
        <v>1592</v>
      </c>
      <c r="Q15" s="551"/>
      <c r="R15" s="800">
        <v>14</v>
      </c>
      <c r="S15" s="802"/>
      <c r="T15" s="800" t="e">
        <f t="shared" si="0"/>
        <v>#DIV/0!</v>
      </c>
      <c r="U15" s="802"/>
      <c r="V15" s="800" t="e">
        <f t="shared" si="1"/>
        <v>#DIV/0!</v>
      </c>
      <c r="W15" s="801"/>
      <c r="X15" s="801"/>
      <c r="Y15" s="801"/>
      <c r="Z15" s="801"/>
      <c r="AA15" s="801"/>
      <c r="AB15" s="801"/>
      <c r="AC15" s="809"/>
      <c r="AD15" s="810"/>
      <c r="AE15" s="810"/>
      <c r="AF15" s="810"/>
      <c r="AG15" s="810"/>
      <c r="AH15" s="810"/>
      <c r="AI15" s="810"/>
      <c r="AJ15" s="821"/>
    </row>
    <row r="16" spans="1:36" ht="24">
      <c r="A16" s="3284" t="s">
        <v>1593</v>
      </c>
      <c r="B16" s="580" t="s">
        <v>1594</v>
      </c>
      <c r="C16" s="615" t="e">
        <f>ROUND(SUM(G17:J17)/C17,0)</f>
        <v>#DIV/0!</v>
      </c>
      <c r="D16" s="616" t="s">
        <v>1595</v>
      </c>
      <c r="E16" s="617"/>
      <c r="F16" s="618"/>
      <c r="G16" s="619"/>
      <c r="H16" s="619"/>
      <c r="I16" s="619"/>
      <c r="J16" s="747"/>
      <c r="K16" s="551"/>
      <c r="L16" s="748" t="s">
        <v>1596</v>
      </c>
      <c r="M16" s="591">
        <v>0.25</v>
      </c>
      <c r="N16" s="591">
        <v>0.2</v>
      </c>
      <c r="O16" s="591">
        <v>0.15</v>
      </c>
      <c r="P16" s="749">
        <v>0.1</v>
      </c>
      <c r="Q16" s="551"/>
      <c r="R16" s="800">
        <v>15</v>
      </c>
      <c r="S16" s="802"/>
      <c r="T16" s="800" t="e">
        <f t="shared" si="0"/>
        <v>#DIV/0!</v>
      </c>
      <c r="U16" s="802"/>
      <c r="V16" s="800" t="e">
        <f t="shared" si="1"/>
        <v>#DIV/0!</v>
      </c>
      <c r="W16" s="801"/>
      <c r="X16" s="801"/>
      <c r="Y16" s="801"/>
      <c r="Z16" s="801"/>
      <c r="AA16" s="801"/>
      <c r="AB16" s="801"/>
      <c r="AC16" s="809"/>
      <c r="AD16" s="810"/>
      <c r="AE16" s="810"/>
      <c r="AF16" s="810"/>
      <c r="AG16" s="810"/>
      <c r="AH16" s="810"/>
      <c r="AI16" s="810"/>
      <c r="AJ16" s="821"/>
    </row>
    <row r="17" spans="1:37">
      <c r="A17" s="3285"/>
      <c r="B17" s="620" t="s">
        <v>1597</v>
      </c>
      <c r="C17" s="621">
        <f>SUMPRODUCT((修正!A2:A5=E2)*(修正!B1:M1=G2)*(修正!B2:M5))</f>
        <v>0</v>
      </c>
      <c r="D17" s="622" t="s">
        <v>1598</v>
      </c>
      <c r="E17" s="594" t="str">
        <f>IF(OR(G2="八级",G2="九级",G2="十级",G2="十一级",G2="十二级"),"五通一平","七通一平")</f>
        <v>七通一平</v>
      </c>
      <c r="F17" s="621" t="s">
        <v>1599</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1600</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832</v>
      </c>
      <c r="B18" s="624" t="s">
        <v>1601</v>
      </c>
      <c r="C18" s="625">
        <f>SUMIF(修正!C18:C39,E3,修正!E18:E39)</f>
        <v>0</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7">
      <c r="A19" s="623" t="s">
        <v>837</v>
      </c>
      <c r="B19" s="624" t="s">
        <v>1602</v>
      </c>
      <c r="C19" s="630" t="e">
        <f>ROUND(IF(H19="按公示增长率计算",SUMPRODUCT((地价!A3:A23=YEAR(G19)&amp;"-"&amp;ROUNDUP(MONTH(G19)/3,0))*(地价!X2:AB2=E2)*(地价!X3:AB23)),IF(H19="地价指数",M20/M19,(1+I19)^O19)),4)</f>
        <v>#DIV/0!</v>
      </c>
      <c r="D19" s="631" t="s">
        <v>1603</v>
      </c>
      <c r="E19" s="632">
        <v>41640</v>
      </c>
      <c r="F19" s="631" t="s">
        <v>1604</v>
      </c>
      <c r="G19" s="633">
        <f>'数据-取费表'!B2</f>
        <v>43360</v>
      </c>
      <c r="H19" s="634" t="s">
        <v>1605</v>
      </c>
      <c r="I19" s="757" t="str">
        <f>IF(H19="季度增幅（自定义）",SUMIF(N21:N24,E2,O21:O24),"")</f>
        <v/>
      </c>
      <c r="J19" s="754"/>
      <c r="K19" s="755"/>
      <c r="L19" s="758" t="s">
        <v>1606</v>
      </c>
      <c r="M19" s="759">
        <f>ROUND(SUMIF(地价!B2:F2,E2,地价!B23:F23),0)</f>
        <v>0</v>
      </c>
      <c r="N19" s="760" t="s">
        <v>1607</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840</v>
      </c>
      <c r="B20" s="636" t="s">
        <v>1608</v>
      </c>
      <c r="C20" s="637" t="e">
        <f>ROUND(POWER(1+G20,J20-I20)*(POWER(1+G20,I20)-1)/(POWER(1+G20,J20)-1),4)</f>
        <v>#DIV/0!</v>
      </c>
      <c r="D20" s="638" t="s">
        <v>1609</v>
      </c>
      <c r="E20" s="639">
        <f ca="1">存贷款利率!D4/100</f>
        <v>4.3499999999999997E-2</v>
      </c>
      <c r="F20" s="638" t="s">
        <v>1600</v>
      </c>
      <c r="G20" s="640">
        <f>SUMIF(M15:P15,E2,M17:P17)</f>
        <v>0</v>
      </c>
      <c r="H20" s="638" t="s">
        <v>1610</v>
      </c>
      <c r="I20" s="763" t="e">
        <f>SUMIF('数据-取费表'!C6:C15,E2,'数据-取费表'!F6:F15)/COUNTIF('数据-取费表'!C6:C15,E2)</f>
        <v>#DIV/0!</v>
      </c>
      <c r="J20" s="764">
        <f>IF(E2="住宅",70,IF(E2="商业",40,50))</f>
        <v>50</v>
      </c>
      <c r="K20" s="755"/>
      <c r="L20" s="765" t="s">
        <v>1611</v>
      </c>
      <c r="M20" s="766">
        <f>ROUND(SUMPRODUCT((地价!A4:A23=YEAR(G19)&amp;"-"&amp;ROUNDUP(MONTH(G19)/3,0))*(地价!B2:F2=E2)*(地价!B4:F23)),0)</f>
        <v>0</v>
      </c>
      <c r="N20" s="767" t="s">
        <v>1612</v>
      </c>
      <c r="O20" s="768" t="s">
        <v>1613</v>
      </c>
      <c r="P20" s="769" t="s">
        <v>1614</v>
      </c>
      <c r="R20" s="808"/>
      <c r="S20" s="808"/>
      <c r="T20" s="693"/>
      <c r="U20" s="693"/>
      <c r="V20" s="693"/>
      <c r="W20" s="551"/>
      <c r="X20" s="551"/>
      <c r="Y20" s="551"/>
      <c r="Z20" s="755"/>
      <c r="AA20" s="819"/>
      <c r="AB20" s="819"/>
      <c r="AC20" s="819"/>
      <c r="AD20" s="819"/>
      <c r="AE20" s="819"/>
      <c r="AF20" s="819"/>
    </row>
    <row r="21" spans="1:37" s="550" customFormat="1" ht="15">
      <c r="A21" s="641" t="s">
        <v>864</v>
      </c>
      <c r="B21" s="642" t="s">
        <v>1615</v>
      </c>
      <c r="C21" s="643" t="e">
        <f>IF(B21="容积率修正",IF(G3&lt;=10,D22,J22),C23)</f>
        <v>#DIV/0!</v>
      </c>
      <c r="D21" s="644"/>
      <c r="E21" s="644"/>
      <c r="F21" s="644"/>
      <c r="G21" s="644"/>
      <c r="H21" s="644"/>
      <c r="I21" s="644"/>
      <c r="J21" s="770"/>
      <c r="K21" s="755"/>
      <c r="N21" s="771" t="s">
        <v>1616</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1617</v>
      </c>
      <c r="B22" s="646" t="s">
        <v>1618</v>
      </c>
      <c r="C22" s="647" t="s">
        <v>1619</v>
      </c>
      <c r="D22" s="647" t="e">
        <f>IF(E22=G22,F22,IF(G3&lt;=10,ROUND(F22+(H22-F22)*(G3-E22)/(G22-E22),4),"——"))</f>
        <v>#DIV/0!</v>
      </c>
      <c r="E22" s="566" t="e">
        <f>ROUNDDOWN(G3,1)</f>
        <v>#DIV/0!</v>
      </c>
      <c r="F22" s="64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7" t="s">
        <v>1620</v>
      </c>
      <c r="J22" s="774" t="e">
        <f>IF(G3&gt;10,D113,"——")</f>
        <v>#DIV/0!</v>
      </c>
      <c r="K22" s="755"/>
      <c r="N22" s="771" t="s">
        <v>1621</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1622</v>
      </c>
      <c r="B23" s="648" t="s">
        <v>1623</v>
      </c>
      <c r="C23" s="649" t="e">
        <f>ROUND(IF(G3&gt;1,IF(I3&lt;7,SUMPRODUCT((B93:B98=I3)*(C92:N92=G2)*(C93:N98)),SUMIF(C92:N92,G2,C100:N100)),IF(I3&lt;7,SUMPRODUCT((B102:B107=I3)*(C92:N92=G2)*(C102:N107)),SUMIF(C92:N92,G2,C109:N109))),4)</f>
        <v>#DIV/0!</v>
      </c>
      <c r="D23" s="611"/>
      <c r="E23" s="611"/>
      <c r="F23" s="650"/>
      <c r="G23" s="651"/>
      <c r="H23" s="652"/>
      <c r="I23" s="775"/>
      <c r="J23" s="776"/>
      <c r="K23" s="551"/>
      <c r="N23" s="771" t="s">
        <v>1624</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1625</v>
      </c>
      <c r="B24" s="624" t="s">
        <v>1626</v>
      </c>
      <c r="C24" s="630">
        <f>SUMIF(A45:A88,E2,B45:B88)</f>
        <v>0</v>
      </c>
      <c r="D24" s="628"/>
      <c r="E24" s="653"/>
      <c r="F24" s="653"/>
      <c r="G24" s="653"/>
      <c r="H24" s="653"/>
      <c r="I24" s="653"/>
      <c r="J24" s="777"/>
      <c r="K24" s="755"/>
      <c r="N24" s="778" t="s">
        <v>1627</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1628</v>
      </c>
      <c r="B25" s="654" t="s">
        <v>1629</v>
      </c>
      <c r="C25" s="655"/>
      <c r="D25" s="585"/>
      <c r="E25" s="585"/>
      <c r="F25" s="656"/>
      <c r="G25" s="585"/>
      <c r="H25" s="585"/>
      <c r="I25" s="585"/>
      <c r="J25" s="735"/>
      <c r="K25" s="551"/>
      <c r="N25" s="781" t="s">
        <v>1630</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1631</v>
      </c>
      <c r="C26" s="658" t="e">
        <f>E29+SUM(E33:E39)</f>
        <v>#DIV/0!</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1632</v>
      </c>
      <c r="C27" s="662" t="e">
        <f>E30+SUM(I33:I39)</f>
        <v>#DIV/0!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1633</v>
      </c>
      <c r="C28" s="668" t="s">
        <v>1634</v>
      </c>
      <c r="D28" s="668" t="s">
        <v>503</v>
      </c>
      <c r="E28" s="669" t="s">
        <v>1635</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1636</v>
      </c>
      <c r="C29" s="658" t="e">
        <f>ROUND(C5*C18*C19*C20*C21*C24,0)</f>
        <v>#DIV/0!</v>
      </c>
      <c r="D29" s="673"/>
      <c r="E29" s="674" t="e">
        <f>ROUND(C29*D29/10000,0)</f>
        <v>#DIV/0!</v>
      </c>
      <c r="F29" s="675" t="s">
        <v>1637</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1638</v>
      </c>
      <c r="C30" s="613" t="e">
        <f>ROUND(IF(E2="工业",C29*M39,C29*M38),0)</f>
        <v>#DIV/0!</v>
      </c>
      <c r="D30" s="679"/>
      <c r="E30" s="674" t="e">
        <f>ROUND(C30*D30/10000,0)</f>
        <v>#DIV/0!</v>
      </c>
      <c r="F30" s="680" t="s">
        <v>1639</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1640</v>
      </c>
      <c r="C31" s="684" t="s">
        <v>1641</v>
      </c>
      <c r="D31" s="600"/>
      <c r="E31" s="684"/>
      <c r="F31" s="684"/>
      <c r="G31" s="598" t="s">
        <v>1639</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1634</v>
      </c>
      <c r="D32" s="687" t="s">
        <v>503</v>
      </c>
      <c r="E32" s="687" t="s">
        <v>1635</v>
      </c>
      <c r="F32" s="558" t="s">
        <v>1642</v>
      </c>
      <c r="G32" s="688" t="s">
        <v>1634</v>
      </c>
      <c r="H32" s="688" t="s">
        <v>503</v>
      </c>
      <c r="I32" s="688" t="s">
        <v>1635</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288" t="s">
        <v>1643</v>
      </c>
      <c r="B33" s="689" t="s">
        <v>1644</v>
      </c>
      <c r="C33" s="658" t="e">
        <f>ROUND(D5*C19*C20*C24*F33,0)</f>
        <v>#DIV/0!</v>
      </c>
      <c r="D33" s="673"/>
      <c r="E33" s="592" t="e">
        <f>ROUND(C33*D33/10000,0)</f>
        <v>#DIV/0!</v>
      </c>
      <c r="F33" s="592">
        <f>SUMIF(修正!A45:A56,G2,修正!B45:B56)</f>
        <v>0</v>
      </c>
      <c r="G33" s="592" t="e">
        <f t="shared" ref="G33" si="6">ROUND(IF(E2="工业",C33*$M$39,C33*$M$38),0)</f>
        <v>#DIV/0!</v>
      </c>
      <c r="H33" s="592">
        <f>D33</f>
        <v>0</v>
      </c>
      <c r="I33" s="592" t="e">
        <f>ROUND(G33*H33/10000,0)</f>
        <v>#DIV/0!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289"/>
      <c r="B34" s="602" t="s">
        <v>1645</v>
      </c>
      <c r="C34" s="658" t="e">
        <f>ROUND(D5*C19*C20*C24*F34,0)</f>
        <v>#DIV/0!</v>
      </c>
      <c r="D34" s="673"/>
      <c r="E34" s="592" t="e">
        <f t="shared" ref="E34:E39" si="7">ROUND(C34*D34/10000,0)</f>
        <v>#DIV/0!</v>
      </c>
      <c r="F34" s="592">
        <f>SUMIF(修正!A45:A56,G2,修正!C45:C56)</f>
        <v>0</v>
      </c>
      <c r="G34" s="592" t="e">
        <f>ROUND(IF(E2="工业",C34*$M$39,C34*$M$38),0)</f>
        <v>#DIV/0!</v>
      </c>
      <c r="H34" s="592">
        <f t="shared" ref="H34:H39" si="8">D34</f>
        <v>0</v>
      </c>
      <c r="I34" s="592" t="e">
        <f t="shared" ref="I34:I39" si="9">ROUND(G34*H34/10000,0)</f>
        <v>#DIV/0!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289"/>
      <c r="B35" s="602" t="s">
        <v>1646</v>
      </c>
      <c r="C35" s="658" t="e">
        <f>ROUND(D5*C19*C20*C24*F35,0)</f>
        <v>#DIV/0!</v>
      </c>
      <c r="D35" s="673"/>
      <c r="E35" s="592" t="e">
        <f t="shared" si="7"/>
        <v>#DIV/0!</v>
      </c>
      <c r="F35" s="592">
        <f>SUMIF(修正!A45:A56,G2,修正!D45:D56)</f>
        <v>0</v>
      </c>
      <c r="G35" s="592" t="e">
        <f>ROUND(IF(E2="工业",C35*$M$39,C35*$M$38),0)</f>
        <v>#DIV/0!</v>
      </c>
      <c r="H35" s="592">
        <f t="shared" si="8"/>
        <v>0</v>
      </c>
      <c r="I35" s="592" t="e">
        <f t="shared" si="9"/>
        <v>#DIV/0!</v>
      </c>
      <c r="J35" s="788"/>
      <c r="K35" s="551"/>
      <c r="L35" s="551"/>
      <c r="M35" s="551"/>
      <c r="N35" s="551"/>
      <c r="O35" s="551"/>
      <c r="P35" s="551"/>
      <c r="Q35" s="551"/>
      <c r="R35" s="551"/>
      <c r="S35" s="551"/>
      <c r="T35" s="551"/>
      <c r="U35" s="551"/>
      <c r="V35" s="551"/>
      <c r="W35" s="551"/>
      <c r="X35" s="551"/>
      <c r="Y35" s="551"/>
      <c r="Z35" s="693"/>
    </row>
    <row r="36" spans="1:37">
      <c r="A36" s="3290"/>
      <c r="B36" s="602" t="s">
        <v>1647</v>
      </c>
      <c r="C36" s="658" t="e">
        <f>ROUND(D5*C19*C20*C24*F36,0)</f>
        <v>#DIV/0!</v>
      </c>
      <c r="D36" s="673"/>
      <c r="E36" s="592" t="e">
        <f t="shared" si="7"/>
        <v>#DIV/0!</v>
      </c>
      <c r="F36" s="592">
        <f>SUMIF(修正!A45:A56,G2,修正!E45:E56)</f>
        <v>0</v>
      </c>
      <c r="G36" s="592" t="e">
        <f>ROUND(IF(E2="工业",C36*$M$39,C36*$M$38),0)</f>
        <v>#DIV/0!</v>
      </c>
      <c r="H36" s="592">
        <f t="shared" si="8"/>
        <v>0</v>
      </c>
      <c r="I36" s="592" t="e">
        <f t="shared" si="9"/>
        <v>#DIV/0!</v>
      </c>
      <c r="J36" s="788"/>
      <c r="K36" s="551"/>
      <c r="L36" s="552"/>
      <c r="M36" s="552"/>
      <c r="N36" s="551"/>
      <c r="O36" s="551"/>
      <c r="P36" s="551"/>
      <c r="Q36" s="551"/>
      <c r="R36" s="551"/>
      <c r="S36" s="551"/>
      <c r="T36" s="551"/>
      <c r="U36" s="551"/>
      <c r="V36" s="551"/>
      <c r="W36" s="551"/>
      <c r="X36" s="551"/>
      <c r="Y36" s="551"/>
      <c r="Z36" s="693"/>
    </row>
    <row r="37" spans="1:37">
      <c r="A37" s="690"/>
      <c r="B37" s="602" t="s">
        <v>1648</v>
      </c>
      <c r="C37" s="592" t="e">
        <f>ROUND(C5*C19*C20*C24*F37,0)</f>
        <v>#DIV/0!</v>
      </c>
      <c r="D37" s="673"/>
      <c r="E37" s="592" t="e">
        <f t="shared" si="7"/>
        <v>#DIV/0!</v>
      </c>
      <c r="F37" s="658">
        <f>SUMIF(修正!A45:A56,G2,修正!F45:F56)</f>
        <v>0</v>
      </c>
      <c r="G37" s="592" t="e">
        <f>ROUND(IF(E2="工业",C37*$M$39,C37*$M$38),0)</f>
        <v>#DIV/0!</v>
      </c>
      <c r="H37" s="592">
        <f t="shared" si="8"/>
        <v>0</v>
      </c>
      <c r="I37" s="592" t="e">
        <f t="shared" si="9"/>
        <v>#DIV/0!</v>
      </c>
      <c r="J37" s="788"/>
      <c r="K37" s="551"/>
      <c r="L37" s="789" t="s">
        <v>1649</v>
      </c>
      <c r="M37" s="790"/>
      <c r="N37" s="551"/>
      <c r="O37" s="551"/>
      <c r="P37" s="551"/>
      <c r="Q37" s="551"/>
      <c r="R37" s="551"/>
      <c r="S37" s="551"/>
      <c r="T37" s="551"/>
      <c r="U37" s="551"/>
      <c r="V37" s="551"/>
      <c r="W37" s="551"/>
      <c r="X37" s="551"/>
      <c r="Y37" s="551"/>
      <c r="Z37" s="693"/>
    </row>
    <row r="38" spans="1:37">
      <c r="A38" s="690"/>
      <c r="B38" s="602" t="s">
        <v>1650</v>
      </c>
      <c r="C38" s="592" t="e">
        <f>ROUND(C5*C19*C20*C24*F38,0)</f>
        <v>#DIV/0!</v>
      </c>
      <c r="D38" s="673"/>
      <c r="E38" s="592" t="e">
        <f t="shared" si="7"/>
        <v>#DIV/0!</v>
      </c>
      <c r="F38" s="658">
        <f>SUMIF(修正!A45:A56,G2,修正!G45:G56)</f>
        <v>0</v>
      </c>
      <c r="G38" s="592" t="e">
        <f>ROUND(IF(E2="工业",C38*$M$39,C38*$M$38),0)</f>
        <v>#DIV/0!</v>
      </c>
      <c r="H38" s="592">
        <f t="shared" si="8"/>
        <v>0</v>
      </c>
      <c r="I38" s="592" t="e">
        <f t="shared" si="9"/>
        <v>#DIV/0!</v>
      </c>
      <c r="J38" s="788"/>
      <c r="K38" s="551"/>
      <c r="L38" s="791" t="s">
        <v>1651</v>
      </c>
      <c r="M38" s="792">
        <v>0.25</v>
      </c>
      <c r="N38" s="551"/>
      <c r="O38" s="551"/>
      <c r="P38" s="551"/>
      <c r="Q38" s="551"/>
      <c r="R38" s="551"/>
      <c r="S38" s="551"/>
      <c r="T38" s="551"/>
      <c r="U38" s="551"/>
      <c r="V38" s="551"/>
      <c r="W38" s="551"/>
      <c r="X38" s="551"/>
      <c r="Y38" s="551"/>
      <c r="Z38" s="693"/>
    </row>
    <row r="39" spans="1:37">
      <c r="A39" s="677"/>
      <c r="B39" s="691" t="s">
        <v>1652</v>
      </c>
      <c r="C39" s="613" t="e">
        <f>ROUND(C5*C19*C20*C24*F39,0)</f>
        <v>#DIV/0!</v>
      </c>
      <c r="D39" s="679"/>
      <c r="E39" s="613" t="e">
        <f t="shared" si="7"/>
        <v>#DIV/0!</v>
      </c>
      <c r="F39" s="692">
        <f>SUMIF(修正!A45:A56,G2,修正!H45:H56)</f>
        <v>0</v>
      </c>
      <c r="G39" s="613" t="e">
        <f>ROUND(IF(E2="工业",C39*$M$39,C39*$M$38),0)</f>
        <v>#DIV/0!</v>
      </c>
      <c r="H39" s="613">
        <f t="shared" si="8"/>
        <v>0</v>
      </c>
      <c r="I39" s="613" t="e">
        <f t="shared" si="9"/>
        <v>#DIV/0!</v>
      </c>
      <c r="J39" s="793"/>
      <c r="K39" s="551"/>
      <c r="L39" s="794" t="s">
        <v>1592</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1653</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1654</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1655</v>
      </c>
      <c r="B47" s="706" t="s">
        <v>1656</v>
      </c>
      <c r="C47" s="706" t="s">
        <v>1657</v>
      </c>
      <c r="D47" s="706" t="s">
        <v>1658</v>
      </c>
      <c r="E47" s="707" t="s">
        <v>1659</v>
      </c>
      <c r="F47" s="708" t="s">
        <v>1660</v>
      </c>
      <c r="G47" s="706" t="s">
        <v>1588</v>
      </c>
      <c r="H47" s="709" t="s">
        <v>1661</v>
      </c>
      <c r="I47" s="706" t="s">
        <v>1662</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1663</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1664</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1665</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1666</v>
      </c>
      <c r="B51" s="718" t="s">
        <v>1667</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1668</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1669</v>
      </c>
      <c r="B53" s="719" t="s">
        <v>1670</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1671</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1672</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1673</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1674</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1655</v>
      </c>
      <c r="B58" s="706"/>
      <c r="C58" s="706" t="s">
        <v>1657</v>
      </c>
      <c r="D58" s="706" t="s">
        <v>1658</v>
      </c>
      <c r="E58" s="707" t="s">
        <v>1659</v>
      </c>
      <c r="F58" s="708" t="s">
        <v>1675</v>
      </c>
      <c r="G58" s="706" t="s">
        <v>1588</v>
      </c>
      <c r="H58" s="709" t="s">
        <v>1661</v>
      </c>
      <c r="I58" s="706" t="s">
        <v>1662</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1676</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1664</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1665</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1666</v>
      </c>
      <c r="B62" s="718" t="s">
        <v>1667</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1668</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1669</v>
      </c>
      <c r="B64" s="719" t="s">
        <v>1670</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1671</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1672</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1673</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1677</v>
      </c>
      <c r="B68" s="700">
        <f>1+E70</f>
        <v>1</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1655</v>
      </c>
      <c r="B69" s="706"/>
      <c r="C69" s="706" t="s">
        <v>1657</v>
      </c>
      <c r="D69" s="706" t="s">
        <v>1658</v>
      </c>
      <c r="E69" s="707" t="s">
        <v>1659</v>
      </c>
      <c r="F69" s="708" t="s">
        <v>1675</v>
      </c>
      <c r="G69" s="706" t="s">
        <v>1588</v>
      </c>
      <c r="H69" s="709" t="s">
        <v>1661</v>
      </c>
      <c r="I69" s="706" t="s">
        <v>1662</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1678</v>
      </c>
      <c r="B70" s="710" t="str">
        <f>估价对象房地状况!C15</f>
        <v>估价对象周边有万景公寓、富丽小区、中海雅园、北洼路住宅楼等居住社区，综合评价居住社区成熟度好</v>
      </c>
      <c r="C70" s="608"/>
      <c r="D70" s="711">
        <f t="shared" ref="D70:D78" si="20">SUMIF($J$69:$N$69,C70,J70:N70)</f>
        <v>0</v>
      </c>
      <c r="E70" s="712">
        <f>ROUND(SUM(D70:D78),4)</f>
        <v>0</v>
      </c>
      <c r="F70" s="713" t="str">
        <f>IF(E2="住宅",SUMIF(L1:L12,G2,N1:N12),"——")</f>
        <v>——</v>
      </c>
      <c r="G70" s="714"/>
      <c r="H70" s="715"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3"/>
      <c r="AB70" s="693"/>
      <c r="AC70" s="693"/>
      <c r="AD70" s="693"/>
      <c r="AE70" s="693"/>
      <c r="AF70" s="693"/>
      <c r="AG70" s="693"/>
      <c r="AH70" s="693"/>
      <c r="AI70" s="693"/>
      <c r="AJ70" s="693"/>
      <c r="AK70" s="693"/>
    </row>
    <row r="71" spans="1:37" s="551" customFormat="1" ht="102">
      <c r="A71" s="705" t="s">
        <v>1664</v>
      </c>
      <c r="B71" s="716" t="str">
        <f>估价对象房地状况!C18</f>
        <v>估价对象周边有87路、437路、33路、40路、85路、481路、632路等多条公交线路，距地铁10号线（慈寿寺站）约800米，地铁6号线（花园桥站）800米，综合评价交通便捷度好</v>
      </c>
      <c r="C71" s="608"/>
      <c r="D71" s="711">
        <f t="shared" si="20"/>
        <v>0</v>
      </c>
      <c r="E71" s="826"/>
      <c r="F71" s="713"/>
      <c r="G71" s="714"/>
      <c r="H71" s="715" t="str">
        <f t="shared" si="21"/>
        <v>——</v>
      </c>
      <c r="I71" s="797">
        <v>0.3</v>
      </c>
      <c r="J71" s="798">
        <f t="shared" si="22"/>
        <v>0</v>
      </c>
      <c r="K71" s="798">
        <f t="shared" si="23"/>
        <v>0</v>
      </c>
      <c r="L71" s="798">
        <v>0</v>
      </c>
      <c r="M71" s="798">
        <f t="shared" si="24"/>
        <v>0</v>
      </c>
      <c r="N71" s="798">
        <f t="shared" si="24"/>
        <v>0</v>
      </c>
      <c r="AA71" s="693"/>
      <c r="AB71" s="693"/>
      <c r="AC71" s="693"/>
      <c r="AD71" s="693"/>
      <c r="AE71" s="693"/>
      <c r="AF71" s="693"/>
      <c r="AG71" s="693"/>
      <c r="AH71" s="693"/>
      <c r="AI71" s="693"/>
      <c r="AJ71" s="693"/>
      <c r="AK71" s="693"/>
    </row>
    <row r="72" spans="1:37" s="551" customFormat="1" ht="24">
      <c r="A72" s="705" t="s">
        <v>1665</v>
      </c>
      <c r="B72" s="716">
        <f>估价对象房地状况!C19</f>
        <v>0</v>
      </c>
      <c r="C72" s="608"/>
      <c r="D72" s="711">
        <f t="shared" si="20"/>
        <v>0</v>
      </c>
      <c r="E72" s="826"/>
      <c r="F72" s="713"/>
      <c r="G72" s="714"/>
      <c r="H72" s="715" t="str">
        <f t="shared" si="21"/>
        <v>——</v>
      </c>
      <c r="I72" s="797">
        <v>0.08</v>
      </c>
      <c r="J72" s="798">
        <f t="shared" si="22"/>
        <v>0</v>
      </c>
      <c r="K72" s="798">
        <f t="shared" si="23"/>
        <v>0</v>
      </c>
      <c r="L72" s="798">
        <v>0</v>
      </c>
      <c r="M72" s="798">
        <f t="shared" si="24"/>
        <v>0</v>
      </c>
      <c r="N72" s="798">
        <f t="shared" si="24"/>
        <v>0</v>
      </c>
      <c r="AA72" s="693"/>
      <c r="AB72" s="693"/>
      <c r="AC72" s="693"/>
      <c r="AD72" s="693"/>
      <c r="AE72" s="693"/>
      <c r="AF72" s="693"/>
      <c r="AG72" s="693"/>
      <c r="AH72" s="693"/>
      <c r="AI72" s="693"/>
      <c r="AJ72" s="693"/>
      <c r="AK72" s="693"/>
    </row>
    <row r="73" spans="1:37" s="551" customFormat="1" ht="14.25">
      <c r="A73" s="705" t="s">
        <v>1679</v>
      </c>
      <c r="B73" s="716" t="str">
        <f>估价对象房地状况!C24</f>
        <v>支路</v>
      </c>
      <c r="C73" s="608"/>
      <c r="D73" s="711">
        <f t="shared" si="20"/>
        <v>0</v>
      </c>
      <c r="E73" s="826"/>
      <c r="F73" s="713"/>
      <c r="G73" s="714"/>
      <c r="H73" s="715" t="str">
        <f t="shared" si="21"/>
        <v>——</v>
      </c>
      <c r="I73" s="797">
        <v>0.04</v>
      </c>
      <c r="J73" s="798">
        <f t="shared" si="22"/>
        <v>0</v>
      </c>
      <c r="K73" s="798">
        <f t="shared" si="23"/>
        <v>0</v>
      </c>
      <c r="L73" s="798">
        <v>0</v>
      </c>
      <c r="M73" s="798">
        <f t="shared" si="24"/>
        <v>0</v>
      </c>
      <c r="N73" s="798">
        <f t="shared" si="24"/>
        <v>0</v>
      </c>
      <c r="AA73" s="693"/>
      <c r="AB73" s="693"/>
      <c r="AC73" s="693"/>
      <c r="AD73" s="693"/>
      <c r="AE73" s="693"/>
      <c r="AF73" s="693"/>
      <c r="AG73" s="693"/>
      <c r="AH73" s="693"/>
      <c r="AI73" s="693"/>
      <c r="AJ73" s="693"/>
      <c r="AK73" s="693"/>
    </row>
    <row r="74" spans="1:37" s="551" customFormat="1" ht="165.75">
      <c r="A74" s="705" t="s">
        <v>1671</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c r="D74" s="711">
        <f t="shared" si="20"/>
        <v>0</v>
      </c>
      <c r="E74" s="826"/>
      <c r="F74" s="713"/>
      <c r="G74" s="714"/>
      <c r="H74" s="715" t="str">
        <f t="shared" si="21"/>
        <v>——</v>
      </c>
      <c r="I74" s="797">
        <v>0.08</v>
      </c>
      <c r="J74" s="798">
        <f t="shared" si="22"/>
        <v>0</v>
      </c>
      <c r="K74" s="798">
        <f t="shared" si="23"/>
        <v>0</v>
      </c>
      <c r="L74" s="798">
        <v>0</v>
      </c>
      <c r="M74" s="798">
        <f t="shared" si="24"/>
        <v>0</v>
      </c>
      <c r="N74" s="798">
        <f t="shared" si="24"/>
        <v>0</v>
      </c>
      <c r="AA74" s="693"/>
      <c r="AB74" s="693"/>
      <c r="AC74" s="693"/>
      <c r="AD74" s="693"/>
      <c r="AE74" s="693"/>
      <c r="AF74" s="693"/>
      <c r="AG74" s="693"/>
      <c r="AH74" s="693"/>
      <c r="AI74" s="693"/>
      <c r="AJ74" s="693"/>
      <c r="AK74" s="693"/>
    </row>
    <row r="75" spans="1:37" s="551" customFormat="1" ht="24">
      <c r="A75" s="705" t="s">
        <v>1672</v>
      </c>
      <c r="B75" s="265" t="str">
        <f>估价对象房地状况!C22</f>
        <v>七通</v>
      </c>
      <c r="C75" s="608"/>
      <c r="D75" s="711">
        <f t="shared" si="20"/>
        <v>0</v>
      </c>
      <c r="E75" s="826"/>
      <c r="F75" s="713"/>
      <c r="G75" s="714"/>
      <c r="H75" s="715" t="str">
        <f t="shared" si="21"/>
        <v>——</v>
      </c>
      <c r="I75" s="797">
        <v>0.12</v>
      </c>
      <c r="J75" s="798">
        <f t="shared" si="22"/>
        <v>0</v>
      </c>
      <c r="K75" s="798">
        <f t="shared" si="23"/>
        <v>0</v>
      </c>
      <c r="L75" s="798">
        <v>0</v>
      </c>
      <c r="M75" s="798">
        <f t="shared" si="24"/>
        <v>0</v>
      </c>
      <c r="N75" s="798">
        <f t="shared" si="24"/>
        <v>0</v>
      </c>
      <c r="AA75" s="693"/>
      <c r="AB75" s="693"/>
      <c r="AC75" s="693"/>
      <c r="AD75" s="693"/>
      <c r="AE75" s="693"/>
      <c r="AF75" s="693"/>
      <c r="AG75" s="693"/>
      <c r="AH75" s="693"/>
      <c r="AI75" s="693"/>
      <c r="AJ75" s="693"/>
      <c r="AK75" s="693"/>
    </row>
    <row r="76" spans="1:37" s="552" customFormat="1" ht="24">
      <c r="A76" s="705" t="s">
        <v>1669</v>
      </c>
      <c r="B76" s="719" t="s">
        <v>1670</v>
      </c>
      <c r="C76" s="608"/>
      <c r="D76" s="711">
        <f t="shared" si="20"/>
        <v>0</v>
      </c>
      <c r="E76" s="826"/>
      <c r="F76" s="713"/>
      <c r="G76" s="714"/>
      <c r="H76" s="715" t="str">
        <f t="shared" si="21"/>
        <v>——</v>
      </c>
      <c r="I76" s="797">
        <v>0.05</v>
      </c>
      <c r="J76" s="798">
        <f t="shared" si="22"/>
        <v>0</v>
      </c>
      <c r="K76" s="798">
        <f t="shared" si="23"/>
        <v>0</v>
      </c>
      <c r="L76" s="798">
        <v>0</v>
      </c>
      <c r="M76" s="798">
        <f t="shared" si="24"/>
        <v>0</v>
      </c>
      <c r="N76" s="798">
        <f t="shared" si="24"/>
        <v>0</v>
      </c>
      <c r="AA76" s="859"/>
      <c r="AB76" s="693"/>
      <c r="AC76" s="693"/>
      <c r="AD76" s="693"/>
      <c r="AE76" s="693"/>
      <c r="AF76" s="693"/>
      <c r="AG76" s="693"/>
      <c r="AH76" s="859"/>
      <c r="AI76" s="859"/>
      <c r="AJ76" s="859"/>
      <c r="AK76" s="859"/>
    </row>
    <row r="77" spans="1:37" ht="153">
      <c r="A77" s="705" t="s">
        <v>1673</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c r="D77" s="711">
        <f t="shared" si="20"/>
        <v>0</v>
      </c>
      <c r="E77" s="826"/>
      <c r="F77" s="713"/>
      <c r="G77" s="714"/>
      <c r="H77" s="715"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21" t="s">
        <v>1680</v>
      </c>
      <c r="B78" s="827"/>
      <c r="C78" s="608"/>
      <c r="D78" s="711">
        <f t="shared" si="20"/>
        <v>0</v>
      </c>
      <c r="E78" s="828"/>
      <c r="F78" s="713"/>
      <c r="G78" s="714"/>
      <c r="H78" s="715"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9" t="s">
        <v>1681</v>
      </c>
      <c r="B79" s="700">
        <f>1+E81</f>
        <v>1</v>
      </c>
      <c r="C79" s="702"/>
      <c r="D79" s="702"/>
      <c r="E79" s="703"/>
      <c r="F79" s="704"/>
      <c r="G79" s="698"/>
      <c r="H79" s="698"/>
      <c r="I79" s="698"/>
      <c r="J79" s="697"/>
      <c r="K79" s="697"/>
      <c r="L79" s="697"/>
      <c r="M79" s="697"/>
      <c r="N79" s="697"/>
      <c r="Z79" s="555"/>
      <c r="AA79" s="553"/>
      <c r="AG79" s="557"/>
      <c r="AK79" s="553"/>
    </row>
    <row r="80" spans="1:37" ht="24.75">
      <c r="A80" s="705" t="s">
        <v>1655</v>
      </c>
      <c r="B80" s="706"/>
      <c r="C80" s="706" t="s">
        <v>1657</v>
      </c>
      <c r="D80" s="706" t="s">
        <v>1658</v>
      </c>
      <c r="E80" s="707" t="s">
        <v>1659</v>
      </c>
      <c r="F80" s="708" t="s">
        <v>1675</v>
      </c>
      <c r="G80" s="706" t="s">
        <v>1588</v>
      </c>
      <c r="H80" s="709" t="s">
        <v>1661</v>
      </c>
      <c r="I80" s="706" t="s">
        <v>1662</v>
      </c>
      <c r="J80" s="796" t="s">
        <v>238</v>
      </c>
      <c r="K80" s="796" t="s">
        <v>248</v>
      </c>
      <c r="L80" s="796" t="s">
        <v>257</v>
      </c>
      <c r="M80" s="796" t="s">
        <v>265</v>
      </c>
      <c r="N80" s="796" t="s">
        <v>272</v>
      </c>
      <c r="Z80" s="555"/>
      <c r="AA80" s="553"/>
      <c r="AG80" s="557"/>
      <c r="AK80" s="553"/>
    </row>
    <row r="81" spans="1:37" ht="38.25">
      <c r="A81" s="705" t="s">
        <v>1682</v>
      </c>
      <c r="B81" s="716" t="str">
        <f>估价对象房地状况!G15</f>
        <v>估价对象位于XX开发区，园区建设成熟度XX，产业集聚程度XX</v>
      </c>
      <c r="C81" s="608"/>
      <c r="D81" s="711">
        <f t="shared" ref="D81:D88" si="25">SUMIF($J$80:$N$80,C81,J81:N81)</f>
        <v>0</v>
      </c>
      <c r="E81" s="712">
        <f>ROUND(SUM(D81:D88),4)</f>
        <v>0</v>
      </c>
      <c r="F81" s="713" t="str">
        <f>IF(E2="工业",SUMIF(L1:L12,G2,N1:N12),"——")</f>
        <v>——</v>
      </c>
      <c r="G81" s="714"/>
      <c r="H81" s="715"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5" t="s">
        <v>1664</v>
      </c>
      <c r="B82" s="716" t="str">
        <f>估价对象房地状况!G16</f>
        <v>估价对象周边道路状况、公共交通通达情况、停车便捷程度，综合评价交通便捷度较好</v>
      </c>
      <c r="C82" s="608"/>
      <c r="D82" s="711">
        <f t="shared" si="25"/>
        <v>0</v>
      </c>
      <c r="E82" s="826"/>
      <c r="F82" s="713"/>
      <c r="G82" s="714"/>
      <c r="H82" s="715"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5" t="s">
        <v>1665</v>
      </c>
      <c r="B83" s="716">
        <f>估价对象房地状况!G17</f>
        <v>0</v>
      </c>
      <c r="C83" s="608"/>
      <c r="D83" s="711">
        <f t="shared" si="25"/>
        <v>0</v>
      </c>
      <c r="E83" s="826"/>
      <c r="F83" s="713"/>
      <c r="G83" s="714"/>
      <c r="H83" s="715"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5" t="s">
        <v>1679</v>
      </c>
      <c r="B84" s="716">
        <f>估价对象房地状况!G22</f>
        <v>0</v>
      </c>
      <c r="C84" s="608"/>
      <c r="D84" s="711">
        <f t="shared" si="25"/>
        <v>0</v>
      </c>
      <c r="E84" s="826"/>
      <c r="F84" s="713"/>
      <c r="G84" s="714"/>
      <c r="H84" s="715"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5" t="s">
        <v>1671</v>
      </c>
      <c r="B85" s="265" t="str">
        <f>估价对象房地状况!G19</f>
        <v>估价对象所在区域公共配套设施齐备情况</v>
      </c>
      <c r="C85" s="608"/>
      <c r="D85" s="711">
        <f t="shared" si="25"/>
        <v>0</v>
      </c>
      <c r="E85" s="826"/>
      <c r="F85" s="713"/>
      <c r="G85" s="714"/>
      <c r="H85" s="715"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5" t="s">
        <v>1672</v>
      </c>
      <c r="B86" s="265" t="str">
        <f>估价对象房地状况!G20</f>
        <v>估价对象所在区域基础设施水平</v>
      </c>
      <c r="C86" s="608"/>
      <c r="D86" s="711">
        <f t="shared" si="25"/>
        <v>0</v>
      </c>
      <c r="E86" s="826"/>
      <c r="F86" s="713"/>
      <c r="G86" s="714"/>
      <c r="H86" s="715"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5" t="s">
        <v>1669</v>
      </c>
      <c r="B87" s="719" t="s">
        <v>1683</v>
      </c>
      <c r="C87" s="608"/>
      <c r="D87" s="711">
        <f t="shared" si="25"/>
        <v>0</v>
      </c>
      <c r="E87" s="826"/>
      <c r="F87" s="713"/>
      <c r="G87" s="714"/>
      <c r="H87" s="715"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21" t="s">
        <v>1684</v>
      </c>
      <c r="B88" s="829" t="str">
        <f>估价对象房地状况!G18</f>
        <v>该园区内是否有污染型企业，绿化情况，卫生条件，整体环境状况判断</v>
      </c>
      <c r="C88" s="608"/>
      <c r="D88" s="711">
        <f t="shared" si="25"/>
        <v>0</v>
      </c>
      <c r="E88" s="828"/>
      <c r="F88" s="713"/>
      <c r="G88" s="714"/>
      <c r="H88" s="715" t="str">
        <f t="shared" si="26"/>
        <v>——</v>
      </c>
      <c r="I88" s="799">
        <v>0.06</v>
      </c>
      <c r="J88" s="798">
        <f t="shared" si="27"/>
        <v>0</v>
      </c>
      <c r="K88" s="798">
        <f t="shared" si="28"/>
        <v>0</v>
      </c>
      <c r="L88" s="798">
        <v>0</v>
      </c>
      <c r="M88" s="798">
        <f t="shared" si="29"/>
        <v>0</v>
      </c>
      <c r="N88" s="798">
        <f t="shared" si="29"/>
        <v>0</v>
      </c>
      <c r="Z88" s="555"/>
      <c r="AA88" s="553"/>
      <c r="AG88" s="557"/>
      <c r="AK88" s="553"/>
    </row>
    <row r="90" spans="1:37">
      <c r="A90" s="3282" t="s">
        <v>1685</v>
      </c>
      <c r="B90" s="3282"/>
      <c r="C90" s="3282"/>
      <c r="D90" s="3282"/>
      <c r="E90" s="3282"/>
      <c r="F90" s="3282"/>
      <c r="G90" s="3282"/>
      <c r="H90" s="3282"/>
      <c r="I90" s="3282"/>
      <c r="J90" s="3282"/>
      <c r="K90" s="830"/>
      <c r="L90" s="830"/>
      <c r="M90" s="830"/>
      <c r="N90" s="830"/>
    </row>
    <row r="91" spans="1:37">
      <c r="A91" s="3291" t="s">
        <v>1686</v>
      </c>
      <c r="B91" s="3291" t="s">
        <v>1687</v>
      </c>
      <c r="C91" s="675" t="s">
        <v>1688</v>
      </c>
      <c r="D91" s="676"/>
      <c r="E91" s="676"/>
      <c r="F91" s="676"/>
      <c r="G91" s="676"/>
      <c r="H91" s="676"/>
      <c r="I91" s="676"/>
      <c r="J91" s="852"/>
      <c r="K91" s="853"/>
      <c r="L91" s="853"/>
      <c r="M91" s="853"/>
      <c r="N91" s="853"/>
    </row>
    <row r="92" spans="1:37">
      <c r="A92" s="3291"/>
      <c r="B92" s="3291"/>
      <c r="C92" s="674" t="s">
        <v>1549</v>
      </c>
      <c r="D92" s="674" t="s">
        <v>1550</v>
      </c>
      <c r="E92" s="674" t="s">
        <v>1551</v>
      </c>
      <c r="F92" s="674" t="s">
        <v>1552</v>
      </c>
      <c r="G92" s="674" t="s">
        <v>1553</v>
      </c>
      <c r="H92" s="674" t="s">
        <v>1554</v>
      </c>
      <c r="I92" s="674" t="s">
        <v>1555</v>
      </c>
      <c r="J92" s="674" t="s">
        <v>1556</v>
      </c>
      <c r="K92" s="674" t="s">
        <v>1557</v>
      </c>
      <c r="L92" s="674" t="s">
        <v>1558</v>
      </c>
      <c r="M92" s="674" t="s">
        <v>1559</v>
      </c>
      <c r="N92" s="674" t="s">
        <v>1560</v>
      </c>
    </row>
    <row r="93" spans="1:37">
      <c r="A93" s="3292" t="s">
        <v>1689</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293"/>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293"/>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293"/>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293"/>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293"/>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293"/>
      <c r="B99" s="831" t="s">
        <v>1566</v>
      </c>
      <c r="C99" s="833">
        <f>$I$3</f>
        <v>0</v>
      </c>
      <c r="D99" s="833">
        <f t="shared" ref="D99:N99" si="30">$I$3</f>
        <v>0</v>
      </c>
      <c r="E99" s="833">
        <f t="shared" si="30"/>
        <v>0</v>
      </c>
      <c r="F99" s="833">
        <f t="shared" si="30"/>
        <v>0</v>
      </c>
      <c r="G99" s="833">
        <f t="shared" si="30"/>
        <v>0</v>
      </c>
      <c r="H99" s="833">
        <f t="shared" si="30"/>
        <v>0</v>
      </c>
      <c r="I99" s="833">
        <f t="shared" si="30"/>
        <v>0</v>
      </c>
      <c r="J99" s="833">
        <f t="shared" si="30"/>
        <v>0</v>
      </c>
      <c r="K99" s="833">
        <f t="shared" si="30"/>
        <v>0</v>
      </c>
      <c r="L99" s="833">
        <f t="shared" si="30"/>
        <v>0</v>
      </c>
      <c r="M99" s="833">
        <f t="shared" si="30"/>
        <v>0</v>
      </c>
      <c r="N99" s="833">
        <f t="shared" si="30"/>
        <v>0</v>
      </c>
    </row>
    <row r="100" spans="1:14">
      <c r="A100" s="3294"/>
      <c r="B100" s="831">
        <v>7</v>
      </c>
      <c r="C100" s="834">
        <f>(-0.163*(C99^2)-0.59*C99+7617)*(10^(-4))</f>
        <v>0.76170000000000004</v>
      </c>
      <c r="D100" s="834">
        <f>(-0.163*(D99^2)-0.59*D99+7617)*(10^(-4))</f>
        <v>0.76170000000000004</v>
      </c>
      <c r="E100" s="834">
        <f>(-0.161*(E99^2)-7.509*E99+6533)*(10^(-4))</f>
        <v>0.65329999999999999</v>
      </c>
      <c r="F100" s="834">
        <f>(-0.161*(F99^2)-7.509*F99+6533)*(10^(-4))</f>
        <v>0.65329999999999999</v>
      </c>
      <c r="G100" s="834">
        <f>(-0.161*(G99^2)-7.509*G99+6533)*(10^(-4))</f>
        <v>0.65329999999999999</v>
      </c>
      <c r="H100" s="834">
        <f>(-0.161*(H99^2)-7.509*H99+6533)*(10^(-4))</f>
        <v>0.65329999999999999</v>
      </c>
      <c r="I100" s="834">
        <f>(-0.161*(I99^2)-7.509*I99+6533)*(10^(-4))</f>
        <v>0.65329999999999999</v>
      </c>
      <c r="J100" s="834">
        <f>(-0.214*(J99^2)-21.991*J99+4665)*(10^(-4))</f>
        <v>0.46650000000000003</v>
      </c>
      <c r="K100" s="834">
        <f>(-0.214*(K99^2)-21.991*K99+4665)*(10^(-4))</f>
        <v>0.46650000000000003</v>
      </c>
      <c r="L100" s="834">
        <f>(-0.214*(L99^2)-21.991*L99+4665)*(10^(-4))</f>
        <v>0.46650000000000003</v>
      </c>
      <c r="M100" s="834">
        <f>(-0.214*(M99^2)-21.991*M99+4665)*(10^(-4))</f>
        <v>0.46650000000000003</v>
      </c>
      <c r="N100" s="834">
        <f>(-0.214*(N99^2)-21.991*N99+4665)*(10^(-4))</f>
        <v>0.46650000000000003</v>
      </c>
    </row>
    <row r="101" spans="1:14">
      <c r="A101" s="3292" t="s">
        <v>1690</v>
      </c>
      <c r="B101" s="835" t="s">
        <v>1691</v>
      </c>
      <c r="C101" s="836" t="e">
        <f>$G$3</f>
        <v>#DIV/0!</v>
      </c>
      <c r="D101" s="836" t="e">
        <f t="shared" ref="D101:N101" si="31">$G$3</f>
        <v>#DIV/0!</v>
      </c>
      <c r="E101" s="836" t="e">
        <f t="shared" si="31"/>
        <v>#DIV/0!</v>
      </c>
      <c r="F101" s="836" t="e">
        <f t="shared" si="31"/>
        <v>#DIV/0!</v>
      </c>
      <c r="G101" s="836" t="e">
        <f t="shared" si="31"/>
        <v>#DIV/0!</v>
      </c>
      <c r="H101" s="836" t="e">
        <f t="shared" si="31"/>
        <v>#DIV/0!</v>
      </c>
      <c r="I101" s="836" t="e">
        <f t="shared" si="31"/>
        <v>#DIV/0!</v>
      </c>
      <c r="J101" s="836" t="e">
        <f t="shared" si="31"/>
        <v>#DIV/0!</v>
      </c>
      <c r="K101" s="836" t="e">
        <f t="shared" si="31"/>
        <v>#DIV/0!</v>
      </c>
      <c r="L101" s="836" t="e">
        <f t="shared" si="31"/>
        <v>#DIV/0!</v>
      </c>
      <c r="M101" s="836" t="e">
        <f t="shared" si="31"/>
        <v>#DIV/0!</v>
      </c>
      <c r="N101" s="836" t="e">
        <f t="shared" si="31"/>
        <v>#DIV/0!</v>
      </c>
    </row>
    <row r="102" spans="1:14">
      <c r="A102" s="3293"/>
      <c r="B102" s="831">
        <v>1</v>
      </c>
      <c r="C102" s="832" t="e">
        <f>1.9362/C101</f>
        <v>#DIV/0!</v>
      </c>
      <c r="D102" s="832" t="e">
        <f>1.9362/D101</f>
        <v>#DIV/0!</v>
      </c>
      <c r="E102" s="832" t="e">
        <f>1.8629/E101</f>
        <v>#DIV/0!</v>
      </c>
      <c r="F102" s="832" t="e">
        <f>1.8629/F101</f>
        <v>#DIV/0!</v>
      </c>
      <c r="G102" s="832" t="e">
        <f>1.8629/G101</f>
        <v>#DIV/0!</v>
      </c>
      <c r="H102" s="832" t="e">
        <f>1.8629/H101</f>
        <v>#DIV/0!</v>
      </c>
      <c r="I102" s="832" t="e">
        <f>1.8629/I101</f>
        <v>#DIV/0!</v>
      </c>
      <c r="J102" s="832" t="e">
        <f>1.942/J101</f>
        <v>#DIV/0!</v>
      </c>
      <c r="K102" s="832" t="e">
        <f>1.942/K101</f>
        <v>#DIV/0!</v>
      </c>
      <c r="L102" s="832" t="e">
        <f>1.942/L101</f>
        <v>#DIV/0!</v>
      </c>
      <c r="M102" s="832" t="e">
        <f>1.942/M101</f>
        <v>#DIV/0!</v>
      </c>
      <c r="N102" s="832" t="e">
        <f>1.942/N101</f>
        <v>#DIV/0!</v>
      </c>
    </row>
    <row r="103" spans="1:14">
      <c r="A103" s="3293"/>
      <c r="B103" s="831">
        <v>2</v>
      </c>
      <c r="C103" s="832" t="e">
        <f>1.4198/C101</f>
        <v>#DIV/0!</v>
      </c>
      <c r="D103" s="832" t="e">
        <f>1.4198/D101</f>
        <v>#DIV/0!</v>
      </c>
      <c r="E103" s="832" t="e">
        <f>1.3372/E101</f>
        <v>#DIV/0!</v>
      </c>
      <c r="F103" s="832" t="e">
        <f>1.3372/F101</f>
        <v>#DIV/0!</v>
      </c>
      <c r="G103" s="832" t="e">
        <f>1.3372/G101</f>
        <v>#DIV/0!</v>
      </c>
      <c r="H103" s="832" t="e">
        <f>1.3372/H101</f>
        <v>#DIV/0!</v>
      </c>
      <c r="I103" s="832" t="e">
        <f>1.3372/I101</f>
        <v>#DIV/0!</v>
      </c>
      <c r="J103" s="832" t="e">
        <f>1.2799/J101</f>
        <v>#DIV/0!</v>
      </c>
      <c r="K103" s="832" t="e">
        <f>1.2799/K101</f>
        <v>#DIV/0!</v>
      </c>
      <c r="L103" s="832" t="e">
        <f>1.2799/L101</f>
        <v>#DIV/0!</v>
      </c>
      <c r="M103" s="832" t="e">
        <f>1.2799/M101</f>
        <v>#DIV/0!</v>
      </c>
      <c r="N103" s="832" t="e">
        <f>1.2799/N101</f>
        <v>#DIV/0!</v>
      </c>
    </row>
    <row r="104" spans="1:14">
      <c r="A104" s="3293"/>
      <c r="B104" s="831">
        <v>3</v>
      </c>
      <c r="C104" s="832" t="e">
        <f>1.1594/C101</f>
        <v>#DIV/0!</v>
      </c>
      <c r="D104" s="832" t="e">
        <f>1.1594/D101</f>
        <v>#DIV/0!</v>
      </c>
      <c r="E104" s="832" t="e">
        <f>1.0788/E101</f>
        <v>#DIV/0!</v>
      </c>
      <c r="F104" s="832" t="e">
        <f>1.0788/F101</f>
        <v>#DIV/0!</v>
      </c>
      <c r="G104" s="832" t="e">
        <f>1.0788/G101</f>
        <v>#DIV/0!</v>
      </c>
      <c r="H104" s="832" t="e">
        <f>1.0788/H101</f>
        <v>#DIV/0!</v>
      </c>
      <c r="I104" s="832" t="e">
        <f>1.0788/I101</f>
        <v>#DIV/0!</v>
      </c>
      <c r="J104" s="832" t="e">
        <f>1.0072/J101</f>
        <v>#DIV/0!</v>
      </c>
      <c r="K104" s="832" t="e">
        <f>1.0072/K101</f>
        <v>#DIV/0!</v>
      </c>
      <c r="L104" s="832" t="e">
        <f>1.0072/L101</f>
        <v>#DIV/0!</v>
      </c>
      <c r="M104" s="832" t="e">
        <f>1.0072/M101</f>
        <v>#DIV/0!</v>
      </c>
      <c r="N104" s="832" t="e">
        <f>1.0072/N101</f>
        <v>#DIV/0!</v>
      </c>
    </row>
    <row r="105" spans="1:14">
      <c r="A105" s="3293"/>
      <c r="B105" s="831">
        <v>4</v>
      </c>
      <c r="C105" s="832" t="e">
        <f>0.9622/C101</f>
        <v>#DIV/0!</v>
      </c>
      <c r="D105" s="832" t="e">
        <f>0.9622/D101</f>
        <v>#DIV/0!</v>
      </c>
      <c r="E105" s="832" t="e">
        <f>0.8656/E101</f>
        <v>#DIV/0!</v>
      </c>
      <c r="F105" s="832" t="e">
        <f>0.8656/F101</f>
        <v>#DIV/0!</v>
      </c>
      <c r="G105" s="832" t="e">
        <f>0.8656/G101</f>
        <v>#DIV/0!</v>
      </c>
      <c r="H105" s="832" t="e">
        <f>0.8656/H101</f>
        <v>#DIV/0!</v>
      </c>
      <c r="I105" s="832" t="e">
        <f>0.8656/I101</f>
        <v>#DIV/0!</v>
      </c>
      <c r="J105" s="832" t="e">
        <f>0.7525/J101</f>
        <v>#DIV/0!</v>
      </c>
      <c r="K105" s="832" t="e">
        <f>0.7525/K101</f>
        <v>#DIV/0!</v>
      </c>
      <c r="L105" s="832" t="e">
        <f>0.7525/L101</f>
        <v>#DIV/0!</v>
      </c>
      <c r="M105" s="832" t="e">
        <f>0.7525/M101</f>
        <v>#DIV/0!</v>
      </c>
      <c r="N105" s="832" t="e">
        <f>0.7525/N101</f>
        <v>#DIV/0!</v>
      </c>
    </row>
    <row r="106" spans="1:14">
      <c r="A106" s="3293"/>
      <c r="B106" s="831">
        <v>5</v>
      </c>
      <c r="C106" s="832" t="e">
        <f>0.8417/C101</f>
        <v>#DIV/0!</v>
      </c>
      <c r="D106" s="832" t="e">
        <f>0.8417/D101</f>
        <v>#DIV/0!</v>
      </c>
      <c r="E106" s="832" t="e">
        <f>0.7371/E101</f>
        <v>#DIV/0!</v>
      </c>
      <c r="F106" s="832" t="e">
        <f>0.7371/F101</f>
        <v>#DIV/0!</v>
      </c>
      <c r="G106" s="832" t="e">
        <f>0.7371/G101</f>
        <v>#DIV/0!</v>
      </c>
      <c r="H106" s="832" t="e">
        <f>0.7371/H101</f>
        <v>#DIV/0!</v>
      </c>
      <c r="I106" s="832" t="e">
        <f>0.7371/I101</f>
        <v>#DIV/0!</v>
      </c>
      <c r="J106" s="832" t="e">
        <f>0.5659/J101</f>
        <v>#DIV/0!</v>
      </c>
      <c r="K106" s="832" t="e">
        <f>0.5659/K101</f>
        <v>#DIV/0!</v>
      </c>
      <c r="L106" s="832" t="e">
        <f>0.5659/L101</f>
        <v>#DIV/0!</v>
      </c>
      <c r="M106" s="832" t="e">
        <f>0.5659/M101</f>
        <v>#DIV/0!</v>
      </c>
      <c r="N106" s="832" t="e">
        <f>0.5659/N101</f>
        <v>#DIV/0!</v>
      </c>
    </row>
    <row r="107" spans="1:14">
      <c r="A107" s="3293"/>
      <c r="B107" s="831">
        <v>6</v>
      </c>
      <c r="C107" s="832" t="e">
        <f>0.7608/C101</f>
        <v>#DIV/0!</v>
      </c>
      <c r="D107" s="832" t="e">
        <f>0.7608/D101</f>
        <v>#DIV/0!</v>
      </c>
      <c r="E107" s="832" t="e">
        <f>0.6482/E101</f>
        <v>#DIV/0!</v>
      </c>
      <c r="F107" s="832" t="e">
        <f>0.6482/F101</f>
        <v>#DIV/0!</v>
      </c>
      <c r="G107" s="832" t="e">
        <f>0.6482/G101</f>
        <v>#DIV/0!</v>
      </c>
      <c r="H107" s="832" t="e">
        <f>0.6482/H101</f>
        <v>#DIV/0!</v>
      </c>
      <c r="I107" s="832" t="e">
        <f>0.6482/I101</f>
        <v>#DIV/0!</v>
      </c>
      <c r="J107" s="832" t="e">
        <f>0.4525/J101</f>
        <v>#DIV/0!</v>
      </c>
      <c r="K107" s="832" t="e">
        <f>0.4525/K101</f>
        <v>#DIV/0!</v>
      </c>
      <c r="L107" s="832" t="e">
        <f>0.4525/L101</f>
        <v>#DIV/0!</v>
      </c>
      <c r="M107" s="832" t="e">
        <f>0.4525/M101</f>
        <v>#DIV/0!</v>
      </c>
      <c r="N107" s="832" t="e">
        <f>0.4525/N101</f>
        <v>#DIV/0!</v>
      </c>
    </row>
    <row r="108" spans="1:14">
      <c r="A108" s="3293"/>
      <c r="B108" s="3115" t="s">
        <v>1580</v>
      </c>
      <c r="C108" s="833">
        <f>C99</f>
        <v>0</v>
      </c>
      <c r="D108" s="833">
        <f t="shared" ref="D108:N108" si="32">D99</f>
        <v>0</v>
      </c>
      <c r="E108" s="833">
        <f t="shared" si="32"/>
        <v>0</v>
      </c>
      <c r="F108" s="833">
        <f t="shared" si="32"/>
        <v>0</v>
      </c>
      <c r="G108" s="833">
        <f t="shared" si="32"/>
        <v>0</v>
      </c>
      <c r="H108" s="833">
        <f t="shared" si="32"/>
        <v>0</v>
      </c>
      <c r="I108" s="833">
        <f t="shared" si="32"/>
        <v>0</v>
      </c>
      <c r="J108" s="833">
        <f t="shared" si="32"/>
        <v>0</v>
      </c>
      <c r="K108" s="833">
        <f t="shared" si="32"/>
        <v>0</v>
      </c>
      <c r="L108" s="833">
        <f t="shared" si="32"/>
        <v>0</v>
      </c>
      <c r="M108" s="833">
        <f t="shared" si="32"/>
        <v>0</v>
      </c>
      <c r="N108" s="833">
        <f t="shared" si="32"/>
        <v>0</v>
      </c>
    </row>
    <row r="109" spans="1:14">
      <c r="A109" s="3294"/>
      <c r="B109" s="3116"/>
      <c r="C109" s="834" t="e">
        <f>(-0.163*(C108^2)-0.59*C108+7617)*(10^(-4))/C101</f>
        <v>#DIV/0!</v>
      </c>
      <c r="D109" s="834" t="e">
        <f>(-0.163*(D108^2)-0.59*D108+7617)*(10^(-4))/D101</f>
        <v>#DIV/0!</v>
      </c>
      <c r="E109" s="834" t="e">
        <f>(-0.161*(E108^2)-7.509*E108+6533)*(10^(-4))/E101</f>
        <v>#DIV/0!</v>
      </c>
      <c r="F109" s="834" t="e">
        <f>(-0.161*(F108^2)-7.509*F108+6533)*(10^(-4))/F101</f>
        <v>#DIV/0!</v>
      </c>
      <c r="G109" s="834" t="e">
        <f>(-0.161*(G108^2)-7.509*G108+6533)*(10^(-4))/G101</f>
        <v>#DIV/0!</v>
      </c>
      <c r="H109" s="834" t="e">
        <f>(-0.161*(H108^2)-7.509*H108+6533)*(10^(-4))/H101</f>
        <v>#DIV/0!</v>
      </c>
      <c r="I109" s="834" t="e">
        <f>(-0.161*(I108^2)-7.509*I108+6533)*(10^(-4))/I101</f>
        <v>#DIV/0!</v>
      </c>
      <c r="J109" s="834" t="e">
        <f>(-0.214*(J108^2)-21.991*J108+4665)*(10^(-4))/J101</f>
        <v>#DIV/0!</v>
      </c>
      <c r="K109" s="834" t="e">
        <f>(-0.214*(K108^2)-21.991*K108+4665)*(10^(-4))/K101</f>
        <v>#DIV/0!</v>
      </c>
      <c r="L109" s="834" t="e">
        <f>(-0.214*(L108^2)-21.991*L108+4665)*(10^(-4))/L101</f>
        <v>#DIV/0!</v>
      </c>
      <c r="M109" s="834" t="e">
        <f>(-0.214*(M108^2)-21.991*M108+4665)*(10^(-4))/M101</f>
        <v>#DIV/0!</v>
      </c>
      <c r="N109" s="834" t="e">
        <f>(-0.214*(N108^2)-21.991*N108+4665)*(10^(-4))/N101</f>
        <v>#DIV/0!</v>
      </c>
    </row>
    <row r="110" spans="1:14">
      <c r="A110" s="3283" t="s">
        <v>1692</v>
      </c>
      <c r="B110" s="3283"/>
      <c r="C110" s="3283"/>
      <c r="D110" s="3283"/>
      <c r="E110" s="3283"/>
      <c r="F110" s="3283"/>
      <c r="G110" s="3283"/>
      <c r="H110" s="3283"/>
      <c r="I110" s="3283"/>
      <c r="J110" s="3283"/>
      <c r="K110" s="838"/>
      <c r="L110" s="838"/>
      <c r="M110" s="838"/>
      <c r="N110" s="838"/>
    </row>
    <row r="113" spans="1:13" ht="24.75">
      <c r="A113" s="839" t="s">
        <v>1693</v>
      </c>
      <c r="B113" s="840" t="e">
        <f>G3</f>
        <v>#DIV/0!</v>
      </c>
      <c r="C113" s="841" t="s">
        <v>1694</v>
      </c>
      <c r="D113" s="842" t="e">
        <f>SUMPRODUCT((A115:A118=F113)*(B114:M114=H113)*B115:M118)</f>
        <v>#DIV/0!</v>
      </c>
      <c r="E113" s="563" t="s">
        <v>1524</v>
      </c>
      <c r="F113" s="843">
        <f>E2</f>
        <v>0</v>
      </c>
      <c r="G113" s="563" t="s">
        <v>1525</v>
      </c>
      <c r="H113" s="843">
        <f>G2</f>
        <v>0</v>
      </c>
      <c r="I113" s="563"/>
      <c r="J113" s="854"/>
      <c r="K113" s="854"/>
      <c r="L113" s="854"/>
      <c r="M113" s="854"/>
    </row>
    <row r="114" spans="1:13">
      <c r="A114" s="844"/>
      <c r="B114" s="845" t="s">
        <v>1695</v>
      </c>
      <c r="C114" s="845" t="s">
        <v>1696</v>
      </c>
      <c r="D114" s="845" t="s">
        <v>1697</v>
      </c>
      <c r="E114" s="846" t="s">
        <v>1698</v>
      </c>
      <c r="F114" s="846" t="s">
        <v>1699</v>
      </c>
      <c r="G114" s="846" t="s">
        <v>1700</v>
      </c>
      <c r="H114" s="847" t="s">
        <v>1701</v>
      </c>
      <c r="I114" s="847" t="s">
        <v>1702</v>
      </c>
      <c r="J114" s="855" t="s">
        <v>1703</v>
      </c>
      <c r="K114" s="855" t="s">
        <v>1704</v>
      </c>
      <c r="L114" s="855" t="s">
        <v>1705</v>
      </c>
      <c r="M114" s="856" t="s">
        <v>1706</v>
      </c>
    </row>
    <row r="115" spans="1:13">
      <c r="A115" s="848" t="s">
        <v>1589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7" t="e">
        <f t="shared" si="33"/>
        <v>#DIV/0!</v>
      </c>
    </row>
    <row r="116" spans="1:13">
      <c r="A116" s="848" t="s">
        <v>1590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7" t="e">
        <f t="shared" si="33"/>
        <v>#DIV/0!</v>
      </c>
    </row>
    <row r="117" spans="1:13">
      <c r="A117" s="848" t="s">
        <v>1591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7" t="e">
        <f t="shared" si="33"/>
        <v>#DIV/0!</v>
      </c>
    </row>
    <row r="118" spans="1:13">
      <c r="A118" s="850" t="s">
        <v>1592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8" t="e">
        <f t="shared" si="33"/>
        <v>#DIV/0!</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1707</v>
      </c>
      <c r="B2" s="511">
        <v>3.5</v>
      </c>
      <c r="C2" s="511">
        <v>3.5</v>
      </c>
      <c r="D2" s="512">
        <v>2.5</v>
      </c>
      <c r="E2" s="512">
        <v>2.5</v>
      </c>
      <c r="F2" s="512">
        <v>2.5</v>
      </c>
      <c r="G2" s="512">
        <v>2.5</v>
      </c>
      <c r="H2" s="512">
        <v>2.5</v>
      </c>
      <c r="I2" s="511">
        <v>2</v>
      </c>
      <c r="J2" s="511">
        <v>2</v>
      </c>
      <c r="K2" s="511">
        <v>2</v>
      </c>
      <c r="L2" s="511">
        <v>2</v>
      </c>
      <c r="M2" s="544">
        <v>2</v>
      </c>
    </row>
    <row r="3" spans="1:13" ht="19.5" customHeight="1">
      <c r="A3" s="513" t="s">
        <v>1708</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1709</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1710</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1711</v>
      </c>
      <c r="B16" s="526"/>
      <c r="C16" s="527"/>
      <c r="D16" s="527"/>
      <c r="E16" s="526"/>
      <c r="F16" s="527"/>
      <c r="G16" s="527"/>
    </row>
    <row r="17" spans="1:9" ht="19.5" customHeight="1">
      <c r="A17" s="522" t="s">
        <v>1712</v>
      </c>
      <c r="B17" s="528" t="s">
        <v>1713</v>
      </c>
      <c r="C17" s="528" t="s">
        <v>1714</v>
      </c>
      <c r="D17" s="529"/>
      <c r="E17" s="522" t="s">
        <v>1715</v>
      </c>
      <c r="F17" s="530"/>
      <c r="G17" s="530"/>
    </row>
    <row r="18" spans="1:9" s="506" customFormat="1" ht="19.5" customHeight="1">
      <c r="A18" s="3296" t="s">
        <v>1707</v>
      </c>
      <c r="B18" s="531" t="s">
        <v>1716</v>
      </c>
      <c r="C18" s="532" t="s">
        <v>1717</v>
      </c>
      <c r="D18" s="533"/>
      <c r="E18" s="531">
        <v>1</v>
      </c>
      <c r="F18" s="534" t="s">
        <v>1718</v>
      </c>
      <c r="G18" s="535"/>
      <c r="H18" s="507"/>
      <c r="I18" s="507"/>
    </row>
    <row r="19" spans="1:9" s="506" customFormat="1" ht="19.5" customHeight="1">
      <c r="A19" s="3296"/>
      <c r="B19" s="3296" t="s">
        <v>1719</v>
      </c>
      <c r="C19" s="532" t="s">
        <v>1720</v>
      </c>
      <c r="D19" s="533"/>
      <c r="E19" s="531">
        <v>0.9</v>
      </c>
      <c r="F19" s="534" t="s">
        <v>1721</v>
      </c>
      <c r="G19" s="535"/>
      <c r="H19" s="507"/>
      <c r="I19" s="507"/>
    </row>
    <row r="20" spans="1:9" s="506" customFormat="1" ht="19.5" customHeight="1">
      <c r="A20" s="3296"/>
      <c r="B20" s="3296"/>
      <c r="C20" s="532" t="s">
        <v>1722</v>
      </c>
      <c r="D20" s="533"/>
      <c r="E20" s="531">
        <v>1.1000000000000001</v>
      </c>
      <c r="F20" s="534" t="s">
        <v>1723</v>
      </c>
      <c r="G20" s="535"/>
      <c r="H20" s="507"/>
      <c r="I20" s="507"/>
    </row>
    <row r="21" spans="1:9" s="506" customFormat="1" ht="19.5" customHeight="1">
      <c r="A21" s="3296"/>
      <c r="B21" s="3296"/>
      <c r="C21" s="532" t="s">
        <v>1724</v>
      </c>
      <c r="D21" s="533"/>
      <c r="E21" s="531">
        <v>0.8</v>
      </c>
      <c r="F21" s="534" t="s">
        <v>1725</v>
      </c>
      <c r="G21" s="535"/>
      <c r="H21" s="507"/>
      <c r="I21" s="507"/>
    </row>
    <row r="22" spans="1:9" s="506" customFormat="1" ht="19.5" customHeight="1">
      <c r="A22" s="3296"/>
      <c r="B22" s="3296"/>
      <c r="C22" s="532" t="s">
        <v>1726</v>
      </c>
      <c r="D22" s="533"/>
      <c r="E22" s="531">
        <v>0.5</v>
      </c>
      <c r="F22" s="534"/>
      <c r="G22" s="535"/>
      <c r="H22" s="507"/>
      <c r="I22" s="507"/>
    </row>
    <row r="23" spans="1:9" s="506" customFormat="1" ht="19.5" customHeight="1">
      <c r="A23" s="3296" t="s">
        <v>1708</v>
      </c>
      <c r="B23" s="531" t="s">
        <v>1716</v>
      </c>
      <c r="C23" s="532" t="s">
        <v>1727</v>
      </c>
      <c r="D23" s="533"/>
      <c r="E23" s="531">
        <v>1</v>
      </c>
      <c r="F23" s="534" t="s">
        <v>1728</v>
      </c>
      <c r="G23" s="535"/>
      <c r="H23" s="507"/>
      <c r="I23" s="507"/>
    </row>
    <row r="24" spans="1:9" s="506" customFormat="1" ht="19.5" customHeight="1">
      <c r="A24" s="3296"/>
      <c r="B24" s="3296" t="s">
        <v>1719</v>
      </c>
      <c r="C24" s="532" t="s">
        <v>1729</v>
      </c>
      <c r="D24" s="533"/>
      <c r="E24" s="531">
        <v>0.5</v>
      </c>
      <c r="F24" s="534"/>
      <c r="G24" s="535"/>
      <c r="H24" s="507"/>
      <c r="I24" s="507"/>
    </row>
    <row r="25" spans="1:9" s="506" customFormat="1" ht="19.5" customHeight="1">
      <c r="A25" s="3296"/>
      <c r="B25" s="3296"/>
      <c r="C25" s="532" t="s">
        <v>1730</v>
      </c>
      <c r="D25" s="533"/>
      <c r="E25" s="531">
        <v>1.1000000000000001</v>
      </c>
      <c r="F25" s="534"/>
      <c r="G25" s="535"/>
      <c r="H25" s="507"/>
      <c r="I25" s="507"/>
    </row>
    <row r="26" spans="1:9" s="506" customFormat="1" ht="19.5" customHeight="1">
      <c r="A26" s="3296"/>
      <c r="B26" s="3296"/>
      <c r="C26" s="532" t="s">
        <v>1731</v>
      </c>
      <c r="D26" s="533"/>
      <c r="E26" s="531">
        <v>1.1000000000000001</v>
      </c>
      <c r="F26" s="534"/>
      <c r="G26" s="535"/>
      <c r="H26" s="507"/>
      <c r="I26" s="507"/>
    </row>
    <row r="27" spans="1:9" s="506" customFormat="1" ht="19.5" customHeight="1">
      <c r="A27" s="3296"/>
      <c r="B27" s="3296"/>
      <c r="C27" s="532" t="s">
        <v>1732</v>
      </c>
      <c r="D27" s="533"/>
      <c r="E27" s="531">
        <v>0.9</v>
      </c>
      <c r="F27" s="534" t="s">
        <v>1733</v>
      </c>
      <c r="G27" s="535"/>
      <c r="H27" s="507"/>
      <c r="I27" s="507"/>
    </row>
    <row r="28" spans="1:9" s="506" customFormat="1" ht="19.5" customHeight="1">
      <c r="A28" s="3296"/>
      <c r="B28" s="3296"/>
      <c r="C28" s="532" t="s">
        <v>1734</v>
      </c>
      <c r="D28" s="533"/>
      <c r="E28" s="531">
        <v>0.9</v>
      </c>
      <c r="F28" s="534" t="s">
        <v>1735</v>
      </c>
      <c r="G28" s="535"/>
      <c r="H28" s="507"/>
      <c r="I28" s="507"/>
    </row>
    <row r="29" spans="1:9" s="506" customFormat="1" ht="19.5" customHeight="1">
      <c r="A29" s="3296"/>
      <c r="B29" s="3296"/>
      <c r="C29" s="532" t="s">
        <v>1736</v>
      </c>
      <c r="D29" s="533"/>
      <c r="E29" s="531">
        <v>0.9</v>
      </c>
      <c r="F29" s="534" t="s">
        <v>1737</v>
      </c>
      <c r="G29" s="535"/>
      <c r="H29" s="507"/>
      <c r="I29" s="507"/>
    </row>
    <row r="30" spans="1:9" s="506" customFormat="1" ht="19.5" customHeight="1">
      <c r="A30" s="3296"/>
      <c r="B30" s="3296"/>
      <c r="C30" s="532" t="s">
        <v>1738</v>
      </c>
      <c r="D30" s="533"/>
      <c r="E30" s="531">
        <v>0.9</v>
      </c>
      <c r="F30" s="534" t="s">
        <v>1739</v>
      </c>
      <c r="G30" s="535"/>
      <c r="H30" s="507"/>
      <c r="I30" s="507"/>
    </row>
    <row r="31" spans="1:9" s="506" customFormat="1" ht="19.5" customHeight="1">
      <c r="A31" s="3296"/>
      <c r="B31" s="3296"/>
      <c r="C31" s="532" t="s">
        <v>1740</v>
      </c>
      <c r="D31" s="533"/>
      <c r="E31" s="531">
        <v>0.8</v>
      </c>
      <c r="F31" s="534" t="s">
        <v>1741</v>
      </c>
      <c r="G31" s="535"/>
      <c r="H31" s="507"/>
      <c r="I31" s="507"/>
    </row>
    <row r="32" spans="1:9" s="506" customFormat="1" ht="19.5" customHeight="1">
      <c r="A32" s="3296"/>
      <c r="B32" s="3296"/>
      <c r="C32" s="532" t="s">
        <v>1742</v>
      </c>
      <c r="D32" s="533"/>
      <c r="E32" s="531">
        <v>0.8</v>
      </c>
      <c r="F32" s="534" t="s">
        <v>1743</v>
      </c>
      <c r="G32" s="535"/>
      <c r="H32" s="507"/>
      <c r="I32" s="507"/>
    </row>
    <row r="33" spans="1:9" s="506" customFormat="1" ht="19.5" customHeight="1">
      <c r="A33" s="3296" t="s">
        <v>1744</v>
      </c>
      <c r="B33" s="531" t="s">
        <v>1716</v>
      </c>
      <c r="C33" s="532" t="s">
        <v>1745</v>
      </c>
      <c r="D33" s="533"/>
      <c r="E33" s="531">
        <v>1</v>
      </c>
      <c r="F33" s="534" t="s">
        <v>1746</v>
      </c>
      <c r="G33" s="535"/>
      <c r="H33" s="507"/>
      <c r="I33" s="507"/>
    </row>
    <row r="34" spans="1:9" s="506" customFormat="1" ht="19.5" customHeight="1">
      <c r="A34" s="3296"/>
      <c r="B34" s="531" t="s">
        <v>1719</v>
      </c>
      <c r="C34" s="532" t="s">
        <v>1747</v>
      </c>
      <c r="D34" s="533"/>
      <c r="E34" s="531">
        <v>1.5</v>
      </c>
      <c r="F34" s="534" t="s">
        <v>1748</v>
      </c>
      <c r="G34" s="535"/>
      <c r="H34" s="507"/>
      <c r="I34" s="507"/>
    </row>
    <row r="35" spans="1:9" s="506" customFormat="1" ht="19.5" customHeight="1">
      <c r="A35" s="3296" t="s">
        <v>1709</v>
      </c>
      <c r="B35" s="531" t="s">
        <v>1716</v>
      </c>
      <c r="C35" s="532" t="s">
        <v>1749</v>
      </c>
      <c r="D35" s="533"/>
      <c r="E35" s="531">
        <v>1</v>
      </c>
      <c r="F35" s="534" t="s">
        <v>1750</v>
      </c>
      <c r="G35" s="535"/>
      <c r="H35" s="507"/>
      <c r="I35" s="507"/>
    </row>
    <row r="36" spans="1:9" s="506" customFormat="1" ht="19.5" customHeight="1">
      <c r="A36" s="3296"/>
      <c r="B36" s="3296" t="s">
        <v>1719</v>
      </c>
      <c r="C36" s="532" t="s">
        <v>1751</v>
      </c>
      <c r="D36" s="533"/>
      <c r="E36" s="531">
        <v>1</v>
      </c>
      <c r="F36" s="534" t="s">
        <v>1752</v>
      </c>
      <c r="G36" s="535"/>
      <c r="H36" s="507"/>
      <c r="I36" s="507"/>
    </row>
    <row r="37" spans="1:9" s="506" customFormat="1" ht="19.5" customHeight="1">
      <c r="A37" s="3296"/>
      <c r="B37" s="3296"/>
      <c r="C37" s="532" t="s">
        <v>1753</v>
      </c>
      <c r="D37" s="533"/>
      <c r="E37" s="531">
        <v>1.5</v>
      </c>
      <c r="F37" s="534" t="s">
        <v>1754</v>
      </c>
      <c r="G37" s="535"/>
      <c r="H37" s="507"/>
      <c r="I37" s="507"/>
    </row>
    <row r="38" spans="1:9" s="506" customFormat="1" ht="19.5" customHeight="1">
      <c r="A38" s="3296"/>
      <c r="B38" s="3296"/>
      <c r="C38" s="532" t="s">
        <v>1755</v>
      </c>
      <c r="D38" s="533"/>
      <c r="E38" s="531">
        <v>1</v>
      </c>
      <c r="F38" s="534" t="s">
        <v>1756</v>
      </c>
      <c r="G38" s="535"/>
      <c r="H38" s="507"/>
      <c r="I38" s="507"/>
    </row>
    <row r="39" spans="1:9" s="506" customFormat="1" ht="19.5" customHeight="1">
      <c r="A39" s="3296"/>
      <c r="B39" s="3296"/>
      <c r="C39" s="532" t="s">
        <v>1757</v>
      </c>
      <c r="D39" s="533"/>
      <c r="E39" s="531">
        <v>1</v>
      </c>
      <c r="F39" s="534" t="s">
        <v>1758</v>
      </c>
      <c r="G39" s="535"/>
      <c r="H39" s="507"/>
      <c r="I39" s="507"/>
    </row>
    <row r="40" spans="1:9" s="506" customFormat="1" ht="19.5" customHeight="1">
      <c r="A40" s="536" t="s">
        <v>1759</v>
      </c>
      <c r="B40" s="536"/>
      <c r="C40" s="536"/>
      <c r="D40" s="536"/>
      <c r="E40" s="536"/>
      <c r="F40" s="537"/>
      <c r="G40" s="537"/>
      <c r="H40" s="507"/>
      <c r="I40" s="507"/>
    </row>
    <row r="42" spans="1:9" ht="19.5" customHeight="1">
      <c r="A42" s="538"/>
      <c r="B42" s="522" t="s">
        <v>1760</v>
      </c>
      <c r="C42" s="522" t="s">
        <v>1760</v>
      </c>
      <c r="D42" s="522" t="s">
        <v>1760</v>
      </c>
      <c r="E42" s="524" t="s">
        <v>1760</v>
      </c>
      <c r="F42" s="524" t="s">
        <v>1760</v>
      </c>
      <c r="G42" s="524" t="s">
        <v>1761</v>
      </c>
      <c r="H42" s="524" t="s">
        <v>1760</v>
      </c>
    </row>
    <row r="43" spans="1:9" ht="19.5" customHeight="1">
      <c r="A43" s="539"/>
      <c r="B43" s="524" t="s">
        <v>1707</v>
      </c>
      <c r="C43" s="524" t="s">
        <v>1707</v>
      </c>
      <c r="D43" s="524" t="s">
        <v>1707</v>
      </c>
      <c r="E43" s="524" t="s">
        <v>1707</v>
      </c>
      <c r="F43" s="522" t="s">
        <v>1708</v>
      </c>
      <c r="G43" s="522" t="s">
        <v>1709</v>
      </c>
      <c r="H43" s="522" t="s">
        <v>1762</v>
      </c>
    </row>
    <row r="44" spans="1:9" ht="19.5" customHeight="1">
      <c r="A44" s="540"/>
      <c r="B44" s="522">
        <v>1</v>
      </c>
      <c r="C44" s="522">
        <v>2</v>
      </c>
      <c r="D44" s="522">
        <v>3</v>
      </c>
      <c r="E44" s="524">
        <v>4</v>
      </c>
      <c r="F44" s="529" t="s">
        <v>1763</v>
      </c>
      <c r="G44" s="529" t="s">
        <v>1763</v>
      </c>
      <c r="H44" s="529" t="s">
        <v>1763</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1764</v>
      </c>
      <c r="E58" s="526"/>
      <c r="F58" s="526"/>
    </row>
    <row r="59" spans="1:8" s="507" customFormat="1" ht="19.5" customHeight="1">
      <c r="A59" s="531" t="s">
        <v>1765</v>
      </c>
      <c r="B59" s="531" t="s">
        <v>1766</v>
      </c>
      <c r="C59" s="531" t="s">
        <v>1767</v>
      </c>
      <c r="D59" s="531" t="s">
        <v>1768</v>
      </c>
      <c r="E59" s="531" t="s">
        <v>1769</v>
      </c>
      <c r="F59" s="531" t="s">
        <v>1770</v>
      </c>
    </row>
    <row r="60" spans="1:8" ht="13.5">
      <c r="A60" s="531"/>
      <c r="B60" s="531"/>
      <c r="C60" s="531" t="s">
        <v>1771</v>
      </c>
      <c r="D60" s="531"/>
      <c r="E60" s="543" t="s">
        <v>124</v>
      </c>
      <c r="F60" s="531" t="s">
        <v>124</v>
      </c>
    </row>
    <row r="61" spans="1:8" s="507" customFormat="1" ht="24">
      <c r="A61" s="531">
        <v>1</v>
      </c>
      <c r="B61" s="3296" t="s">
        <v>1772</v>
      </c>
      <c r="C61" s="522" t="s">
        <v>1773</v>
      </c>
      <c r="D61" s="522" t="s">
        <v>1774</v>
      </c>
      <c r="E61" s="543">
        <v>0.5</v>
      </c>
      <c r="F61" s="531">
        <v>80</v>
      </c>
    </row>
    <row r="62" spans="1:8" s="507" customFormat="1" ht="24">
      <c r="A62" s="531">
        <v>2</v>
      </c>
      <c r="B62" s="3296"/>
      <c r="C62" s="522" t="s">
        <v>1775</v>
      </c>
      <c r="D62" s="522" t="s">
        <v>1776</v>
      </c>
      <c r="E62" s="543">
        <v>0.5</v>
      </c>
      <c r="F62" s="531">
        <v>80</v>
      </c>
    </row>
    <row r="63" spans="1:8" s="507" customFormat="1" ht="36">
      <c r="A63" s="531">
        <v>3</v>
      </c>
      <c r="B63" s="3296"/>
      <c r="C63" s="522" t="s">
        <v>1777</v>
      </c>
      <c r="D63" s="522" t="s">
        <v>1778</v>
      </c>
      <c r="E63" s="543">
        <v>0.5</v>
      </c>
      <c r="F63" s="531">
        <v>80</v>
      </c>
    </row>
    <row r="64" spans="1:8" s="507" customFormat="1" ht="36">
      <c r="A64" s="531">
        <v>4</v>
      </c>
      <c r="B64" s="3296"/>
      <c r="C64" s="522" t="s">
        <v>1779</v>
      </c>
      <c r="D64" s="522" t="s">
        <v>1780</v>
      </c>
      <c r="E64" s="543">
        <v>0.4</v>
      </c>
      <c r="F64" s="531">
        <v>60</v>
      </c>
    </row>
    <row r="65" spans="1:6" s="507" customFormat="1" ht="36">
      <c r="A65" s="531">
        <v>5</v>
      </c>
      <c r="B65" s="3296"/>
      <c r="C65" s="522" t="s">
        <v>1781</v>
      </c>
      <c r="D65" s="522" t="s">
        <v>1782</v>
      </c>
      <c r="E65" s="543">
        <v>0.2</v>
      </c>
      <c r="F65" s="531">
        <v>30</v>
      </c>
    </row>
    <row r="66" spans="1:6" s="507" customFormat="1" ht="36">
      <c r="A66" s="531">
        <v>6</v>
      </c>
      <c r="B66" s="3296"/>
      <c r="C66" s="522" t="s">
        <v>1783</v>
      </c>
      <c r="D66" s="522" t="s">
        <v>1784</v>
      </c>
      <c r="E66" s="543">
        <v>0.3</v>
      </c>
      <c r="F66" s="531">
        <v>50</v>
      </c>
    </row>
    <row r="67" spans="1:6" s="507" customFormat="1" ht="36">
      <c r="A67" s="531">
        <v>7</v>
      </c>
      <c r="B67" s="3296"/>
      <c r="C67" s="522" t="s">
        <v>1785</v>
      </c>
      <c r="D67" s="522" t="s">
        <v>1786</v>
      </c>
      <c r="E67" s="543">
        <v>0.2</v>
      </c>
      <c r="F67" s="531">
        <v>30</v>
      </c>
    </row>
    <row r="68" spans="1:6" s="507" customFormat="1" ht="36">
      <c r="A68" s="531">
        <v>8</v>
      </c>
      <c r="B68" s="3296"/>
      <c r="C68" s="522" t="s">
        <v>1787</v>
      </c>
      <c r="D68" s="522" t="s">
        <v>1788</v>
      </c>
      <c r="E68" s="543">
        <v>0.2</v>
      </c>
      <c r="F68" s="531">
        <v>30</v>
      </c>
    </row>
    <row r="69" spans="1:6" s="507" customFormat="1" ht="36">
      <c r="A69" s="531">
        <v>9</v>
      </c>
      <c r="B69" s="3296"/>
      <c r="C69" s="522" t="s">
        <v>1789</v>
      </c>
      <c r="D69" s="522" t="s">
        <v>1790</v>
      </c>
      <c r="E69" s="543">
        <v>0.2</v>
      </c>
      <c r="F69" s="531">
        <v>30</v>
      </c>
    </row>
    <row r="70" spans="1:6" s="507" customFormat="1" ht="48">
      <c r="A70" s="531">
        <v>10</v>
      </c>
      <c r="B70" s="3296"/>
      <c r="C70" s="522" t="s">
        <v>1791</v>
      </c>
      <c r="D70" s="522" t="s">
        <v>1792</v>
      </c>
      <c r="E70" s="543">
        <v>0.2</v>
      </c>
      <c r="F70" s="531">
        <v>30</v>
      </c>
    </row>
    <row r="71" spans="1:6" s="507" customFormat="1" ht="48">
      <c r="A71" s="531">
        <v>11</v>
      </c>
      <c r="B71" s="3296"/>
      <c r="C71" s="522" t="s">
        <v>1793</v>
      </c>
      <c r="D71" s="522" t="s">
        <v>1794</v>
      </c>
      <c r="E71" s="543">
        <v>0.2</v>
      </c>
      <c r="F71" s="531">
        <v>30</v>
      </c>
    </row>
    <row r="72" spans="1:6" s="507" customFormat="1" ht="36">
      <c r="A72" s="531">
        <v>12</v>
      </c>
      <c r="B72" s="3296"/>
      <c r="C72" s="522" t="s">
        <v>1795</v>
      </c>
      <c r="D72" s="522" t="s">
        <v>1796</v>
      </c>
      <c r="E72" s="543">
        <v>0.5</v>
      </c>
      <c r="F72" s="531">
        <v>80</v>
      </c>
    </row>
    <row r="73" spans="1:6" s="507" customFormat="1" ht="24">
      <c r="A73" s="531">
        <v>13</v>
      </c>
      <c r="B73" s="3296"/>
      <c r="C73" s="522" t="s">
        <v>1797</v>
      </c>
      <c r="D73" s="522" t="s">
        <v>1798</v>
      </c>
      <c r="E73" s="543">
        <v>0.4</v>
      </c>
      <c r="F73" s="531">
        <v>60</v>
      </c>
    </row>
    <row r="74" spans="1:6" s="507" customFormat="1" ht="24">
      <c r="A74" s="531">
        <v>14</v>
      </c>
      <c r="B74" s="3296"/>
      <c r="C74" s="522" t="s">
        <v>1799</v>
      </c>
      <c r="D74" s="522" t="s">
        <v>1800</v>
      </c>
      <c r="E74" s="543">
        <v>0.2</v>
      </c>
      <c r="F74" s="531">
        <v>30</v>
      </c>
    </row>
    <row r="75" spans="1:6" s="507" customFormat="1" ht="24">
      <c r="A75" s="531">
        <v>15</v>
      </c>
      <c r="B75" s="3296"/>
      <c r="C75" s="522" t="s">
        <v>1801</v>
      </c>
      <c r="D75" s="522" t="s">
        <v>1802</v>
      </c>
      <c r="E75" s="543">
        <v>0.2</v>
      </c>
      <c r="F75" s="531">
        <v>30</v>
      </c>
    </row>
    <row r="76" spans="1:6" s="507" customFormat="1" ht="24">
      <c r="A76" s="531">
        <v>16</v>
      </c>
      <c r="B76" s="3296" t="s">
        <v>1803</v>
      </c>
      <c r="C76" s="522" t="s">
        <v>1804</v>
      </c>
      <c r="D76" s="522" t="s">
        <v>1805</v>
      </c>
      <c r="E76" s="543">
        <v>0.5</v>
      </c>
      <c r="F76" s="531">
        <v>80</v>
      </c>
    </row>
    <row r="77" spans="1:6" s="507" customFormat="1" ht="24">
      <c r="A77" s="531">
        <v>17</v>
      </c>
      <c r="B77" s="3296"/>
      <c r="C77" s="522" t="s">
        <v>1806</v>
      </c>
      <c r="D77" s="522" t="s">
        <v>1807</v>
      </c>
      <c r="E77" s="543">
        <v>0.5</v>
      </c>
      <c r="F77" s="531">
        <v>80</v>
      </c>
    </row>
    <row r="78" spans="1:6" s="507" customFormat="1" ht="24">
      <c r="A78" s="531">
        <v>18</v>
      </c>
      <c r="B78" s="3296"/>
      <c r="C78" s="522" t="s">
        <v>1808</v>
      </c>
      <c r="D78" s="522" t="s">
        <v>1809</v>
      </c>
      <c r="E78" s="543">
        <v>0.2</v>
      </c>
      <c r="F78" s="531">
        <v>30</v>
      </c>
    </row>
    <row r="79" spans="1:6" s="507" customFormat="1" ht="24">
      <c r="A79" s="531">
        <v>19</v>
      </c>
      <c r="B79" s="3296"/>
      <c r="C79" s="522" t="s">
        <v>1810</v>
      </c>
      <c r="D79" s="522" t="s">
        <v>1811</v>
      </c>
      <c r="E79" s="543">
        <v>0.5</v>
      </c>
      <c r="F79" s="531">
        <v>80</v>
      </c>
    </row>
    <row r="80" spans="1:6" s="507" customFormat="1" ht="36">
      <c r="A80" s="531">
        <v>20</v>
      </c>
      <c r="B80" s="3296"/>
      <c r="C80" s="522" t="s">
        <v>1812</v>
      </c>
      <c r="D80" s="522" t="s">
        <v>1813</v>
      </c>
      <c r="E80" s="543">
        <v>0.2</v>
      </c>
      <c r="F80" s="531">
        <v>30</v>
      </c>
    </row>
    <row r="81" spans="1:6" s="507" customFormat="1" ht="36">
      <c r="A81" s="531">
        <v>21</v>
      </c>
      <c r="B81" s="3296"/>
      <c r="C81" s="522" t="s">
        <v>1814</v>
      </c>
      <c r="D81" s="522" t="s">
        <v>1815</v>
      </c>
      <c r="E81" s="543">
        <v>0.2</v>
      </c>
      <c r="F81" s="531">
        <v>30</v>
      </c>
    </row>
    <row r="82" spans="1:6" s="507" customFormat="1" ht="48">
      <c r="A82" s="531">
        <v>22</v>
      </c>
      <c r="B82" s="3296"/>
      <c r="C82" s="522" t="s">
        <v>1816</v>
      </c>
      <c r="D82" s="522" t="s">
        <v>1817</v>
      </c>
      <c r="E82" s="543">
        <v>0.2</v>
      </c>
      <c r="F82" s="531">
        <v>30</v>
      </c>
    </row>
    <row r="83" spans="1:6" s="507" customFormat="1" ht="48">
      <c r="A83" s="531">
        <v>23</v>
      </c>
      <c r="B83" s="3296"/>
      <c r="C83" s="522" t="s">
        <v>1818</v>
      </c>
      <c r="D83" s="522" t="s">
        <v>1819</v>
      </c>
      <c r="E83" s="543">
        <v>0.2</v>
      </c>
      <c r="F83" s="531">
        <v>30</v>
      </c>
    </row>
    <row r="84" spans="1:6" s="507" customFormat="1" ht="36">
      <c r="A84" s="531">
        <v>24</v>
      </c>
      <c r="B84" s="3296"/>
      <c r="C84" s="522" t="s">
        <v>1820</v>
      </c>
      <c r="D84" s="522" t="s">
        <v>1821</v>
      </c>
      <c r="E84" s="543">
        <v>0.2</v>
      </c>
      <c r="F84" s="531">
        <v>30</v>
      </c>
    </row>
    <row r="85" spans="1:6" s="507" customFormat="1" ht="36">
      <c r="A85" s="531">
        <v>25</v>
      </c>
      <c r="B85" s="3296"/>
      <c r="C85" s="522" t="s">
        <v>1822</v>
      </c>
      <c r="D85" s="522" t="s">
        <v>1823</v>
      </c>
      <c r="E85" s="543">
        <v>0.5</v>
      </c>
      <c r="F85" s="531">
        <v>80</v>
      </c>
    </row>
    <row r="86" spans="1:6" s="507" customFormat="1" ht="36">
      <c r="A86" s="531">
        <v>26</v>
      </c>
      <c r="B86" s="3296"/>
      <c r="C86" s="522" t="s">
        <v>1824</v>
      </c>
      <c r="D86" s="522" t="s">
        <v>1825</v>
      </c>
      <c r="E86" s="543">
        <v>0.2</v>
      </c>
      <c r="F86" s="531">
        <v>30</v>
      </c>
    </row>
    <row r="87" spans="1:6" s="507" customFormat="1" ht="36">
      <c r="A87" s="531">
        <v>27</v>
      </c>
      <c r="B87" s="3296"/>
      <c r="C87" s="522" t="s">
        <v>1826</v>
      </c>
      <c r="D87" s="522" t="s">
        <v>1827</v>
      </c>
      <c r="E87" s="543">
        <v>0.2</v>
      </c>
      <c r="F87" s="531">
        <v>30</v>
      </c>
    </row>
    <row r="88" spans="1:6" s="507" customFormat="1" ht="36">
      <c r="A88" s="531">
        <v>28</v>
      </c>
      <c r="B88" s="3296"/>
      <c r="C88" s="522" t="s">
        <v>1828</v>
      </c>
      <c r="D88" s="522" t="s">
        <v>1829</v>
      </c>
      <c r="E88" s="543">
        <v>0.2</v>
      </c>
      <c r="F88" s="531">
        <v>30</v>
      </c>
    </row>
    <row r="89" spans="1:6" s="507" customFormat="1" ht="24">
      <c r="A89" s="531">
        <v>29</v>
      </c>
      <c r="B89" s="3296"/>
      <c r="C89" s="522" t="s">
        <v>1830</v>
      </c>
      <c r="D89" s="522" t="s">
        <v>1831</v>
      </c>
      <c r="E89" s="543">
        <v>0.2</v>
      </c>
      <c r="F89" s="531">
        <v>30</v>
      </c>
    </row>
    <row r="90" spans="1:6" s="507" customFormat="1" ht="24">
      <c r="A90" s="531">
        <v>30</v>
      </c>
      <c r="B90" s="3296"/>
      <c r="C90" s="522" t="s">
        <v>1832</v>
      </c>
      <c r="D90" s="522" t="s">
        <v>1833</v>
      </c>
      <c r="E90" s="543">
        <v>0.2</v>
      </c>
      <c r="F90" s="531">
        <v>30</v>
      </c>
    </row>
    <row r="91" spans="1:6" s="507" customFormat="1" ht="36">
      <c r="A91" s="531">
        <v>31</v>
      </c>
      <c r="B91" s="3296"/>
      <c r="C91" s="522" t="s">
        <v>1834</v>
      </c>
      <c r="D91" s="522" t="s">
        <v>1835</v>
      </c>
      <c r="E91" s="543">
        <v>0.2</v>
      </c>
      <c r="F91" s="531">
        <v>30</v>
      </c>
    </row>
    <row r="92" spans="1:6" s="507" customFormat="1" ht="24">
      <c r="A92" s="531">
        <v>32</v>
      </c>
      <c r="B92" s="3296" t="s">
        <v>1836</v>
      </c>
      <c r="C92" s="531" t="s">
        <v>1837</v>
      </c>
      <c r="D92" s="522" t="s">
        <v>1838</v>
      </c>
      <c r="E92" s="543">
        <v>0.2</v>
      </c>
      <c r="F92" s="531">
        <v>30</v>
      </c>
    </row>
    <row r="93" spans="1:6" s="507" customFormat="1" ht="36">
      <c r="A93" s="531">
        <v>33</v>
      </c>
      <c r="B93" s="3296"/>
      <c r="C93" s="531" t="s">
        <v>1839</v>
      </c>
      <c r="D93" s="522" t="s">
        <v>1840</v>
      </c>
      <c r="E93" s="543">
        <v>0.2</v>
      </c>
      <c r="F93" s="531">
        <v>30</v>
      </c>
    </row>
    <row r="94" spans="1:6" s="507" customFormat="1" ht="48">
      <c r="A94" s="531">
        <v>34</v>
      </c>
      <c r="B94" s="3296"/>
      <c r="C94" s="531" t="s">
        <v>1841</v>
      </c>
      <c r="D94" s="522" t="s">
        <v>1842</v>
      </c>
      <c r="E94" s="543">
        <v>0.2</v>
      </c>
      <c r="F94" s="531">
        <v>30</v>
      </c>
    </row>
    <row r="95" spans="1:6" s="507" customFormat="1" ht="36">
      <c r="A95" s="531">
        <v>35</v>
      </c>
      <c r="B95" s="3296"/>
      <c r="C95" s="531" t="s">
        <v>1843</v>
      </c>
      <c r="D95" s="522" t="s">
        <v>1844</v>
      </c>
      <c r="E95" s="543">
        <v>0.2</v>
      </c>
      <c r="F95" s="531">
        <v>30</v>
      </c>
    </row>
    <row r="96" spans="1:6" s="507" customFormat="1" ht="48">
      <c r="A96" s="531">
        <v>36</v>
      </c>
      <c r="B96" s="3296"/>
      <c r="C96" s="522" t="s">
        <v>1845</v>
      </c>
      <c r="D96" s="522" t="s">
        <v>1846</v>
      </c>
      <c r="E96" s="543">
        <v>0.2</v>
      </c>
      <c r="F96" s="531">
        <v>30</v>
      </c>
    </row>
    <row r="97" spans="1:6" s="507" customFormat="1" ht="36">
      <c r="A97" s="531">
        <v>37</v>
      </c>
      <c r="B97" s="3296"/>
      <c r="C97" s="531" t="s">
        <v>1847</v>
      </c>
      <c r="D97" s="522" t="s">
        <v>1848</v>
      </c>
      <c r="E97" s="543">
        <v>0.2</v>
      </c>
      <c r="F97" s="531">
        <v>30</v>
      </c>
    </row>
    <row r="98" spans="1:6" s="507" customFormat="1" ht="36">
      <c r="A98" s="531">
        <v>38</v>
      </c>
      <c r="B98" s="3296"/>
      <c r="C98" s="531" t="s">
        <v>1849</v>
      </c>
      <c r="D98" s="522" t="s">
        <v>1850</v>
      </c>
      <c r="E98" s="543">
        <v>0.2</v>
      </c>
      <c r="F98" s="531">
        <v>30</v>
      </c>
    </row>
    <row r="99" spans="1:6" s="507" customFormat="1" ht="36">
      <c r="A99" s="531">
        <v>39</v>
      </c>
      <c r="B99" s="3296" t="s">
        <v>1851</v>
      </c>
      <c r="C99" s="531" t="s">
        <v>1852</v>
      </c>
      <c r="D99" s="522" t="s">
        <v>1853</v>
      </c>
      <c r="E99" s="543">
        <v>0.3</v>
      </c>
      <c r="F99" s="531">
        <v>50</v>
      </c>
    </row>
    <row r="100" spans="1:6" s="507" customFormat="1" ht="24">
      <c r="A100" s="531">
        <v>40</v>
      </c>
      <c r="B100" s="3296"/>
      <c r="C100" s="531" t="s">
        <v>1854</v>
      </c>
      <c r="D100" s="522" t="s">
        <v>1855</v>
      </c>
      <c r="E100" s="543">
        <v>0.2</v>
      </c>
      <c r="F100" s="531">
        <v>30</v>
      </c>
    </row>
    <row r="101" spans="1:6" s="507" customFormat="1" ht="36">
      <c r="A101" s="531">
        <v>41</v>
      </c>
      <c r="B101" s="3296"/>
      <c r="C101" s="531" t="s">
        <v>1856</v>
      </c>
      <c r="D101" s="522" t="s">
        <v>1853</v>
      </c>
      <c r="E101" s="543">
        <v>0.2</v>
      </c>
      <c r="F101" s="531">
        <v>30</v>
      </c>
    </row>
    <row r="102" spans="1:6" s="507" customFormat="1" ht="48">
      <c r="A102" s="531">
        <v>42</v>
      </c>
      <c r="B102" s="531" t="s">
        <v>1857</v>
      </c>
      <c r="C102" s="522" t="s">
        <v>1858</v>
      </c>
      <c r="D102" s="522" t="s">
        <v>1859</v>
      </c>
      <c r="E102" s="543">
        <v>0.2</v>
      </c>
      <c r="F102" s="531">
        <v>30</v>
      </c>
    </row>
    <row r="103" spans="1:6" s="507" customFormat="1" ht="24">
      <c r="A103" s="531">
        <v>43</v>
      </c>
      <c r="B103" s="531" t="s">
        <v>1860</v>
      </c>
      <c r="C103" s="531" t="s">
        <v>1861</v>
      </c>
      <c r="D103" s="522" t="s">
        <v>1862</v>
      </c>
      <c r="E103" s="543">
        <v>0.2</v>
      </c>
      <c r="F103" s="531">
        <v>30</v>
      </c>
    </row>
    <row r="104" spans="1:6" s="507" customFormat="1" ht="36">
      <c r="A104" s="531">
        <v>44</v>
      </c>
      <c r="B104" s="531" t="s">
        <v>1863</v>
      </c>
      <c r="C104" s="531" t="s">
        <v>1864</v>
      </c>
      <c r="D104" s="522" t="s">
        <v>1865</v>
      </c>
      <c r="E104" s="543">
        <v>0.2</v>
      </c>
      <c r="F104" s="531">
        <v>30</v>
      </c>
    </row>
    <row r="105" spans="1:6" s="507" customFormat="1" ht="36">
      <c r="A105" s="531">
        <v>45</v>
      </c>
      <c r="B105" s="3296" t="s">
        <v>1866</v>
      </c>
      <c r="C105" s="531" t="s">
        <v>1867</v>
      </c>
      <c r="D105" s="522" t="s">
        <v>1868</v>
      </c>
      <c r="E105" s="543">
        <v>0.2</v>
      </c>
      <c r="F105" s="531">
        <v>30</v>
      </c>
    </row>
    <row r="106" spans="1:6" s="507" customFormat="1" ht="36">
      <c r="A106" s="531">
        <v>46</v>
      </c>
      <c r="B106" s="3296"/>
      <c r="C106" s="531" t="s">
        <v>1869</v>
      </c>
      <c r="D106" s="522" t="s">
        <v>1870</v>
      </c>
      <c r="E106" s="543">
        <v>0.2</v>
      </c>
      <c r="F106" s="531">
        <v>30</v>
      </c>
    </row>
    <row r="107" spans="1:6" s="507" customFormat="1" ht="36">
      <c r="A107" s="531">
        <v>47</v>
      </c>
      <c r="B107" s="3296" t="s">
        <v>1871</v>
      </c>
      <c r="C107" s="531" t="s">
        <v>1872</v>
      </c>
      <c r="D107" s="522" t="s">
        <v>1873</v>
      </c>
      <c r="E107" s="543">
        <v>0.3</v>
      </c>
      <c r="F107" s="531">
        <v>50</v>
      </c>
    </row>
    <row r="108" spans="1:6" s="507" customFormat="1" ht="36">
      <c r="A108" s="531">
        <v>48</v>
      </c>
      <c r="B108" s="3296"/>
      <c r="C108" s="531" t="s">
        <v>1874</v>
      </c>
      <c r="D108" s="522" t="s">
        <v>1875</v>
      </c>
      <c r="E108" s="543">
        <v>0.2</v>
      </c>
      <c r="F108" s="531">
        <v>30</v>
      </c>
    </row>
    <row r="109" spans="1:6" s="507" customFormat="1" ht="36">
      <c r="A109" s="531">
        <v>49</v>
      </c>
      <c r="B109" s="531" t="s">
        <v>1876</v>
      </c>
      <c r="C109" s="531" t="s">
        <v>1877</v>
      </c>
      <c r="D109" s="522" t="s">
        <v>1878</v>
      </c>
      <c r="E109" s="543">
        <v>0.2</v>
      </c>
      <c r="F109" s="531">
        <v>30</v>
      </c>
    </row>
    <row r="110" spans="1:6" s="507" customFormat="1" ht="36">
      <c r="A110" s="531">
        <v>50</v>
      </c>
      <c r="B110" s="531" t="s">
        <v>1879</v>
      </c>
      <c r="C110" s="531" t="s">
        <v>1880</v>
      </c>
      <c r="D110" s="522" t="s">
        <v>1881</v>
      </c>
      <c r="E110" s="543">
        <v>0.2</v>
      </c>
      <c r="F110" s="531">
        <v>30</v>
      </c>
    </row>
    <row r="111" spans="1:6" s="507" customFormat="1" ht="36">
      <c r="A111" s="531">
        <v>51</v>
      </c>
      <c r="B111" s="3296" t="s">
        <v>1882</v>
      </c>
      <c r="C111" s="531" t="s">
        <v>1883</v>
      </c>
      <c r="D111" s="522" t="s">
        <v>1884</v>
      </c>
      <c r="E111" s="543">
        <v>0.2</v>
      </c>
      <c r="F111" s="531">
        <v>30</v>
      </c>
    </row>
    <row r="112" spans="1:6" s="507" customFormat="1" ht="24">
      <c r="A112" s="531">
        <v>52</v>
      </c>
      <c r="B112" s="3296"/>
      <c r="C112" s="531" t="s">
        <v>1885</v>
      </c>
      <c r="D112" s="522" t="s">
        <v>1886</v>
      </c>
      <c r="E112" s="543">
        <v>0.2</v>
      </c>
      <c r="F112" s="531">
        <v>30</v>
      </c>
    </row>
    <row r="113" spans="1:6" s="507" customFormat="1" ht="24">
      <c r="A113" s="531">
        <v>53</v>
      </c>
      <c r="B113" s="3296"/>
      <c r="C113" s="531" t="s">
        <v>1887</v>
      </c>
      <c r="D113" s="522" t="s">
        <v>1888</v>
      </c>
      <c r="E113" s="543">
        <v>0.2</v>
      </c>
      <c r="F113" s="531">
        <v>30</v>
      </c>
    </row>
    <row r="114" spans="1:6" ht="36">
      <c r="A114" s="531">
        <v>54</v>
      </c>
      <c r="B114" s="531" t="s">
        <v>1889</v>
      </c>
      <c r="C114" s="531" t="s">
        <v>1890</v>
      </c>
      <c r="D114" s="522" t="s">
        <v>1891</v>
      </c>
      <c r="E114" s="543">
        <v>0.2</v>
      </c>
      <c r="F114" s="531">
        <v>30</v>
      </c>
    </row>
    <row r="115" spans="1:6" ht="24">
      <c r="A115" s="531">
        <v>55</v>
      </c>
      <c r="B115" s="531" t="s">
        <v>1892</v>
      </c>
      <c r="C115" s="531" t="s">
        <v>1893</v>
      </c>
      <c r="D115" s="522" t="s">
        <v>1894</v>
      </c>
      <c r="E115" s="543">
        <v>0.2</v>
      </c>
      <c r="F115" s="531">
        <v>30</v>
      </c>
    </row>
    <row r="116" spans="1:6" ht="24">
      <c r="A116" s="531">
        <v>56</v>
      </c>
      <c r="B116" s="3296" t="s">
        <v>1895</v>
      </c>
      <c r="C116" s="531" t="s">
        <v>1896</v>
      </c>
      <c r="D116" s="522" t="s">
        <v>1897</v>
      </c>
      <c r="E116" s="543">
        <v>0.2</v>
      </c>
      <c r="F116" s="531">
        <v>30</v>
      </c>
    </row>
    <row r="117" spans="1:6" ht="36">
      <c r="A117" s="531">
        <v>57</v>
      </c>
      <c r="B117" s="3296"/>
      <c r="C117" s="531" t="s">
        <v>1898</v>
      </c>
      <c r="D117" s="522" t="s">
        <v>1899</v>
      </c>
      <c r="E117" s="543">
        <v>0.2</v>
      </c>
      <c r="F117" s="531">
        <v>30</v>
      </c>
    </row>
    <row r="118" spans="1:6" ht="36">
      <c r="A118" s="531">
        <v>58</v>
      </c>
      <c r="B118" s="531" t="s">
        <v>1900</v>
      </c>
      <c r="C118" s="531" t="s">
        <v>1901</v>
      </c>
      <c r="D118" s="522" t="s">
        <v>1902</v>
      </c>
      <c r="E118" s="543">
        <v>0.2</v>
      </c>
      <c r="F118" s="531">
        <v>30</v>
      </c>
    </row>
    <row r="119" spans="1:6" ht="13.5">
      <c r="A119" s="531"/>
      <c r="B119" s="531"/>
      <c r="C119" s="531" t="s">
        <v>1771</v>
      </c>
      <c r="D119" s="531"/>
      <c r="E119" s="543" t="s">
        <v>124</v>
      </c>
      <c r="F119" s="5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1903</v>
      </c>
      <c r="B1" s="498"/>
      <c r="C1" s="498"/>
      <c r="D1" s="498"/>
      <c r="E1" s="498"/>
      <c r="F1" s="498"/>
      <c r="G1" s="498"/>
      <c r="H1" s="498"/>
      <c r="I1" s="498"/>
      <c r="J1" s="498"/>
      <c r="K1" s="498"/>
      <c r="L1" s="498"/>
      <c r="M1" s="498"/>
      <c r="N1" s="498"/>
    </row>
    <row r="2" spans="1:14">
      <c r="A2" s="499" t="s">
        <v>1904</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1905</v>
      </c>
      <c r="B103" s="498"/>
      <c r="C103" s="498"/>
      <c r="D103" s="498"/>
      <c r="E103" s="498"/>
      <c r="F103" s="498"/>
      <c r="G103" s="498"/>
      <c r="H103" s="498"/>
      <c r="I103" s="498"/>
      <c r="J103" s="498"/>
      <c r="K103" s="498"/>
      <c r="L103" s="498"/>
      <c r="M103" s="498"/>
      <c r="N103" s="498"/>
    </row>
    <row r="104" spans="1:14" ht="14.25">
      <c r="A104" s="499" t="s">
        <v>1904</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t="e">
        <f>SUMPRODUCT((A105:A204=ROUNDDOWN(基准地价修正!G3,1))*(B104:M104=基准地价修正!G2)*(B105:M204))</f>
        <v>#DIV/0!</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1906</v>
      </c>
      <c r="B205" s="498"/>
      <c r="C205" s="498"/>
      <c r="D205" s="498"/>
      <c r="E205" s="498"/>
      <c r="F205" s="498"/>
      <c r="G205" s="498"/>
      <c r="H205" s="498"/>
      <c r="I205" s="498"/>
      <c r="J205" s="498"/>
      <c r="K205" s="498"/>
      <c r="L205" s="498"/>
      <c r="M205" s="498"/>
    </row>
    <row r="206" spans="1:13">
      <c r="A206" s="499" t="s">
        <v>1904</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1907</v>
      </c>
      <c r="B307" s="498"/>
      <c r="C307" s="498"/>
      <c r="D307" s="498"/>
      <c r="E307" s="498"/>
      <c r="F307" s="498"/>
      <c r="G307" s="498"/>
      <c r="H307" s="498"/>
      <c r="I307" s="498"/>
      <c r="J307" s="498"/>
      <c r="K307" s="498"/>
      <c r="L307" s="498"/>
      <c r="M307" s="498"/>
    </row>
    <row r="308" spans="1:13">
      <c r="A308" s="499" t="s">
        <v>1904</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1908</v>
      </c>
    </row>
    <row r="2" spans="1:5" ht="15.75">
      <c r="A2" s="488" t="s">
        <v>97</v>
      </c>
      <c r="B2" s="489" t="e">
        <f ca="1">SUMIF(B6:B13,"&lt;&gt;#ref!",B6:B13)</f>
        <v>#DIV/0!</v>
      </c>
      <c r="C2" s="488" t="s">
        <v>1909</v>
      </c>
      <c r="D2" s="488" t="s">
        <v>1910</v>
      </c>
      <c r="E2" s="489">
        <f ca="1">SUMIF(E6:E13,"&lt;&gt;#ref!",E6:E13)</f>
        <v>0</v>
      </c>
    </row>
    <row r="3" spans="1:5" ht="15.75">
      <c r="A3" s="488" t="s">
        <v>1911</v>
      </c>
      <c r="B3" s="489" t="e">
        <f ca="1">ROUND(B2*10000/E2,0)</f>
        <v>#DIV/0!</v>
      </c>
      <c r="C3" s="488" t="s">
        <v>1912</v>
      </c>
      <c r="D3" s="490"/>
      <c r="E3" s="490"/>
    </row>
    <row r="4" spans="1:5" ht="15.75">
      <c r="A4" s="491"/>
      <c r="B4" s="490"/>
      <c r="C4" s="490"/>
      <c r="D4" s="490"/>
      <c r="E4" s="490"/>
    </row>
    <row r="5" spans="1:5" ht="28.5">
      <c r="A5" s="492" t="s">
        <v>1913</v>
      </c>
      <c r="B5" s="488" t="s">
        <v>1914</v>
      </c>
      <c r="C5" s="489"/>
      <c r="D5" s="490"/>
      <c r="E5" s="488" t="s">
        <v>1915</v>
      </c>
    </row>
    <row r="6" spans="1:5" ht="15.75">
      <c r="A6" s="493" t="s">
        <v>1916</v>
      </c>
      <c r="B6" s="489" t="e">
        <f ca="1">SUMIF(INDIRECT("'"&amp;A6&amp;"'"&amp;"!A:A"),"总价",INDIRECT("'"&amp;A6&amp;"'"&amp;"!B:B"))</f>
        <v>#DIV/0!</v>
      </c>
      <c r="C6" s="488" t="s">
        <v>1909</v>
      </c>
      <c r="D6" s="490"/>
      <c r="E6" s="494">
        <f ca="1">SUMIF(INDIRECT("'"&amp;A6&amp;"'"&amp;"!C:C"),"建筑面积",INDIRECT("'"&amp;A6&amp;"'"&amp;"!D:D"))</f>
        <v>0</v>
      </c>
    </row>
    <row r="7" spans="1:5" ht="15.75">
      <c r="A7" s="493"/>
      <c r="B7" s="489" t="e">
        <f ca="1">SUMIF(INDIRECT("'"&amp;A7&amp;"'"&amp;"!A:A"),"总价",INDIRECT("'"&amp;A7&amp;"'"&amp;"!B:B"))</f>
        <v>#REF!</v>
      </c>
      <c r="C7" s="488" t="s">
        <v>1909</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1909</v>
      </c>
      <c r="D8" s="490"/>
      <c r="E8" s="494" t="e">
        <f t="shared" ca="1" si="0"/>
        <v>#REF!</v>
      </c>
    </row>
    <row r="9" spans="1:5" ht="15.75">
      <c r="A9" s="493"/>
      <c r="B9" s="489" t="e">
        <f t="shared" ca="1" si="1"/>
        <v>#REF!</v>
      </c>
      <c r="C9" s="488" t="s">
        <v>1909</v>
      </c>
      <c r="D9" s="490"/>
      <c r="E9" s="494" t="e">
        <f t="shared" ca="1" si="0"/>
        <v>#REF!</v>
      </c>
    </row>
    <row r="10" spans="1:5" ht="15.75">
      <c r="A10" s="493"/>
      <c r="B10" s="489" t="e">
        <f t="shared" ca="1" si="1"/>
        <v>#REF!</v>
      </c>
      <c r="C10" s="488" t="s">
        <v>1909</v>
      </c>
      <c r="D10" s="490"/>
      <c r="E10" s="494" t="e">
        <f t="shared" ca="1" si="0"/>
        <v>#REF!</v>
      </c>
    </row>
    <row r="11" spans="1:5" ht="15.75">
      <c r="A11" s="493"/>
      <c r="B11" s="489" t="e">
        <f t="shared" ca="1" si="1"/>
        <v>#REF!</v>
      </c>
      <c r="C11" s="488" t="s">
        <v>1909</v>
      </c>
      <c r="D11" s="490"/>
      <c r="E11" s="494" t="e">
        <f t="shared" ca="1" si="0"/>
        <v>#REF!</v>
      </c>
    </row>
    <row r="12" spans="1:5" ht="15.75">
      <c r="A12" s="493"/>
      <c r="B12" s="489" t="e">
        <f t="shared" ca="1" si="1"/>
        <v>#REF!</v>
      </c>
      <c r="C12" s="488" t="s">
        <v>1909</v>
      </c>
      <c r="D12" s="490"/>
      <c r="E12" s="494" t="e">
        <f t="shared" ca="1" si="0"/>
        <v>#REF!</v>
      </c>
    </row>
    <row r="13" spans="1:5" ht="15.75">
      <c r="A13" s="493"/>
      <c r="B13" s="489" t="e">
        <f t="shared" ca="1" si="1"/>
        <v>#REF!</v>
      </c>
      <c r="C13" s="488" t="s">
        <v>1909</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M1" zoomScale="80" zoomScaleNormal="80" workbookViewId="0">
      <selection activeCell="AG5" sqref="AG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297" t="s">
        <v>1917</v>
      </c>
      <c r="C1" s="3297"/>
      <c r="D1" s="3297"/>
      <c r="E1" s="3297"/>
      <c r="F1" s="3297"/>
      <c r="G1" s="3298" t="s">
        <v>1918</v>
      </c>
      <c r="H1" s="3298"/>
      <c r="I1" s="3298"/>
      <c r="J1" s="3298"/>
      <c r="K1" s="3298"/>
      <c r="L1" s="3298"/>
      <c r="N1" s="3298" t="s">
        <v>1919</v>
      </c>
      <c r="O1" s="3298"/>
      <c r="P1" s="3298"/>
      <c r="Q1" s="3298"/>
      <c r="R1" s="352"/>
      <c r="S1" s="3298" t="s">
        <v>1920</v>
      </c>
      <c r="T1" s="3298"/>
      <c r="U1" s="3298"/>
      <c r="V1" s="3298"/>
      <c r="X1" s="3299" t="s">
        <v>1921</v>
      </c>
      <c r="Y1" s="3298"/>
      <c r="Z1" s="3298"/>
      <c r="AA1" s="3298"/>
      <c r="AB1" s="3298"/>
      <c r="AD1" s="3299" t="s">
        <v>1922</v>
      </c>
      <c r="AE1" s="3298"/>
      <c r="AF1" s="3298"/>
      <c r="AG1" s="3298"/>
      <c r="AH1" s="3298"/>
    </row>
    <row r="2" spans="1:34" s="342" customFormat="1" ht="13.5">
      <c r="B2" s="353" t="s">
        <v>1923</v>
      </c>
      <c r="C2" s="353" t="s">
        <v>1924</v>
      </c>
      <c r="D2" s="354" t="s">
        <v>1708</v>
      </c>
      <c r="E2" s="354" t="s">
        <v>357</v>
      </c>
      <c r="F2" s="353" t="s">
        <v>1925</v>
      </c>
      <c r="G2" s="355"/>
      <c r="H2" s="356"/>
      <c r="I2" s="353" t="s">
        <v>1923</v>
      </c>
      <c r="J2" s="354" t="s">
        <v>1926</v>
      </c>
      <c r="K2" s="354" t="s">
        <v>357</v>
      </c>
      <c r="L2" s="353" t="s">
        <v>1925</v>
      </c>
      <c r="N2" s="353" t="s">
        <v>1923</v>
      </c>
      <c r="O2" s="354" t="s">
        <v>1926</v>
      </c>
      <c r="P2" s="354" t="s">
        <v>357</v>
      </c>
      <c r="Q2" s="353" t="s">
        <v>1925</v>
      </c>
      <c r="R2" s="432"/>
      <c r="S2" s="353" t="s">
        <v>1923</v>
      </c>
      <c r="T2" s="354" t="s">
        <v>1926</v>
      </c>
      <c r="U2" s="354" t="s">
        <v>357</v>
      </c>
      <c r="V2" s="353" t="s">
        <v>1925</v>
      </c>
      <c r="X2" s="353" t="s">
        <v>1923</v>
      </c>
      <c r="Y2" s="353" t="s">
        <v>1924</v>
      </c>
      <c r="Z2" s="354" t="s">
        <v>1708</v>
      </c>
      <c r="AA2" s="354" t="s">
        <v>357</v>
      </c>
      <c r="AB2" s="353" t="s">
        <v>1925</v>
      </c>
      <c r="AD2" s="353" t="s">
        <v>1923</v>
      </c>
      <c r="AE2" s="353" t="s">
        <v>1924</v>
      </c>
      <c r="AF2" s="354" t="s">
        <v>1708</v>
      </c>
      <c r="AG2" s="354" t="s">
        <v>357</v>
      </c>
      <c r="AH2" s="353" t="s">
        <v>1925</v>
      </c>
    </row>
    <row r="3" spans="1:34" s="343" customFormat="1" ht="14.25">
      <c r="A3" s="357" t="s">
        <v>1927</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1928</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1929</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1930</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1931</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1932</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1933</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1934</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1935</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1936</v>
      </c>
      <c r="B12" s="374">
        <v>392</v>
      </c>
      <c r="C12" s="374">
        <v>302</v>
      </c>
      <c r="D12" s="374">
        <f t="shared" si="42"/>
        <v>302</v>
      </c>
      <c r="E12" s="374">
        <v>553</v>
      </c>
      <c r="F12" s="375">
        <v>266</v>
      </c>
      <c r="G12" s="3300">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1937</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01"/>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1938</v>
      </c>
      <c r="B14" s="371">
        <f t="shared" si="53"/>
        <v>360.06949782209398</v>
      </c>
      <c r="C14" s="371">
        <f t="shared" si="53"/>
        <v>289.84672674747799</v>
      </c>
      <c r="D14" s="371">
        <f t="shared" si="54"/>
        <v>289.84672674747799</v>
      </c>
      <c r="E14" s="371">
        <f t="shared" si="55"/>
        <v>501.06543001181501</v>
      </c>
      <c r="F14" s="371">
        <f t="shared" si="55"/>
        <v>256.82882500745001</v>
      </c>
      <c r="G14" s="3301"/>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1939</v>
      </c>
      <c r="B15" s="371">
        <f t="shared" si="53"/>
        <v>346.720748986128</v>
      </c>
      <c r="C15" s="371">
        <f t="shared" si="53"/>
        <v>284.30282172386302</v>
      </c>
      <c r="D15" s="371">
        <f t="shared" si="54"/>
        <v>284.30282172386302</v>
      </c>
      <c r="E15" s="371">
        <f t="shared" si="55"/>
        <v>479.58023546306902</v>
      </c>
      <c r="F15" s="371">
        <f t="shared" si="55"/>
        <v>253.25788877571199</v>
      </c>
      <c r="G15" s="3302"/>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1940</v>
      </c>
      <c r="B16" s="374">
        <v>333</v>
      </c>
      <c r="C16" s="374">
        <v>277</v>
      </c>
      <c r="D16" s="374">
        <f t="shared" si="54"/>
        <v>277</v>
      </c>
      <c r="E16" s="374">
        <v>459</v>
      </c>
      <c r="F16" s="375">
        <v>249</v>
      </c>
      <c r="G16" s="3303">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1941</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01"/>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1942</v>
      </c>
      <c r="B18" s="371">
        <f t="shared" si="57"/>
        <v>322.34053690220799</v>
      </c>
      <c r="C18" s="371">
        <f t="shared" si="57"/>
        <v>271.461607704225</v>
      </c>
      <c r="D18" s="371">
        <f t="shared" si="54"/>
        <v>271.461607704225</v>
      </c>
      <c r="E18" s="371">
        <f t="shared" si="58"/>
        <v>442.69434542172502</v>
      </c>
      <c r="F18" s="371">
        <f t="shared" si="58"/>
        <v>241.34030753190899</v>
      </c>
      <c r="G18" s="3301"/>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1943</v>
      </c>
      <c r="B19" s="371">
        <f t="shared" si="57"/>
        <v>319.87748030386803</v>
      </c>
      <c r="C19" s="371">
        <f t="shared" si="57"/>
        <v>269.60135833173598</v>
      </c>
      <c r="D19" s="371">
        <f t="shared" si="54"/>
        <v>269.60135833173598</v>
      </c>
      <c r="E19" s="371">
        <f t="shared" si="58"/>
        <v>439.18089823583801</v>
      </c>
      <c r="F19" s="371">
        <f t="shared" si="58"/>
        <v>239.23503918706299</v>
      </c>
      <c r="G19" s="3302"/>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1944</v>
      </c>
      <c r="B20" s="382">
        <v>318</v>
      </c>
      <c r="C20" s="382">
        <v>268</v>
      </c>
      <c r="D20" s="382">
        <f t="shared" si="54"/>
        <v>268</v>
      </c>
      <c r="E20" s="382">
        <v>437</v>
      </c>
      <c r="F20" s="383">
        <v>237</v>
      </c>
      <c r="G20" s="3303">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1945</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01"/>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1946</v>
      </c>
      <c r="B22" s="371">
        <f t="shared" si="59"/>
        <v>314.721411723865</v>
      </c>
      <c r="C22" s="371">
        <f t="shared" si="59"/>
        <v>263.03901319069001</v>
      </c>
      <c r="D22" s="371">
        <f t="shared" si="54"/>
        <v>263.03901319069001</v>
      </c>
      <c r="E22" s="371">
        <f t="shared" si="60"/>
        <v>433.65745506782798</v>
      </c>
      <c r="F22" s="371">
        <f t="shared" si="60"/>
        <v>233.23005080045701</v>
      </c>
      <c r="G22" s="3301"/>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1947</v>
      </c>
      <c r="B23" s="386">
        <f t="shared" si="59"/>
        <v>307.34512863658699</v>
      </c>
      <c r="C23" s="386">
        <f t="shared" si="59"/>
        <v>257.80556031626998</v>
      </c>
      <c r="D23" s="386">
        <f t="shared" si="54"/>
        <v>257.80556031626998</v>
      </c>
      <c r="E23" s="386">
        <f t="shared" si="60"/>
        <v>422.70928459677202</v>
      </c>
      <c r="F23" s="386">
        <f t="shared" si="60"/>
        <v>229.738032703366</v>
      </c>
      <c r="G23" s="3302"/>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1948</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1949</v>
      </c>
      <c r="B24" s="374">
        <v>299</v>
      </c>
      <c r="C24" s="374">
        <v>252</v>
      </c>
      <c r="D24" s="374">
        <f t="shared" si="54"/>
        <v>252</v>
      </c>
      <c r="E24" s="374">
        <v>409</v>
      </c>
      <c r="F24" s="375">
        <v>227</v>
      </c>
      <c r="G24" s="3304">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1950</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5"/>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1951</v>
      </c>
      <c r="B26" s="371">
        <f t="shared" si="63"/>
        <v>288.264905382878</v>
      </c>
      <c r="C26" s="371">
        <f t="shared" si="63"/>
        <v>243.64564425013299</v>
      </c>
      <c r="D26" s="371">
        <f t="shared" si="54"/>
        <v>243.64564425013299</v>
      </c>
      <c r="E26" s="371">
        <f t="shared" si="64"/>
        <v>393.31080825986498</v>
      </c>
      <c r="F26" s="371">
        <f t="shared" si="64"/>
        <v>223.079037905512</v>
      </c>
      <c r="G26" s="3305"/>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1952</v>
      </c>
      <c r="B27" s="371">
        <f t="shared" si="63"/>
        <v>282.50186729015797</v>
      </c>
      <c r="C27" s="371">
        <f t="shared" si="63"/>
        <v>238.097961741555</v>
      </c>
      <c r="D27" s="371">
        <f t="shared" si="54"/>
        <v>238.097961741555</v>
      </c>
      <c r="E27" s="371">
        <f t="shared" si="64"/>
        <v>385.33438646014099</v>
      </c>
      <c r="F27" s="371">
        <f t="shared" si="64"/>
        <v>221.550340555677</v>
      </c>
      <c r="G27" s="3306"/>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1953</v>
      </c>
      <c r="B28" s="389">
        <v>278</v>
      </c>
      <c r="C28" s="389">
        <v>234</v>
      </c>
      <c r="D28" s="389">
        <f t="shared" si="54"/>
        <v>234</v>
      </c>
      <c r="E28" s="389">
        <v>379</v>
      </c>
      <c r="F28" s="390">
        <v>220</v>
      </c>
      <c r="G28" s="3303">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1954</v>
      </c>
      <c r="B29" s="371">
        <f>B28/(1+N28)</f>
        <v>275.49301357645402</v>
      </c>
      <c r="C29" s="371">
        <f>C28/(1+O28)</f>
        <v>232.41954707985701</v>
      </c>
      <c r="D29" s="371">
        <f t="shared" si="54"/>
        <v>232.41954707985701</v>
      </c>
      <c r="E29" s="371">
        <f t="shared" ref="E29:F31" si="65">E28/(1+P28)</f>
        <v>375.32184591008098</v>
      </c>
      <c r="F29" s="371">
        <f t="shared" si="65"/>
        <v>218.03766105054501</v>
      </c>
      <c r="G29" s="3301"/>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1955</v>
      </c>
      <c r="B30" s="371">
        <f>B29/(1+N29)</f>
        <v>275.24529281292303</v>
      </c>
      <c r="C30" s="371">
        <f>C29/(1+O29)</f>
        <v>231.74747938962699</v>
      </c>
      <c r="D30" s="371">
        <f t="shared" si="54"/>
        <v>231.74747938962699</v>
      </c>
      <c r="E30" s="371">
        <f t="shared" si="65"/>
        <v>375.35938184826603</v>
      </c>
      <c r="F30" s="371">
        <f t="shared" si="65"/>
        <v>216.78033510692501</v>
      </c>
      <c r="G30" s="3301"/>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1956</v>
      </c>
      <c r="B31" s="371">
        <f>B30/(1+N30)</f>
        <v>275.19025476196998</v>
      </c>
      <c r="C31" s="391">
        <v>232</v>
      </c>
      <c r="D31" s="391">
        <f t="shared" si="54"/>
        <v>232</v>
      </c>
      <c r="E31" s="371">
        <f t="shared" si="65"/>
        <v>375.65990977608698</v>
      </c>
      <c r="F31" s="371">
        <f t="shared" si="65"/>
        <v>214.12518283971301</v>
      </c>
      <c r="G31" s="3302"/>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1957</v>
      </c>
      <c r="B32" s="374">
        <v>275</v>
      </c>
      <c r="C32" s="374">
        <v>232</v>
      </c>
      <c r="D32" s="374">
        <f t="shared" si="54"/>
        <v>232</v>
      </c>
      <c r="E32" s="374">
        <v>376</v>
      </c>
      <c r="F32" s="375">
        <v>213</v>
      </c>
      <c r="G32" s="3303">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1958</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01">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1959</v>
      </c>
      <c r="B34" s="371">
        <f t="shared" si="66"/>
        <v>275.19335084830601</v>
      </c>
      <c r="C34" s="371">
        <f t="shared" si="66"/>
        <v>230.18088050139701</v>
      </c>
      <c r="D34" s="371">
        <f t="shared" si="54"/>
        <v>230.18088050139701</v>
      </c>
      <c r="E34" s="371">
        <f t="shared" si="67"/>
        <v>377.58482925212297</v>
      </c>
      <c r="F34" s="371">
        <f t="shared" si="67"/>
        <v>210.906879978479</v>
      </c>
      <c r="G34" s="3301">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1960</v>
      </c>
      <c r="B35" s="371">
        <f t="shared" si="66"/>
        <v>276.29854502841999</v>
      </c>
      <c r="C35" s="371">
        <f t="shared" si="66"/>
        <v>229.79023709833001</v>
      </c>
      <c r="D35" s="371">
        <f t="shared" si="54"/>
        <v>229.79023709833001</v>
      </c>
      <c r="E35" s="371">
        <f t="shared" si="67"/>
        <v>379.78759731655902</v>
      </c>
      <c r="F35" s="371">
        <f t="shared" si="67"/>
        <v>211.32953905659201</v>
      </c>
      <c r="G35" s="3302">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1961</v>
      </c>
      <c r="B36" s="374">
        <v>269</v>
      </c>
      <c r="C36" s="374">
        <v>221</v>
      </c>
      <c r="D36" s="374">
        <f t="shared" si="54"/>
        <v>221</v>
      </c>
      <c r="E36" s="374">
        <v>373</v>
      </c>
      <c r="F36" s="375">
        <v>196</v>
      </c>
      <c r="G36" s="3303">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1962</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01">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1963</v>
      </c>
      <c r="B38" s="371">
        <f t="shared" si="68"/>
        <v>242.95398227588399</v>
      </c>
      <c r="C38" s="371">
        <f t="shared" si="68"/>
        <v>199.591370536141</v>
      </c>
      <c r="D38" s="371">
        <f t="shared" si="54"/>
        <v>199.591370536141</v>
      </c>
      <c r="E38" s="371">
        <f t="shared" si="69"/>
        <v>335.92189522342102</v>
      </c>
      <c r="F38" s="371">
        <f t="shared" si="69"/>
        <v>183.101399911095</v>
      </c>
      <c r="G38" s="3301">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1964</v>
      </c>
      <c r="B39" s="371">
        <f t="shared" si="68"/>
        <v>232.06990378821601</v>
      </c>
      <c r="C39" s="371">
        <f t="shared" si="68"/>
        <v>192.74878854286899</v>
      </c>
      <c r="D39" s="371">
        <f t="shared" si="54"/>
        <v>192.74878854286899</v>
      </c>
      <c r="E39" s="371">
        <f t="shared" si="69"/>
        <v>319.71247284993001</v>
      </c>
      <c r="F39" s="371">
        <f t="shared" si="69"/>
        <v>175.670536228624</v>
      </c>
      <c r="G39" s="3302">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1965</v>
      </c>
      <c r="B40" s="374">
        <v>220</v>
      </c>
      <c r="C40" s="374">
        <v>187</v>
      </c>
      <c r="D40" s="374">
        <f t="shared" si="54"/>
        <v>187</v>
      </c>
      <c r="E40" s="374">
        <v>301</v>
      </c>
      <c r="F40" s="375">
        <v>168</v>
      </c>
      <c r="G40" s="3303">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1966</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01">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1967</v>
      </c>
      <c r="B42" s="371">
        <f t="shared" si="70"/>
        <v>210.630522469011</v>
      </c>
      <c r="C42" s="371">
        <f t="shared" si="70"/>
        <v>181.695678122472</v>
      </c>
      <c r="D42" s="371">
        <f t="shared" si="54"/>
        <v>181.695678122472</v>
      </c>
      <c r="E42" s="371">
        <f t="shared" si="71"/>
        <v>286.13517466736698</v>
      </c>
      <c r="F42" s="371">
        <f t="shared" si="71"/>
        <v>165.47535084591101</v>
      </c>
      <c r="G42" s="3301">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1968</v>
      </c>
      <c r="B43" s="371">
        <f t="shared" si="70"/>
        <v>208.834545378754</v>
      </c>
      <c r="C43" s="371">
        <f t="shared" si="70"/>
        <v>183.77230517090399</v>
      </c>
      <c r="D43" s="371">
        <f t="shared" si="54"/>
        <v>183.77230517090399</v>
      </c>
      <c r="E43" s="371">
        <f t="shared" si="71"/>
        <v>281.10342338870902</v>
      </c>
      <c r="F43" s="371">
        <f t="shared" si="71"/>
        <v>168.97309388942301</v>
      </c>
      <c r="G43" s="3302">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1969</v>
      </c>
      <c r="B44" s="389">
        <v>214</v>
      </c>
      <c r="C44" s="389">
        <v>188</v>
      </c>
      <c r="D44" s="389">
        <f t="shared" si="54"/>
        <v>188</v>
      </c>
      <c r="E44" s="389">
        <v>289</v>
      </c>
      <c r="F44" s="390">
        <v>166</v>
      </c>
      <c r="G44" s="3303">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1970</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01">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1971</v>
      </c>
      <c r="B46" s="371">
        <f t="shared" si="72"/>
        <v>206.31694671589099</v>
      </c>
      <c r="C46" s="371">
        <f t="shared" si="72"/>
        <v>183.61041121036101</v>
      </c>
      <c r="D46" s="371">
        <f t="shared" si="54"/>
        <v>183.61041121036101</v>
      </c>
      <c r="E46" s="371">
        <f t="shared" si="73"/>
        <v>276.66850301795603</v>
      </c>
      <c r="F46" s="371">
        <f t="shared" si="73"/>
        <v>165.136093827861</v>
      </c>
      <c r="G46" s="3301">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1972</v>
      </c>
      <c r="B47" s="392">
        <f t="shared" si="72"/>
        <v>196.62341248059801</v>
      </c>
      <c r="C47" s="392">
        <f t="shared" si="72"/>
        <v>170.99125648199001</v>
      </c>
      <c r="D47" s="392">
        <f t="shared" si="54"/>
        <v>170.99125648199001</v>
      </c>
      <c r="E47" s="392">
        <f t="shared" si="73"/>
        <v>266.07857570490103</v>
      </c>
      <c r="F47" s="392">
        <f t="shared" si="73"/>
        <v>154.53499328828499</v>
      </c>
      <c r="G47" s="3302">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1973</v>
      </c>
      <c r="B48" s="374">
        <v>188</v>
      </c>
      <c r="C48" s="374">
        <v>165</v>
      </c>
      <c r="D48" s="374">
        <f t="shared" si="54"/>
        <v>165</v>
      </c>
      <c r="E48" s="374">
        <v>254</v>
      </c>
      <c r="F48" s="375">
        <v>148</v>
      </c>
      <c r="G48" s="3303">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1974</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01">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1975</v>
      </c>
      <c r="B50" s="371">
        <f t="shared" si="76"/>
        <v>168.820177487156</v>
      </c>
      <c r="C50" s="371">
        <f t="shared" si="76"/>
        <v>148.06267029972801</v>
      </c>
      <c r="D50" s="371">
        <f t="shared" si="54"/>
        <v>148.06267029972801</v>
      </c>
      <c r="E50" s="371">
        <f t="shared" si="77"/>
        <v>216.46288379323701</v>
      </c>
      <c r="F50" s="371">
        <f t="shared" si="77"/>
        <v>134.23529411764699</v>
      </c>
      <c r="G50" s="3301">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1976</v>
      </c>
      <c r="B51" s="371">
        <f t="shared" si="76"/>
        <v>163.849135917795</v>
      </c>
      <c r="C51" s="371">
        <f t="shared" si="76"/>
        <v>145.028337874659</v>
      </c>
      <c r="D51" s="371">
        <f t="shared" si="54"/>
        <v>145.028337874659</v>
      </c>
      <c r="E51" s="371">
        <f t="shared" si="77"/>
        <v>204.95180722891601</v>
      </c>
      <c r="F51" s="371">
        <f t="shared" si="77"/>
        <v>125.959203036053</v>
      </c>
      <c r="G51" s="3302">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1977</v>
      </c>
      <c r="B52" s="382">
        <v>159</v>
      </c>
      <c r="C52" s="382">
        <v>141</v>
      </c>
      <c r="D52" s="382">
        <f t="shared" si="54"/>
        <v>141</v>
      </c>
      <c r="E52" s="382">
        <v>195</v>
      </c>
      <c r="F52" s="383">
        <v>122</v>
      </c>
      <c r="G52" s="3303">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1978</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01">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1979</v>
      </c>
      <c r="B54" s="371">
        <f t="shared" si="80"/>
        <v>146.57412060301499</v>
      </c>
      <c r="C54" s="371">
        <f t="shared" si="80"/>
        <v>136.468319559229</v>
      </c>
      <c r="D54" s="371">
        <f t="shared" si="54"/>
        <v>136.468319559229</v>
      </c>
      <c r="E54" s="371">
        <f t="shared" si="81"/>
        <v>166.73864894795099</v>
      </c>
      <c r="F54" s="371">
        <f t="shared" si="81"/>
        <v>115.058823529412</v>
      </c>
      <c r="G54" s="3301">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1980</v>
      </c>
      <c r="B55" s="371">
        <f t="shared" si="80"/>
        <v>144.04145728643201</v>
      </c>
      <c r="C55" s="371">
        <f t="shared" si="80"/>
        <v>136.123966942149</v>
      </c>
      <c r="D55" s="371">
        <f t="shared" si="54"/>
        <v>136.123966942149</v>
      </c>
      <c r="E55" s="371">
        <f t="shared" si="81"/>
        <v>158.32225913621301</v>
      </c>
      <c r="F55" s="371">
        <f t="shared" si="81"/>
        <v>114.04278074866301</v>
      </c>
      <c r="G55" s="3302">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1981</v>
      </c>
      <c r="B56" s="382">
        <v>138</v>
      </c>
      <c r="C56" s="382">
        <v>131</v>
      </c>
      <c r="D56" s="382">
        <f t="shared" si="54"/>
        <v>131</v>
      </c>
      <c r="E56" s="382">
        <v>155</v>
      </c>
      <c r="F56" s="383">
        <v>114</v>
      </c>
      <c r="G56" s="3303">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1982</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01">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1983</v>
      </c>
      <c r="B58" s="371">
        <f t="shared" si="84"/>
        <v>124.290322580645</v>
      </c>
      <c r="C58" s="371">
        <f t="shared" si="84"/>
        <v>123.896860986547</v>
      </c>
      <c r="D58" s="371">
        <f t="shared" si="54"/>
        <v>123.896860986547</v>
      </c>
      <c r="E58" s="371">
        <f t="shared" si="85"/>
        <v>138.005076142132</v>
      </c>
      <c r="F58" s="371">
        <f t="shared" si="85"/>
        <v>107.96106557377</v>
      </c>
      <c r="G58" s="3301">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1984</v>
      </c>
      <c r="B59" s="371">
        <f t="shared" si="84"/>
        <v>122.57204301075301</v>
      </c>
      <c r="C59" s="371">
        <f t="shared" si="84"/>
        <v>123.493273542601</v>
      </c>
      <c r="D59" s="371">
        <f t="shared" si="54"/>
        <v>123.493273542601</v>
      </c>
      <c r="E59" s="371">
        <f t="shared" si="85"/>
        <v>129.82233502538099</v>
      </c>
      <c r="F59" s="371">
        <f t="shared" si="85"/>
        <v>107.39446721311501</v>
      </c>
      <c r="G59" s="3302">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1985</v>
      </c>
      <c r="B60" s="389">
        <v>121</v>
      </c>
      <c r="C60" s="389">
        <v>122</v>
      </c>
      <c r="D60" s="389">
        <f t="shared" si="54"/>
        <v>122</v>
      </c>
      <c r="E60" s="389">
        <v>124</v>
      </c>
      <c r="F60" s="390">
        <v>107</v>
      </c>
      <c r="G60" s="3303">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1986</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01">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1987</v>
      </c>
      <c r="B62" s="371">
        <f t="shared" si="88"/>
        <v>116.99099099099099</v>
      </c>
      <c r="C62" s="371">
        <f t="shared" si="88"/>
        <v>118.848484848485</v>
      </c>
      <c r="D62" s="371">
        <f t="shared" si="54"/>
        <v>118.848484848485</v>
      </c>
      <c r="E62" s="371">
        <f t="shared" si="89"/>
        <v>117.60960960961</v>
      </c>
      <c r="F62" s="371">
        <f t="shared" si="89"/>
        <v>104</v>
      </c>
      <c r="G62" s="3301">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1988</v>
      </c>
      <c r="B63" s="392">
        <f t="shared" si="88"/>
        <v>112.486486486486</v>
      </c>
      <c r="C63" s="392">
        <f t="shared" si="88"/>
        <v>115.212121212121</v>
      </c>
      <c r="D63" s="392">
        <f t="shared" si="54"/>
        <v>115.212121212121</v>
      </c>
      <c r="E63" s="392">
        <f t="shared" si="89"/>
        <v>110.402402402402</v>
      </c>
      <c r="F63" s="392">
        <f t="shared" si="89"/>
        <v>104</v>
      </c>
      <c r="G63" s="3302">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1989</v>
      </c>
      <c r="B64" s="395">
        <v>111</v>
      </c>
      <c r="C64" s="395">
        <v>114</v>
      </c>
      <c r="D64" s="395">
        <f t="shared" si="54"/>
        <v>114</v>
      </c>
      <c r="E64" s="395">
        <v>108</v>
      </c>
      <c r="F64" s="396">
        <v>104</v>
      </c>
      <c r="G64" s="3303">
        <v>2003</v>
      </c>
      <c r="H64" s="394">
        <v>4</v>
      </c>
      <c r="I64" s="430"/>
      <c r="J64" s="430"/>
      <c r="K64" s="430"/>
      <c r="L64" s="430"/>
      <c r="N64" s="431"/>
      <c r="O64" s="430"/>
      <c r="P64" s="430"/>
      <c r="Q64" s="430"/>
      <c r="S64" s="431"/>
      <c r="T64" s="430"/>
      <c r="U64" s="430"/>
      <c r="V64" s="430"/>
      <c r="X64" s="455"/>
      <c r="Y64" s="455"/>
      <c r="Z64" s="455"/>
    </row>
    <row r="65" spans="1:26">
      <c r="A65" s="370" t="s">
        <v>1990</v>
      </c>
      <c r="B65" s="462">
        <f t="shared" ref="B65:C67" si="90">B66+(B$64-B$68)/4</f>
        <v>109.75</v>
      </c>
      <c r="C65" s="462">
        <f t="shared" si="90"/>
        <v>112.25</v>
      </c>
      <c r="D65" s="462">
        <f t="shared" si="54"/>
        <v>112.25</v>
      </c>
      <c r="E65" s="462">
        <f t="shared" ref="E65:F67" si="91">E66+(E$64-E$68)/4</f>
        <v>107.25</v>
      </c>
      <c r="F65" s="462">
        <f t="shared" si="91"/>
        <v>103.5</v>
      </c>
      <c r="G65" s="3301">
        <v>2003</v>
      </c>
      <c r="H65" s="381">
        <v>3</v>
      </c>
      <c r="I65" s="430"/>
      <c r="J65" s="430"/>
      <c r="K65" s="430"/>
      <c r="L65" s="430"/>
      <c r="X65" s="455"/>
      <c r="Y65" s="455"/>
      <c r="Z65" s="455"/>
    </row>
    <row r="66" spans="1:26">
      <c r="A66" s="370" t="s">
        <v>1991</v>
      </c>
      <c r="B66" s="462">
        <f t="shared" si="90"/>
        <v>108.5</v>
      </c>
      <c r="C66" s="462">
        <f t="shared" si="90"/>
        <v>110.5</v>
      </c>
      <c r="D66" s="462">
        <f t="shared" si="54"/>
        <v>110.5</v>
      </c>
      <c r="E66" s="462">
        <f t="shared" si="91"/>
        <v>106.5</v>
      </c>
      <c r="F66" s="462">
        <f t="shared" si="91"/>
        <v>103</v>
      </c>
      <c r="G66" s="3301">
        <v>2003</v>
      </c>
      <c r="H66" s="379">
        <v>2</v>
      </c>
      <c r="I66" s="430"/>
      <c r="J66" s="430"/>
      <c r="K66" s="430"/>
      <c r="L66" s="430"/>
      <c r="X66" s="455"/>
      <c r="Y66" s="455"/>
      <c r="Z66" s="455"/>
    </row>
    <row r="67" spans="1:26">
      <c r="A67" s="370" t="s">
        <v>1992</v>
      </c>
      <c r="B67" s="462">
        <f t="shared" si="90"/>
        <v>107.25</v>
      </c>
      <c r="C67" s="462">
        <f t="shared" si="90"/>
        <v>108.75</v>
      </c>
      <c r="D67" s="462">
        <f t="shared" si="54"/>
        <v>108.75</v>
      </c>
      <c r="E67" s="462">
        <f t="shared" si="91"/>
        <v>105.75</v>
      </c>
      <c r="F67" s="462">
        <f t="shared" si="91"/>
        <v>102.5</v>
      </c>
      <c r="G67" s="3302">
        <v>2003</v>
      </c>
      <c r="H67" s="463">
        <v>1</v>
      </c>
      <c r="I67" s="430"/>
      <c r="J67" s="430"/>
      <c r="K67" s="430"/>
      <c r="L67" s="430"/>
      <c r="S67" s="404"/>
      <c r="T67" s="405"/>
      <c r="U67" s="405"/>
      <c r="X67" s="455"/>
      <c r="Y67" s="455"/>
      <c r="Z67" s="455"/>
    </row>
    <row r="68" spans="1:26">
      <c r="A68" s="370" t="s">
        <v>1993</v>
      </c>
      <c r="B68" s="464">
        <v>106</v>
      </c>
      <c r="C68" s="464">
        <v>107</v>
      </c>
      <c r="D68" s="464">
        <f t="shared" si="54"/>
        <v>107</v>
      </c>
      <c r="E68" s="464">
        <v>105</v>
      </c>
      <c r="F68" s="465">
        <v>102</v>
      </c>
      <c r="G68" s="3303">
        <v>2002</v>
      </c>
      <c r="H68" s="380">
        <v>4</v>
      </c>
      <c r="I68" s="430"/>
      <c r="J68" s="430"/>
      <c r="K68" s="430"/>
      <c r="L68" s="430"/>
      <c r="N68" s="431"/>
      <c r="O68" s="430"/>
      <c r="P68" s="430"/>
      <c r="Q68" s="430"/>
      <c r="S68" s="431"/>
      <c r="T68" s="430"/>
      <c r="U68" s="430"/>
      <c r="V68" s="430"/>
      <c r="X68" s="455"/>
      <c r="Y68" s="455"/>
      <c r="Z68" s="455"/>
    </row>
    <row r="69" spans="1:26">
      <c r="A69" s="370" t="s">
        <v>1994</v>
      </c>
      <c r="B69" s="462">
        <f t="shared" ref="B69:C71" si="92">B70+(B$68-B$72)/4</f>
        <v>105</v>
      </c>
      <c r="C69" s="462">
        <f t="shared" si="92"/>
        <v>106</v>
      </c>
      <c r="D69" s="462">
        <f t="shared" si="54"/>
        <v>106</v>
      </c>
      <c r="E69" s="462">
        <f t="shared" ref="E69:F71" si="93">E70+(E$68-E$72)/4</f>
        <v>104.5</v>
      </c>
      <c r="F69" s="462">
        <f t="shared" si="93"/>
        <v>101.5</v>
      </c>
      <c r="G69" s="3301">
        <v>2002</v>
      </c>
      <c r="H69" s="381">
        <v>3</v>
      </c>
      <c r="I69" s="430"/>
      <c r="J69" s="430"/>
      <c r="K69" s="430"/>
      <c r="L69" s="430"/>
      <c r="X69" s="455"/>
      <c r="Y69" s="455"/>
      <c r="Z69" s="455"/>
    </row>
    <row r="70" spans="1:26">
      <c r="A70" s="370" t="s">
        <v>1995</v>
      </c>
      <c r="B70" s="462">
        <f t="shared" si="92"/>
        <v>104</v>
      </c>
      <c r="C70" s="462">
        <f t="shared" si="92"/>
        <v>105</v>
      </c>
      <c r="D70" s="462">
        <f t="shared" si="54"/>
        <v>105</v>
      </c>
      <c r="E70" s="462">
        <f t="shared" si="93"/>
        <v>104</v>
      </c>
      <c r="F70" s="462">
        <f t="shared" si="93"/>
        <v>101</v>
      </c>
      <c r="G70" s="3301">
        <v>2002</v>
      </c>
      <c r="H70" s="379">
        <v>2</v>
      </c>
      <c r="I70" s="430"/>
      <c r="J70" s="430"/>
      <c r="K70" s="430"/>
      <c r="L70" s="430"/>
      <c r="X70" s="455"/>
      <c r="Y70" s="455"/>
      <c r="Z70" s="455"/>
    </row>
    <row r="71" spans="1:26" s="347" customFormat="1">
      <c r="A71" s="385" t="s">
        <v>1996</v>
      </c>
      <c r="B71" s="466">
        <f t="shared" si="92"/>
        <v>103</v>
      </c>
      <c r="C71" s="466">
        <f t="shared" si="92"/>
        <v>104</v>
      </c>
      <c r="D71" s="466">
        <f t="shared" si="54"/>
        <v>104</v>
      </c>
      <c r="E71" s="466">
        <f t="shared" si="93"/>
        <v>103.5</v>
      </c>
      <c r="F71" s="466">
        <f t="shared" si="93"/>
        <v>100.5</v>
      </c>
      <c r="G71" s="3302">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1997</v>
      </c>
      <c r="G74" s="472"/>
      <c r="N74" s="472"/>
      <c r="S74" s="472"/>
    </row>
    <row r="75" spans="1:26" s="349" customFormat="1">
      <c r="A75" s="349" t="s">
        <v>1998</v>
      </c>
      <c r="G75" s="472"/>
      <c r="N75" s="472"/>
      <c r="S75" s="472"/>
    </row>
    <row r="76" spans="1:26" s="349" customFormat="1">
      <c r="A76" s="349" t="s">
        <v>1999</v>
      </c>
      <c r="G76" s="472"/>
      <c r="I76" s="475"/>
      <c r="J76" s="475"/>
      <c r="K76" s="475"/>
      <c r="L76" s="475"/>
      <c r="N76" s="476"/>
      <c r="O76" s="475"/>
      <c r="P76" s="475"/>
      <c r="Q76" s="475"/>
      <c r="S76" s="476"/>
      <c r="T76" s="475"/>
      <c r="U76" s="475"/>
      <c r="V76" s="475"/>
    </row>
    <row r="77" spans="1:26" s="349" customFormat="1">
      <c r="A77" s="349" t="s">
        <v>2000</v>
      </c>
      <c r="G77" s="472"/>
      <c r="N77" s="472"/>
      <c r="S77" s="472"/>
    </row>
    <row r="85" spans="7:22">
      <c r="G85" s="350"/>
      <c r="S85" s="478" t="s">
        <v>2001</v>
      </c>
      <c r="T85" s="479" t="s">
        <v>2002</v>
      </c>
      <c r="U85" s="479" t="s">
        <v>2003</v>
      </c>
      <c r="V85" s="479" t="s">
        <v>2004</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P30" sqref="P30"/>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2005</v>
      </c>
      <c r="C1" s="3307" t="s">
        <v>2006</v>
      </c>
      <c r="D1" s="3308"/>
      <c r="E1" s="3308"/>
      <c r="F1" s="3308"/>
      <c r="G1" s="3308"/>
      <c r="H1" s="3308"/>
      <c r="I1" s="3308"/>
      <c r="J1" s="3308"/>
      <c r="K1" s="3308"/>
      <c r="L1" s="3308"/>
      <c r="M1" s="3308"/>
      <c r="N1" s="3308"/>
      <c r="O1" s="3308"/>
      <c r="P1" s="3308"/>
      <c r="Q1" s="3308"/>
      <c r="R1" s="3308"/>
      <c r="S1" s="3309"/>
      <c r="T1" s="235" t="s">
        <v>1588</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99</v>
      </c>
      <c r="E4" s="248">
        <v>98</v>
      </c>
      <c r="F4" s="249">
        <v>97</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ht="25.5">
      <c r="A5" s="250"/>
      <c r="B5" s="2977" t="s">
        <v>2518</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2007</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2008</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2009</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2010</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2011</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2012</v>
      </c>
      <c r="B17" s="269" t="s">
        <v>2013</v>
      </c>
      <c r="C17" s="2975">
        <v>3</v>
      </c>
      <c r="D17" s="2976">
        <v>4</v>
      </c>
      <c r="E17" s="2976">
        <v>5</v>
      </c>
      <c r="F17" s="2976">
        <v>6</v>
      </c>
      <c r="G17" s="2976">
        <v>7</v>
      </c>
      <c r="H17" s="2976">
        <v>8</v>
      </c>
      <c r="I17" s="2976">
        <v>9</v>
      </c>
      <c r="J17" s="2976">
        <v>10</v>
      </c>
      <c r="K17" s="2976">
        <v>11</v>
      </c>
      <c r="L17" s="2976">
        <v>12</v>
      </c>
      <c r="M17" s="2976">
        <v>13</v>
      </c>
      <c r="N17" s="2976">
        <v>14</v>
      </c>
      <c r="O17" s="2976">
        <v>15</v>
      </c>
      <c r="P17" s="2976">
        <v>16</v>
      </c>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f>'比较法-住宅'!D91</f>
        <v>100.5</v>
      </c>
      <c r="E18" s="273">
        <f>'比较法-住宅'!E91</f>
        <v>101</v>
      </c>
      <c r="F18" s="273">
        <f>'比较法-住宅'!F91</f>
        <v>101.5</v>
      </c>
      <c r="G18" s="273">
        <f>'比较法-住宅'!G91</f>
        <v>102</v>
      </c>
      <c r="H18" s="273">
        <f>'比较法-住宅'!H91</f>
        <v>102.5</v>
      </c>
      <c r="I18" s="273">
        <f>'比较法-住宅'!I91</f>
        <v>103</v>
      </c>
      <c r="J18" s="273">
        <f>'比较法-住宅'!J91</f>
        <v>103.5</v>
      </c>
      <c r="K18" s="273">
        <f>'比较法-住宅'!K91</f>
        <v>104</v>
      </c>
      <c r="L18" s="273">
        <f>'比较法-住宅'!L91</f>
        <v>104.5</v>
      </c>
      <c r="M18" s="273">
        <v>105</v>
      </c>
      <c r="N18" s="273">
        <v>105.5</v>
      </c>
      <c r="O18" s="273">
        <v>106</v>
      </c>
      <c r="P18" s="273"/>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2014</v>
      </c>
      <c r="E19" s="277"/>
      <c r="F19" s="277"/>
      <c r="G19" s="277"/>
      <c r="H19" s="278"/>
      <c r="I19" s="275"/>
      <c r="J19" s="275"/>
      <c r="K19" s="275"/>
      <c r="L19" s="275"/>
      <c r="M19" s="275"/>
      <c r="N19" s="275"/>
      <c r="O19" s="275"/>
      <c r="P19" s="275"/>
      <c r="Q19" s="275"/>
      <c r="R19" s="334"/>
      <c r="S19" s="274"/>
    </row>
    <row r="20" spans="1:45" ht="15.75">
      <c r="A20" s="279" t="s">
        <v>2015</v>
      </c>
      <c r="B20" s="280">
        <f ca="1">IF(D20="——",S22,S22-F20)</f>
        <v>1315</v>
      </c>
      <c r="C20" s="275"/>
      <c r="D20" s="281" t="s">
        <v>124</v>
      </c>
      <c r="E20" s="282"/>
      <c r="F20" s="235" t="e">
        <f ca="1">SUMIF(INDIRECT("'"&amp;H20&amp;"'"&amp;"!A:A"),"承租人权益价值",INDIRECT("'"&amp;H20&amp;"'"&amp;"!c:c"))</f>
        <v>#REF!</v>
      </c>
      <c r="G20" s="235" t="s">
        <v>734</v>
      </c>
      <c r="H20" s="283"/>
      <c r="I20" s="275"/>
      <c r="J20" s="275"/>
      <c r="K20" s="275"/>
      <c r="L20" s="275"/>
      <c r="M20" s="275"/>
      <c r="N20" s="275"/>
      <c r="O20" s="275"/>
      <c r="P20" s="275"/>
      <c r="Q20" s="275"/>
      <c r="R20" s="334"/>
      <c r="S20" s="274"/>
    </row>
    <row r="21" spans="1:45" ht="15.75">
      <c r="A21" s="279" t="s">
        <v>2016</v>
      </c>
      <c r="B21" s="280">
        <f ca="1">R22</f>
        <v>65436</v>
      </c>
      <c r="C21" s="275"/>
      <c r="D21" s="275"/>
      <c r="E21" s="275"/>
      <c r="F21" s="275"/>
      <c r="G21" s="275"/>
      <c r="H21" s="275"/>
      <c r="I21" s="275"/>
      <c r="J21" s="275"/>
      <c r="K21" s="275"/>
      <c r="L21" s="275"/>
      <c r="M21" s="275"/>
      <c r="N21" s="275"/>
      <c r="O21" s="275"/>
      <c r="P21" s="275"/>
      <c r="Q21" s="275"/>
      <c r="R21" s="334"/>
      <c r="S21" s="274"/>
    </row>
    <row r="22" spans="1:45">
      <c r="A22" s="284" t="s">
        <v>2017</v>
      </c>
      <c r="B22" s="285">
        <f>SUM(B24:B10000)</f>
        <v>200.96</v>
      </c>
      <c r="C22" s="3104" t="s">
        <v>124</v>
      </c>
      <c r="D22" s="3105"/>
      <c r="E22" s="3105"/>
      <c r="F22" s="3105"/>
      <c r="G22" s="3105"/>
      <c r="H22" s="3105"/>
      <c r="I22" s="3105"/>
      <c r="J22" s="3105"/>
      <c r="K22" s="3105"/>
      <c r="L22" s="3105"/>
      <c r="M22" s="3105"/>
      <c r="N22" s="3105"/>
      <c r="O22" s="3105"/>
      <c r="P22" s="3105"/>
      <c r="Q22" s="3310"/>
      <c r="R22" s="336">
        <f ca="1">ROUND(S22*10000/B22,0)</f>
        <v>65436</v>
      </c>
      <c r="S22" s="285">
        <f ca="1">SUM(S24:S10000)</f>
        <v>1315</v>
      </c>
    </row>
    <row r="23" spans="1:45" s="228" customFormat="1" ht="24">
      <c r="A23" s="288" t="s">
        <v>2018</v>
      </c>
      <c r="B23" s="288" t="s">
        <v>439</v>
      </c>
      <c r="C23" s="288" t="s">
        <v>1588</v>
      </c>
      <c r="D23" s="288" t="str">
        <f>B5</f>
        <v>朝向</v>
      </c>
      <c r="E23" s="288" t="s">
        <v>1588</v>
      </c>
      <c r="F23" s="288" t="str">
        <f>B7</f>
        <v>修正项3</v>
      </c>
      <c r="G23" s="288" t="s">
        <v>1588</v>
      </c>
      <c r="H23" s="288" t="str">
        <f>B9</f>
        <v>修正项4</v>
      </c>
      <c r="I23" s="288" t="s">
        <v>1588</v>
      </c>
      <c r="J23" s="288" t="str">
        <f>B11</f>
        <v>修正项5</v>
      </c>
      <c r="K23" s="288" t="s">
        <v>1588</v>
      </c>
      <c r="L23" s="288" t="str">
        <f>B13</f>
        <v>修正项6</v>
      </c>
      <c r="M23" s="288" t="s">
        <v>1588</v>
      </c>
      <c r="N23" s="288" t="str">
        <f>B15</f>
        <v>修正项7</v>
      </c>
      <c r="O23" s="288" t="s">
        <v>1588</v>
      </c>
      <c r="P23" s="288" t="str">
        <f>B17</f>
        <v>楼层</v>
      </c>
      <c r="Q23" s="288" t="s">
        <v>1588</v>
      </c>
      <c r="R23" s="337" t="s">
        <v>2019</v>
      </c>
      <c r="S23" s="288" t="s">
        <v>2020</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1376</v>
      </c>
      <c r="E24" s="290">
        <v>1</v>
      </c>
      <c r="F24" s="291"/>
      <c r="G24" s="290">
        <v>1</v>
      </c>
      <c r="H24" s="291"/>
      <c r="I24" s="290">
        <v>1</v>
      </c>
      <c r="J24" s="291"/>
      <c r="K24" s="290">
        <v>1</v>
      </c>
      <c r="L24" s="291"/>
      <c r="M24" s="290">
        <v>1</v>
      </c>
      <c r="N24" s="291"/>
      <c r="O24" s="290">
        <v>1</v>
      </c>
      <c r="P24" s="291">
        <v>13</v>
      </c>
      <c r="Q24" s="290">
        <v>1</v>
      </c>
      <c r="R24" s="339">
        <f ca="1">结果表!G20</f>
        <v>66253</v>
      </c>
      <c r="S24" s="290">
        <f t="shared" ref="S24:S54" ca="1" si="11">ROUND(R24*B24/10000,0)</f>
        <v>858</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1.01</v>
      </c>
      <c r="D25" s="291" t="s">
        <v>2512</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v>3</v>
      </c>
      <c r="Q25" s="285">
        <f>(SUMIF($17:$17,P25,$18:$18)-SUMIF($17:$17,$P$24,$18:$18)+100)/100</f>
        <v>0.95</v>
      </c>
      <c r="R25" s="336">
        <f ca="1">IF(B25="",0,ROUND($R$24*C25*E25*G25*I25*K25*M25*O25*Q25,0))</f>
        <v>63888</v>
      </c>
      <c r="S25" s="284">
        <f t="shared" ca="1" si="11"/>
        <v>457</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-0.05</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-0.05</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-0.05</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-0.05</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-0.05</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-0.05</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-0.05</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-0.05</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-0.05</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-0.05</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-0.05</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-0.05</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-0.05</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-0.05</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-0.05</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-0.05</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-0.05</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-0.05</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-0.05</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-0.05</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-0.05</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-0.05</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-0.05</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-0.05</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-0.05</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-0.05</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-0.05</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-0.05</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-0.05</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-0.05</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-0.05</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-0.05</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-0.05</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-0.05</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-0.05</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-0.05</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-0.05</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-0.05</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-0.05</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-0.05</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-0.05</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-0.05</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-0.05</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-0.05</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-0.05</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-0.05</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-0.05</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-0.05</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-0.05</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-0.05</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-0.05</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-0.05</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-0.05</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-0.05</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-0.05</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-0.05</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-0.05</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-0.05</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-0.05</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-0.05</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-0.05</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-0.05</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-0.05</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-0.05</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-0.05</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-0.05</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-0.05</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-0.05</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-0.05</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-0.05</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-0.05</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-0.05</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-0.05</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-0.05</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-0.05</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-0.05</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-0.05</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-0.05</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-0.05</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-0.05</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-0.05</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-0.05</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-0.05</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-0.05</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-0.05</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-0.05</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-0.05</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-0.05</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-0.05</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-0.05</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-0.05</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-0.05</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-0.05</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-0.05</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-0.05</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-0.05</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-0.05</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-0.05</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-0.05</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-0.05</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-0.05</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-0.05</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-0.05</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-0.05</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-0.05</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-0.05</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-0.05</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-0.05</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-0.05</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-0.05</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-0.05</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-0.05</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-0.05</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-0.05</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-0.05</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-0.05</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-0.05</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-0.05</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-0.05</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-0.05</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-0.05</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-0.05</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-0.05</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-0.05</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-0.05</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-0.05</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-0.05</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-0.05</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-0.05</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-0.05</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-0.05</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-0.05</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-0.05</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-0.05</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-0.05</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-0.05</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-0.05</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-0.05</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-0.05</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-0.05</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-0.05</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-0.05</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-0.05</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-0.05</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-0.05</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-0.05</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-0.05</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-0.05</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-0.05</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-0.05</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-0.05</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-0.05</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-0.05</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-0.05</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-0.05</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-0.05</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-0.05</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-0.05</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-0.05</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-0.05</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-0.05</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-0.05</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-0.05</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-0.05</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-0.05</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-0.05</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-0.05</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-0.05</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-0.05</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-0.05</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-0.05</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-0.05</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-0.05</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-0.05</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-0.05</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-0.05</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-0.05</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-0.05</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-0.05</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-0.05</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-0.05</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-0.05</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-0.05</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-0.05</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-0.05</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-0.05</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-0.05</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-0.05</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-0.05</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-0.05</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-0.05</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-0.05</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-0.05</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-0.05</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-0.05</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-0.05</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-0.05</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-0.05</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-0.05</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-0.05</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-0.05</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-0.05</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-0.05</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-0.05</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-0.05</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-0.05</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-0.05</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-0.05</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-0.05</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-0.05</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-0.05</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-0.05</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-0.05</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-0.05</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-0.05</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-0.05</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-0.05</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-0.05</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-0.05</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-0.05</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-0.05</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-0.05</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-0.05</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-0.05</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-0.05</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-0.05</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-0.05</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-0.05</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-0.05</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-0.05</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-0.05</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-0.05</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-0.05</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-0.05</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-0.05</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-0.05</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-0.05</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-0.05</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-0.05</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-0.05</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-0.05</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-0.05</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-0.05</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-0.05</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-0.05</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-0.05</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-0.05</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-0.05</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-0.05</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-0.05</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-0.05</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-0.05</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-0.05</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-0.05</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-0.05</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-0.05</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-0.05</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-0.05</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-0.05</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-0.05</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-0.05</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-0.05</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-0.05</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-0.05</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-0.05</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-0.05</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-0.05</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-0.05</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-0.05</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-0.05</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-0.05</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-0.05</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-0.05</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-0.05</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-0.05</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-0.05</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-0.05</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-0.05</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-0.05</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-0.05</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-0.05</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-0.05</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-0.05</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-0.05</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-0.05</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-0.05</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-0.05</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-0.05</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-0.05</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-0.05</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-0.05</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-0.05</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-0.05</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-0.05</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-0.05</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-0.05</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-0.05</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-0.05</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-0.05</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-0.05</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-0.05</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-0.05</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-0.05</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-0.05</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-0.05</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-0.05</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-0.05</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-0.05</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-0.05</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-0.05</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-0.05</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-0.05</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-0.05</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-0.05</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-0.05</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-0.05</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-0.05</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-0.05</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-0.05</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-0.05</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-0.05</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-0.05</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-0.05</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-0.05</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-0.05</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-0.05</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-0.05</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-0.05</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-0.05</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-0.05</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-0.05</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-0.05</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-0.05</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-0.05</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-0.05</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-0.05</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-0.05</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-0.05</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-0.05</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-0.05</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-0.05</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-0.05</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-0.05</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-0.05</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-0.05</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-0.05</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-0.05</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-0.05</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-0.05</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-0.05</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-0.05</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-0.05</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-0.05</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-0.05</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-0.05</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-0.05</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-0.05</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-0.05</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-0.05</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-0.05</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-0.05</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-0.05</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-0.05</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-0.05</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-0.05</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-0.05</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-0.05</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-0.05</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-0.05</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-0.05</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-0.05</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-0.05</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-0.05</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-0.05</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-0.05</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-0.05</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-0.05</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-0.05</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-0.05</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-0.05</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-0.05</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-0.05</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-0.05</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-0.05</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-0.05</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-0.05</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-0.05</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-0.05</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-0.05</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-0.05</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-0.05</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-0.05</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-0.05</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-0.05</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-0.05</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-0.05</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-0.05</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-0.05</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-0.05</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-0.05</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-0.05</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-0.05</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-0.05</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-0.05</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-0.05</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-0.05</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-0.05</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-0.05</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-0.05</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-0.05</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-0.05</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-0.05</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-0.05</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-0.05</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-0.05</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-0.05</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-0.05</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-0.05</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-0.05</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-0.05</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-0.05</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-0.05</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-0.05</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-0.05</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-0.05</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-0.05</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-0.05</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-0.05</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-0.05</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-0.05</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-0.05</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-0.05</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-0.05</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-0.05</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-0.05</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-0.05</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-0.05</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-0.05</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-0.05</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-0.05</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-0.05</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-0.05</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-0.05</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-0.05</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-0.05</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-0.05</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-0.05</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-0.05</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-0.05</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-0.05</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-0.05</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-0.05</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-0.05</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-0.05</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-0.05</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-0.05</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-0.05</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-0.05</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-0.05</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-0.05</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-0.05</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-0.05</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-0.05</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-0.05</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-0.05</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-0.05</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-0.05</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-0.05</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-0.05</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-0.05</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-0.05</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-0.05</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-0.05</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-0.05</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-0.05</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-0.05</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-0.05</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-0.05</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-0.05</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-0.05</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-0.05</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-0.05</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-0.05</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-0.05</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-0.05</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-0.05</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-0.05</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-0.05</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-0.05</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-0.05</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-0.05</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-0.05</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-0.05</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-0.05</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-0.05</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-0.05</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-0.05</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-0.05</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-0.05</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估价结果一览表（市场价值不需“结果表-1”）</v>
      </c>
      <c r="B3" s="2988"/>
      <c r="C3" s="2988"/>
      <c r="D3" s="2988"/>
      <c r="E3" s="2988"/>
    </row>
    <row r="4" spans="1:5" ht="18.75">
      <c r="A4" s="2922"/>
      <c r="B4" s="2989" t="s">
        <v>95</v>
      </c>
      <c r="C4" s="2989"/>
      <c r="D4" s="2989"/>
      <c r="E4" s="2922"/>
    </row>
    <row r="5" spans="1:5" ht="15.75">
      <c r="A5" s="2921"/>
      <c r="B5" s="2981" t="s">
        <v>96</v>
      </c>
      <c r="C5" s="2923" t="s">
        <v>97</v>
      </c>
      <c r="D5" s="2924">
        <f ca="1">结果表!H101</f>
        <v>858</v>
      </c>
      <c r="E5" s="2921"/>
    </row>
    <row r="6" spans="1:5" ht="15.75">
      <c r="A6" s="2921"/>
      <c r="B6" s="2981"/>
      <c r="C6" s="2923" t="s">
        <v>98</v>
      </c>
      <c r="D6" s="2924" t="str">
        <f ca="1">NUMBERSTRING(INT(D5*10000),2)&amp;"元整"</f>
        <v>捌佰伍拾捌万元整</v>
      </c>
      <c r="E6" s="2921"/>
    </row>
    <row r="7" spans="1:5" ht="15.75">
      <c r="A7" s="2921"/>
      <c r="B7" s="2982"/>
      <c r="C7" s="2925" t="s">
        <v>99</v>
      </c>
      <c r="D7" s="2926">
        <f ca="1">结果表!H102</f>
        <v>66253</v>
      </c>
      <c r="E7" s="2921"/>
    </row>
    <row r="8" spans="1:5" ht="15.75">
      <c r="A8" s="2921"/>
      <c r="B8" s="2983" t="str">
        <f>结果表!E103</f>
        <v>2.估价师知悉的法定优先受偿款</v>
      </c>
      <c r="C8" s="2927" t="s">
        <v>100</v>
      </c>
      <c r="D8" s="2926">
        <f>结果表!H103</f>
        <v>0</v>
      </c>
      <c r="E8" s="2921"/>
    </row>
    <row r="9" spans="1:5" ht="15.75">
      <c r="A9" s="2921"/>
      <c r="B9" s="2985"/>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80" t="str">
        <f>结果表!E107</f>
        <v>3.房地产抵押价值</v>
      </c>
      <c r="C13" s="2931" t="s">
        <v>97</v>
      </c>
      <c r="D13" s="2932">
        <f ca="1">结果表!H107</f>
        <v>858</v>
      </c>
      <c r="E13" s="2921"/>
    </row>
    <row r="14" spans="1:5" ht="15.75">
      <c r="A14" s="2921"/>
      <c r="B14" s="2981"/>
      <c r="C14" s="2923" t="s">
        <v>98</v>
      </c>
      <c r="D14" s="2924" t="str">
        <f ca="1">NUMBERSTRING(INT(D13*10000),2)&amp;"元整"</f>
        <v>捌佰伍拾捌万元整</v>
      </c>
      <c r="E14" s="2921"/>
    </row>
    <row r="15" spans="1:5" ht="15">
      <c r="A15" s="2921"/>
      <c r="B15" s="2982"/>
      <c r="C15" s="2925" t="s">
        <v>99</v>
      </c>
      <c r="D15" s="2933">
        <f ca="1">结果表!H108</f>
        <v>42695</v>
      </c>
      <c r="E15" s="2921"/>
    </row>
    <row r="16" spans="1:5" ht="15">
      <c r="A16" s="2921"/>
      <c r="B16" s="2983" t="str">
        <f>结果表!E109</f>
        <v>——</v>
      </c>
      <c r="C16" s="2931" t="s">
        <v>97</v>
      </c>
      <c r="D16" s="2934" t="str">
        <f>结果表!H109</f>
        <v>——</v>
      </c>
      <c r="E16" s="2921"/>
    </row>
    <row r="17" spans="1:5" ht="15.75">
      <c r="A17" s="2921"/>
      <c r="B17" s="2984"/>
      <c r="C17" s="2923" t="s">
        <v>98</v>
      </c>
      <c r="D17" s="2924" t="e">
        <f>NUMBERSTRING(INT(D16*10000),2)&amp;"元整"</f>
        <v>#VALUE!</v>
      </c>
      <c r="E17" s="2921"/>
    </row>
    <row r="18" spans="1:5" ht="15">
      <c r="A18" s="2921"/>
      <c r="B18" s="2985"/>
      <c r="C18" s="2925" t="s">
        <v>99</v>
      </c>
      <c r="D18" s="2933" t="str">
        <f>结果表!H110</f>
        <v>——</v>
      </c>
      <c r="E18" s="2921"/>
    </row>
    <row r="19" spans="1:5" ht="15.75">
      <c r="A19" s="2921"/>
      <c r="B19" s="2980" t="str">
        <f>结果表!E111</f>
        <v>——</v>
      </c>
      <c r="C19" s="2931" t="s">
        <v>97</v>
      </c>
      <c r="D19" s="2926" t="str">
        <f>结果表!H111</f>
        <v>——</v>
      </c>
      <c r="E19" s="2921"/>
    </row>
    <row r="20" spans="1:5" ht="15.75">
      <c r="A20" s="2921"/>
      <c r="B20" s="2981"/>
      <c r="C20" s="2923" t="s">
        <v>98</v>
      </c>
      <c r="D20" s="2924" t="e">
        <f>NUMBERSTRING(INT(D19*10000),2)&amp;"元整"</f>
        <v>#VALUE!</v>
      </c>
      <c r="E20" s="2921"/>
    </row>
    <row r="21" spans="1:5" ht="15">
      <c r="A21" s="2921"/>
      <c r="B21" s="2986"/>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2021</v>
      </c>
      <c r="B1" s="141"/>
      <c r="C1" s="142"/>
      <c r="D1" s="142"/>
      <c r="E1" s="142"/>
      <c r="F1" s="142"/>
      <c r="G1" s="143"/>
    </row>
    <row r="2" spans="1:7" s="132" customFormat="1" ht="18" customHeight="1">
      <c r="A2" s="144" t="s">
        <v>2022</v>
      </c>
      <c r="B2" s="145">
        <f ca="1">C52</f>
        <v>30812</v>
      </c>
      <c r="C2" s="146" t="s">
        <v>2023</v>
      </c>
      <c r="D2" s="143"/>
      <c r="E2" s="143"/>
      <c r="F2" s="143"/>
      <c r="G2" s="143"/>
    </row>
    <row r="3" spans="1:7" s="132" customFormat="1" ht="18" customHeight="1">
      <c r="A3" s="147" t="s">
        <v>2024</v>
      </c>
      <c r="B3" s="148">
        <f ca="1">ROUND(B2*10000/'数据-汇总表'!E3,0)</f>
        <v>1533240</v>
      </c>
      <c r="C3" s="146" t="s">
        <v>2025</v>
      </c>
      <c r="D3" s="143"/>
      <c r="E3" s="143"/>
      <c r="F3" s="143"/>
      <c r="G3" s="143"/>
    </row>
    <row r="4" spans="1:7" s="133" customFormat="1" ht="15.75">
      <c r="A4" s="149" t="s">
        <v>2026</v>
      </c>
      <c r="B4" s="150"/>
      <c r="C4" s="150"/>
      <c r="D4" s="150"/>
      <c r="E4" s="150"/>
      <c r="F4" s="150"/>
      <c r="G4" s="151"/>
    </row>
    <row r="5" spans="1:7" s="134" customFormat="1" ht="13.5" customHeight="1">
      <c r="A5" s="152" t="s">
        <v>919</v>
      </c>
      <c r="B5" s="153" t="s">
        <v>2027</v>
      </c>
      <c r="C5" s="154">
        <f>C6+C7+C8</f>
        <v>20610</v>
      </c>
      <c r="D5" s="154" t="s">
        <v>2028</v>
      </c>
      <c r="E5" s="155" t="s">
        <v>2029</v>
      </c>
      <c r="F5" s="155" t="s">
        <v>2030</v>
      </c>
      <c r="G5" s="156"/>
    </row>
    <row r="6" spans="1:7" s="134" customFormat="1" ht="13.5" customHeight="1">
      <c r="A6" s="157" t="s">
        <v>923</v>
      </c>
      <c r="B6" s="158" t="s">
        <v>2031</v>
      </c>
      <c r="C6" s="159">
        <v>20000</v>
      </c>
      <c r="D6" s="160"/>
      <c r="E6" s="161"/>
      <c r="F6" s="161"/>
      <c r="G6" s="162"/>
    </row>
    <row r="7" spans="1:7" s="134" customFormat="1" ht="13.5" customHeight="1">
      <c r="A7" s="157" t="s">
        <v>925</v>
      </c>
      <c r="B7" s="158" t="s">
        <v>2032</v>
      </c>
      <c r="C7" s="163">
        <f>ROUND(C6*F7,0)</f>
        <v>610</v>
      </c>
      <c r="D7" s="163"/>
      <c r="E7" s="161"/>
      <c r="F7" s="164">
        <f>'数据-取费表'!B48+'数据-取费表'!B49</f>
        <v>3.0499999999999999E-2</v>
      </c>
      <c r="G7" s="162"/>
    </row>
    <row r="8" spans="1:7" s="135" customFormat="1">
      <c r="A8" s="157" t="s">
        <v>927</v>
      </c>
      <c r="B8" s="158" t="s">
        <v>2033</v>
      </c>
      <c r="C8" s="163" t="str">
        <f>IF(G8="已包含在土地购买价格中","0",'数据-取费表'!B29)</f>
        <v>0</v>
      </c>
      <c r="D8" s="165"/>
      <c r="E8" s="163"/>
      <c r="F8" s="164"/>
      <c r="G8" s="166" t="s">
        <v>2034</v>
      </c>
    </row>
    <row r="9" spans="1:7" s="134" customFormat="1" ht="13.5" customHeight="1">
      <c r="A9" s="167" t="s">
        <v>929</v>
      </c>
      <c r="B9" s="168" t="s">
        <v>2035</v>
      </c>
      <c r="C9" s="169">
        <f>ROUND(D9*E9/10000,0)</f>
        <v>3</v>
      </c>
      <c r="D9" s="170">
        <f>'数据-汇总表'!E5</f>
        <v>200.96</v>
      </c>
      <c r="E9" s="169">
        <f>'数据-取费表'!B27</f>
        <v>160</v>
      </c>
      <c r="F9" s="164"/>
      <c r="G9" s="171"/>
    </row>
    <row r="10" spans="1:7" s="134" customFormat="1" ht="13.5" customHeight="1">
      <c r="A10" s="167" t="s">
        <v>932</v>
      </c>
      <c r="B10" s="168" t="s">
        <v>2036</v>
      </c>
      <c r="C10" s="169">
        <f>ROUND(D10*E10/10000,0)</f>
        <v>0</v>
      </c>
      <c r="D10" s="170">
        <f>'数据-汇总表'!E6</f>
        <v>0</v>
      </c>
      <c r="E10" s="169">
        <f>'数据-取费表'!B28</f>
        <v>0</v>
      </c>
      <c r="F10" s="164"/>
      <c r="G10" s="171"/>
    </row>
    <row r="11" spans="1:7" s="134" customFormat="1" ht="13.5" hidden="1" customHeight="1">
      <c r="A11" s="172" t="s">
        <v>934</v>
      </c>
      <c r="B11" s="158" t="s">
        <v>2037</v>
      </c>
      <c r="C11" s="154"/>
      <c r="D11" s="173"/>
      <c r="E11" s="161"/>
      <c r="F11" s="161"/>
      <c r="G11" s="162"/>
    </row>
    <row r="12" spans="1:7" s="134" customFormat="1" ht="13.5" hidden="1" customHeight="1">
      <c r="A12" s="172" t="s">
        <v>936</v>
      </c>
      <c r="B12" s="158" t="s">
        <v>2038</v>
      </c>
      <c r="C12" s="154">
        <v>0</v>
      </c>
      <c r="D12" s="173"/>
      <c r="E12" s="174"/>
      <c r="F12" s="164">
        <v>3.0499999999999999E-2</v>
      </c>
      <c r="G12" s="162"/>
    </row>
    <row r="13" spans="1:7" s="134" customFormat="1" ht="13.5" hidden="1" customHeight="1">
      <c r="A13" s="172" t="s">
        <v>937</v>
      </c>
      <c r="B13" s="158" t="s">
        <v>2039</v>
      </c>
      <c r="C13" s="154"/>
      <c r="D13" s="173"/>
      <c r="E13" s="161"/>
      <c r="F13" s="161"/>
      <c r="G13" s="162"/>
    </row>
    <row r="14" spans="1:7" s="134" customFormat="1" ht="13.5" hidden="1" customHeight="1">
      <c r="A14" s="172" t="s">
        <v>939</v>
      </c>
      <c r="B14" s="158" t="s">
        <v>2033</v>
      </c>
      <c r="C14" s="154"/>
      <c r="D14" s="173"/>
      <c r="E14" s="161"/>
      <c r="F14" s="161"/>
      <c r="G14" s="162" t="s">
        <v>2040</v>
      </c>
    </row>
    <row r="15" spans="1:7" s="134" customFormat="1" ht="13.5" hidden="1" customHeight="1">
      <c r="A15" s="172" t="s">
        <v>941</v>
      </c>
      <c r="B15" s="158" t="s">
        <v>2041</v>
      </c>
      <c r="C15" s="163"/>
      <c r="D15" s="173"/>
      <c r="E15" s="161"/>
      <c r="F15" s="161"/>
      <c r="G15" s="162" t="s">
        <v>2042</v>
      </c>
    </row>
    <row r="16" spans="1:7" s="134" customFormat="1" ht="13.5" hidden="1" customHeight="1">
      <c r="A16" s="172" t="s">
        <v>944</v>
      </c>
      <c r="B16" s="158" t="s">
        <v>2033</v>
      </c>
      <c r="C16" s="163"/>
      <c r="D16" s="173"/>
      <c r="E16" s="161"/>
      <c r="F16" s="161"/>
      <c r="G16" s="162"/>
    </row>
    <row r="17" spans="1:7" s="134" customFormat="1" ht="13.5" hidden="1" customHeight="1">
      <c r="A17" s="172" t="s">
        <v>945</v>
      </c>
      <c r="B17" s="158" t="s">
        <v>2043</v>
      </c>
      <c r="C17" s="175"/>
      <c r="D17" s="176"/>
      <c r="E17" s="175"/>
      <c r="F17" s="175"/>
      <c r="G17" s="162" t="s">
        <v>2042</v>
      </c>
    </row>
    <row r="18" spans="1:7" s="134" customFormat="1" ht="13.5" hidden="1" customHeight="1">
      <c r="A18" s="172" t="s">
        <v>947</v>
      </c>
      <c r="B18" s="158" t="s">
        <v>2044</v>
      </c>
      <c r="C18" s="163">
        <v>0</v>
      </c>
      <c r="D18" s="173"/>
      <c r="E18" s="161"/>
      <c r="F18" s="164">
        <v>3.0499999999999999E-2</v>
      </c>
      <c r="G18" s="162" t="s">
        <v>2045</v>
      </c>
    </row>
    <row r="19" spans="1:7" s="135" customFormat="1" ht="13.5" customHeight="1">
      <c r="A19" s="177" t="s">
        <v>1325</v>
      </c>
      <c r="B19" s="153" t="s">
        <v>2046</v>
      </c>
      <c r="C19" s="154">
        <f>IF(G19="已包含在土地取得成本中","0",ROUND(D19*E19/10000,0))</f>
        <v>4</v>
      </c>
      <c r="D19" s="178">
        <f>'数据-汇总表'!E3</f>
        <v>200.96</v>
      </c>
      <c r="E19" s="154">
        <f>'数据-取费表'!B31</f>
        <v>200</v>
      </c>
      <c r="F19" s="179"/>
      <c r="G19" s="166" t="s">
        <v>2047</v>
      </c>
    </row>
    <row r="20" spans="1:7" s="134" customFormat="1" ht="13.5" customHeight="1">
      <c r="A20" s="177" t="s">
        <v>2048</v>
      </c>
      <c r="B20" s="153" t="s">
        <v>2049</v>
      </c>
      <c r="C20" s="180">
        <f>ROUND((C5+C19)*F20,0)</f>
        <v>412</v>
      </c>
      <c r="D20" s="180"/>
      <c r="E20" s="180"/>
      <c r="F20" s="181">
        <f>'数据-取费表'!B37</f>
        <v>0.02</v>
      </c>
      <c r="G20" s="182" t="s">
        <v>2050</v>
      </c>
    </row>
    <row r="21" spans="1:7" s="134" customFormat="1" ht="13.5" customHeight="1">
      <c r="A21" s="177" t="s">
        <v>2051</v>
      </c>
      <c r="B21" s="153" t="s">
        <v>2052</v>
      </c>
      <c r="C21" s="183">
        <f>F21</f>
        <v>0.02</v>
      </c>
      <c r="D21" s="184" t="s">
        <v>2053</v>
      </c>
      <c r="E21" s="180"/>
      <c r="F21" s="181">
        <f>'数据-取费表'!B38</f>
        <v>0.02</v>
      </c>
      <c r="G21" s="185" t="s">
        <v>2054</v>
      </c>
    </row>
    <row r="22" spans="1:7" s="134" customFormat="1" ht="13.5" customHeight="1">
      <c r="A22" s="177" t="s">
        <v>2055</v>
      </c>
      <c r="B22" s="153" t="s">
        <v>2056</v>
      </c>
      <c r="C22" s="186">
        <f ca="1">ROUND(SUM(C23:C25),0)</f>
        <v>2024</v>
      </c>
      <c r="D22" s="183">
        <f ca="1">C26</f>
        <v>1E-3</v>
      </c>
      <c r="E22" s="184" t="s">
        <v>2053</v>
      </c>
      <c r="F22" s="187">
        <f ca="1">'数据-取费表'!B40</f>
        <v>4.7500000000000001E-2</v>
      </c>
      <c r="G22" s="182" t="str">
        <f>IF('数据-取费表'!B22&lt;=1,"单利计息","复利计息")</f>
        <v>复利计息</v>
      </c>
    </row>
    <row r="23" spans="1:7" s="134" customFormat="1" ht="13.5" customHeight="1">
      <c r="A23" s="188" t="s">
        <v>923</v>
      </c>
      <c r="B23" s="158" t="s">
        <v>2057</v>
      </c>
      <c r="C23" s="189">
        <f ca="1">ROUND(IF('数据-取费表'!B22&lt;=1,C5*F22*'数据-取费表'!B23,C5*(POWER((1+F22),'数据-取费表'!B23)-1)),0)</f>
        <v>2004</v>
      </c>
      <c r="D23" s="190"/>
      <c r="E23" s="190"/>
      <c r="F23" s="191"/>
      <c r="G23" s="192" t="s">
        <v>2058</v>
      </c>
    </row>
    <row r="24" spans="1:7" s="134" customFormat="1" ht="13.5" customHeight="1">
      <c r="A24" s="188" t="s">
        <v>925</v>
      </c>
      <c r="B24" s="158" t="s">
        <v>2059</v>
      </c>
      <c r="C24" s="189">
        <f ca="1">ROUND(IF('数据-取费表'!B22&lt;=1,C19*F22*('数据-取费表'!B19/2+'数据-取费表'!B21),C19*(POWER((1+F22),('数据-取费表'!B19/2+'数据-取费表'!B21))-1)),0)</f>
        <v>0</v>
      </c>
      <c r="D24" s="190"/>
      <c r="E24" s="190"/>
      <c r="F24" s="191"/>
      <c r="G24" s="192" t="s">
        <v>2060</v>
      </c>
    </row>
    <row r="25" spans="1:7" s="134" customFormat="1" ht="24">
      <c r="A25" s="188" t="s">
        <v>927</v>
      </c>
      <c r="B25" s="158" t="s">
        <v>2061</v>
      </c>
      <c r="C25" s="189">
        <f ca="1">ROUND(IF('数据-取费表'!B22&lt;=1,C20*F22*'数据-取费表'!B23/2,C20*(POWER((1+F22),'数据-取费表'!B23/2)-1)),0)</f>
        <v>20</v>
      </c>
      <c r="D25" s="190"/>
      <c r="E25" s="193"/>
      <c r="F25" s="191"/>
      <c r="G25" s="194" t="s">
        <v>2062</v>
      </c>
    </row>
    <row r="26" spans="1:7" s="134" customFormat="1">
      <c r="A26" s="188" t="s">
        <v>967</v>
      </c>
      <c r="B26" s="158" t="s">
        <v>2063</v>
      </c>
      <c r="C26" s="190">
        <f ca="1">ROUND(IF('数据-取费表'!B22&lt;=1,F21*F22*'数据-取费表'!B23/2,F21*(POWER((1+F22),'数据-取费表'!B23/2)-1)),4)</f>
        <v>1E-3</v>
      </c>
      <c r="D26" s="190"/>
      <c r="E26" s="193"/>
      <c r="F26" s="191"/>
      <c r="G26" s="195"/>
    </row>
    <row r="27" spans="1:7" s="134" customFormat="1" ht="24.75">
      <c r="A27" s="177" t="s">
        <v>2064</v>
      </c>
      <c r="B27" s="196" t="s">
        <v>2065</v>
      </c>
      <c r="C27" s="197">
        <f>C28</f>
        <v>5257</v>
      </c>
      <c r="D27" s="183">
        <f>C29</f>
        <v>5.0000000000000001E-3</v>
      </c>
      <c r="E27" s="184" t="s">
        <v>2053</v>
      </c>
      <c r="F27" s="198">
        <f>'数据-取费表'!Q16</f>
        <v>0.25</v>
      </c>
      <c r="G27" s="199" t="s">
        <v>2066</v>
      </c>
    </row>
    <row r="28" spans="1:7" s="134" customFormat="1" ht="13.5" customHeight="1">
      <c r="A28" s="188" t="s">
        <v>923</v>
      </c>
      <c r="B28" s="200" t="s">
        <v>2067</v>
      </c>
      <c r="C28" s="201">
        <f>ROUND((C5+C19+C20)*F27*'数据-取费表'!B21/'数据-取费表'!B20,0)</f>
        <v>5257</v>
      </c>
      <c r="D28" s="183"/>
      <c r="E28" s="184"/>
      <c r="F28" s="198"/>
      <c r="G28" s="199"/>
    </row>
    <row r="29" spans="1:7" s="134" customFormat="1" ht="13.5" customHeight="1">
      <c r="A29" s="188" t="s">
        <v>925</v>
      </c>
      <c r="B29" s="200" t="s">
        <v>2068</v>
      </c>
      <c r="C29" s="190">
        <f>ROUND(C21*F27*'数据-取费表'!B21/'数据-取费表'!B20,4)</f>
        <v>5.0000000000000001E-3</v>
      </c>
      <c r="D29" s="183"/>
      <c r="E29" s="184"/>
      <c r="F29" s="198"/>
      <c r="G29" s="199"/>
    </row>
    <row r="30" spans="1:7" s="134" customFormat="1" ht="13.5" customHeight="1">
      <c r="A30" s="177" t="s">
        <v>2069</v>
      </c>
      <c r="B30" s="153" t="s">
        <v>2070</v>
      </c>
      <c r="C30" s="183">
        <f>F30</f>
        <v>5.6000000000000001E-2</v>
      </c>
      <c r="D30" s="184" t="s">
        <v>2071</v>
      </c>
      <c r="E30" s="193"/>
      <c r="F30" s="187">
        <f>'数据-取费表'!B41</f>
        <v>5.6000000000000001E-2</v>
      </c>
      <c r="G30" s="185" t="s">
        <v>2072</v>
      </c>
    </row>
    <row r="31" spans="1:7" ht="16.5" customHeight="1">
      <c r="A31" s="202">
        <v>1</v>
      </c>
      <c r="B31" s="153" t="s">
        <v>2073</v>
      </c>
      <c r="C31" s="154">
        <f ca="1">ROUND((C5+C19+C20+C22+C27)/(1-C21-D22-D27-C30/(1+'数据-取费表'!B42)),0)</f>
        <v>30746</v>
      </c>
      <c r="D31" s="203"/>
      <c r="E31" s="154"/>
      <c r="F31" s="204"/>
      <c r="G31" s="185" t="s">
        <v>2074</v>
      </c>
    </row>
    <row r="32" spans="1:7" s="133" customFormat="1" ht="15.75">
      <c r="A32" s="205" t="s">
        <v>2075</v>
      </c>
      <c r="B32" s="206"/>
      <c r="C32" s="206"/>
      <c r="D32" s="206"/>
      <c r="E32" s="206"/>
      <c r="F32" s="206"/>
      <c r="G32" s="207"/>
    </row>
    <row r="33" spans="1:7" s="134" customFormat="1" ht="13.5" customHeight="1">
      <c r="A33" s="152" t="s">
        <v>919</v>
      </c>
      <c r="B33" s="153" t="s">
        <v>2076</v>
      </c>
      <c r="C33" s="208">
        <f>SUM(C34:C38)</f>
        <v>60</v>
      </c>
      <c r="D33" s="180"/>
      <c r="E33" s="155"/>
      <c r="F33" s="193"/>
      <c r="G33" s="185"/>
    </row>
    <row r="34" spans="1:7" s="136" customFormat="1" ht="13.5" customHeight="1">
      <c r="A34" s="188" t="s">
        <v>923</v>
      </c>
      <c r="B34" s="158" t="s">
        <v>2077</v>
      </c>
      <c r="C34" s="163">
        <f>IF(F34=100%,'数据-取费表'!M16-SUMIF('数据-取费表'!C:C,"公共配套",'数据-取费表'!M:M),'数据-取费表'!O16-SUMIF('数据-取费表'!C:C,"公共配套",'数据-取费表'!O:O))</f>
        <v>50</v>
      </c>
      <c r="D34" s="160"/>
      <c r="E34" s="163"/>
      <c r="F34" s="209">
        <f>IF('数据-取费表'!B24=0,1,'数据-取费表'!N16)</f>
        <v>1</v>
      </c>
      <c r="G34" s="162" t="s">
        <v>2078</v>
      </c>
    </row>
    <row r="35" spans="1:7" ht="13.5" customHeight="1">
      <c r="A35" s="188" t="s">
        <v>925</v>
      </c>
      <c r="B35" s="158" t="s">
        <v>2079</v>
      </c>
      <c r="C35" s="163">
        <f>ROUND(C34*F35,0)</f>
        <v>2</v>
      </c>
      <c r="D35" s="163"/>
      <c r="E35" s="163"/>
      <c r="F35" s="210">
        <f>'数据-取费表'!B33</f>
        <v>0.03</v>
      </c>
      <c r="G35" s="162" t="s">
        <v>2080</v>
      </c>
    </row>
    <row r="36" spans="1:7" ht="24">
      <c r="A36" s="188" t="s">
        <v>927</v>
      </c>
      <c r="B36" s="158" t="s">
        <v>2081</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2082</v>
      </c>
    </row>
    <row r="37" spans="1:7" s="136" customFormat="1" ht="13.5" customHeight="1">
      <c r="A37" s="188" t="s">
        <v>967</v>
      </c>
      <c r="B37" s="158" t="s">
        <v>2083</v>
      </c>
      <c r="C37" s="201">
        <f>ROUND(E37*D37*F34/10000,0)</f>
        <v>4</v>
      </c>
      <c r="D37" s="160">
        <f>'数据-汇总表'!E3</f>
        <v>200.96</v>
      </c>
      <c r="E37" s="201">
        <f>'数据-取费表'!B35</f>
        <v>200</v>
      </c>
      <c r="F37" s="210"/>
      <c r="G37" s="212" t="s">
        <v>2084</v>
      </c>
    </row>
    <row r="38" spans="1:7" ht="13.5" customHeight="1">
      <c r="A38" s="188" t="s">
        <v>989</v>
      </c>
      <c r="B38" s="158" t="s">
        <v>2038</v>
      </c>
      <c r="C38" s="163">
        <f>ROUND(C34*F38,0)</f>
        <v>1</v>
      </c>
      <c r="D38" s="163"/>
      <c r="E38" s="163"/>
      <c r="F38" s="210">
        <f>'数据-取费表'!B36</f>
        <v>1.4999999999999999E-2</v>
      </c>
      <c r="G38" s="162" t="s">
        <v>2080</v>
      </c>
    </row>
    <row r="39" spans="1:7" s="134" customFormat="1" ht="13.5" customHeight="1">
      <c r="A39" s="177" t="s">
        <v>1325</v>
      </c>
      <c r="B39" s="153" t="s">
        <v>2049</v>
      </c>
      <c r="C39" s="180">
        <f>ROUND(C33*F20,0)</f>
        <v>1</v>
      </c>
      <c r="D39" s="180"/>
      <c r="E39" s="180"/>
      <c r="F39" s="181"/>
      <c r="G39" s="182" t="s">
        <v>2085</v>
      </c>
    </row>
    <row r="40" spans="1:7" s="134" customFormat="1" ht="13.5" customHeight="1">
      <c r="A40" s="177" t="s">
        <v>2048</v>
      </c>
      <c r="B40" s="153" t="s">
        <v>2052</v>
      </c>
      <c r="C40" s="213">
        <f>F21</f>
        <v>0.02</v>
      </c>
      <c r="D40" s="184" t="s">
        <v>2086</v>
      </c>
      <c r="E40" s="180"/>
      <c r="F40" s="181"/>
      <c r="G40" s="185" t="s">
        <v>2087</v>
      </c>
    </row>
    <row r="41" spans="1:7" s="134" customFormat="1" ht="13.5" customHeight="1">
      <c r="A41" s="177" t="s">
        <v>2051</v>
      </c>
      <c r="B41" s="153" t="s">
        <v>2056</v>
      </c>
      <c r="C41" s="180">
        <f ca="1">ROUND(SUM(C42:C43),0)</f>
        <v>3</v>
      </c>
      <c r="D41" s="183">
        <f ca="1">C44</f>
        <v>1E-3</v>
      </c>
      <c r="E41" s="184" t="s">
        <v>2086</v>
      </c>
      <c r="F41" s="187"/>
      <c r="G41" s="182" t="str">
        <f>IF('数据-取费表'!B22&lt;=1,"单利计息","复利计息")</f>
        <v>复利计息</v>
      </c>
    </row>
    <row r="42" spans="1:7" ht="13.5" customHeight="1">
      <c r="A42" s="188" t="s">
        <v>923</v>
      </c>
      <c r="B42" s="158" t="s">
        <v>2057</v>
      </c>
      <c r="C42" s="190">
        <f ca="1">ROUND(IF('数据-取费表'!B22&lt;=1,C33*F22*'数据-取费表'!B21/2,C33*(POWER((1+F22),'数据-取费表'!B21/2)-1)),0)</f>
        <v>3</v>
      </c>
      <c r="D42" s="190"/>
      <c r="E42" s="190"/>
      <c r="F42" s="191"/>
      <c r="G42" s="3165" t="s">
        <v>2088</v>
      </c>
    </row>
    <row r="43" spans="1:7" ht="13.5" customHeight="1">
      <c r="A43" s="188" t="s">
        <v>925</v>
      </c>
      <c r="B43" s="158" t="s">
        <v>2059</v>
      </c>
      <c r="C43" s="190">
        <f ca="1">ROUND(IF('数据-取费表'!B22&lt;=1,C39*F22*'数据-取费表'!B21/2,C39*(POWER((1+F22),'数据-取费表'!B21/2)-1)),0)</f>
        <v>0</v>
      </c>
      <c r="D43" s="190"/>
      <c r="E43" s="190"/>
      <c r="F43" s="191"/>
      <c r="G43" s="3166"/>
    </row>
    <row r="44" spans="1:7" ht="13.5" customHeight="1">
      <c r="A44" s="188" t="s">
        <v>927</v>
      </c>
      <c r="B44" s="158" t="s">
        <v>2061</v>
      </c>
      <c r="C44" s="190">
        <f ca="1">ROUND(IF('数据-取费表'!B22&lt;=1,C40*F22*'数据-取费表'!B21/2,C40*(POWER((1+F22),'数据-取费表'!B21/2)-1)),4)</f>
        <v>1E-3</v>
      </c>
      <c r="D44" s="190"/>
      <c r="E44" s="190"/>
      <c r="F44" s="191"/>
      <c r="G44" s="3167"/>
    </row>
    <row r="45" spans="1:7" s="134" customFormat="1" ht="13.5" customHeight="1">
      <c r="A45" s="177" t="s">
        <v>2055</v>
      </c>
      <c r="B45" s="196" t="s">
        <v>2065</v>
      </c>
      <c r="C45" s="197">
        <f>C46</f>
        <v>15</v>
      </c>
      <c r="D45" s="183">
        <f>C47</f>
        <v>5.0000000000000001E-3</v>
      </c>
      <c r="E45" s="184" t="s">
        <v>2086</v>
      </c>
      <c r="F45" s="198"/>
      <c r="G45" s="199" t="s">
        <v>2089</v>
      </c>
    </row>
    <row r="46" spans="1:7" s="134" customFormat="1" ht="13.5" customHeight="1">
      <c r="A46" s="188" t="s">
        <v>923</v>
      </c>
      <c r="B46" s="200" t="s">
        <v>2090</v>
      </c>
      <c r="C46" s="201">
        <f>ROUND((C33+C39)*F27,0)</f>
        <v>15</v>
      </c>
      <c r="D46" s="214"/>
      <c r="E46" s="184"/>
      <c r="F46" s="198"/>
      <c r="G46" s="199"/>
    </row>
    <row r="47" spans="1:7" s="134" customFormat="1" ht="13.5" customHeight="1">
      <c r="A47" s="188" t="s">
        <v>925</v>
      </c>
      <c r="B47" s="200" t="s">
        <v>2091</v>
      </c>
      <c r="C47" s="190">
        <f>ROUND(C40*F27,4)</f>
        <v>5.0000000000000001E-3</v>
      </c>
      <c r="D47" s="214"/>
      <c r="E47" s="184"/>
      <c r="F47" s="198"/>
      <c r="G47" s="199"/>
    </row>
    <row r="48" spans="1:7" s="134" customFormat="1" ht="13.5" customHeight="1">
      <c r="A48" s="177" t="s">
        <v>2064</v>
      </c>
      <c r="B48" s="153" t="s">
        <v>2070</v>
      </c>
      <c r="C48" s="213">
        <f>F30</f>
        <v>5.6000000000000001E-2</v>
      </c>
      <c r="D48" s="184" t="s">
        <v>2092</v>
      </c>
      <c r="E48" s="180"/>
      <c r="F48" s="187"/>
      <c r="G48" s="185" t="s">
        <v>2093</v>
      </c>
    </row>
    <row r="49" spans="1:7" ht="16.5" customHeight="1">
      <c r="A49" s="177" t="s">
        <v>2069</v>
      </c>
      <c r="B49" s="153" t="s">
        <v>2094</v>
      </c>
      <c r="C49" s="180">
        <f ca="1">ROUND((C33+C39+C41+C45)/(1-C40-D41-D45-C48/(1+'数据-取费表'!B42)),0)</f>
        <v>86</v>
      </c>
      <c r="D49" s="180"/>
      <c r="E49" s="180"/>
      <c r="F49" s="215"/>
      <c r="G49" s="185" t="s">
        <v>2095</v>
      </c>
    </row>
    <row r="50" spans="1:7" s="136" customFormat="1" ht="24">
      <c r="A50" s="177" t="s">
        <v>2096</v>
      </c>
      <c r="B50" s="153" t="s">
        <v>2097</v>
      </c>
      <c r="C50" s="180"/>
      <c r="D50" s="180"/>
      <c r="E50" s="180"/>
      <c r="F50" s="215">
        <f>IF('数据-取费表'!B24=0,'数据-取费表'!N16,1)</f>
        <v>0.77</v>
      </c>
      <c r="G50" s="199" t="s">
        <v>2098</v>
      </c>
    </row>
    <row r="51" spans="1:7" ht="16.5" customHeight="1">
      <c r="A51" s="177" t="s">
        <v>2099</v>
      </c>
      <c r="B51" s="153" t="s">
        <v>2100</v>
      </c>
      <c r="C51" s="180">
        <f ca="1">ROUND(C49*F50,0)</f>
        <v>66</v>
      </c>
      <c r="D51" s="180"/>
      <c r="E51" s="180"/>
      <c r="F51" s="215"/>
      <c r="G51" s="185" t="s">
        <v>2101</v>
      </c>
    </row>
    <row r="52" spans="1:7" s="133" customFormat="1" ht="15.75">
      <c r="A52" s="216" t="s">
        <v>2102</v>
      </c>
      <c r="B52" s="217"/>
      <c r="C52" s="218">
        <f ca="1">C31+C51</f>
        <v>30812</v>
      </c>
      <c r="D52" s="217"/>
      <c r="E52" s="217"/>
      <c r="F52" s="217"/>
      <c r="G52" s="219"/>
    </row>
    <row r="55" spans="1:7" ht="15">
      <c r="B55" s="220" t="s">
        <v>2103</v>
      </c>
      <c r="C55" s="221"/>
    </row>
    <row r="56" spans="1:7">
      <c r="B56" s="222" t="s">
        <v>2104</v>
      </c>
      <c r="C56" s="223">
        <f ca="1">ROUND(C51/C52,3)</f>
        <v>2E-3</v>
      </c>
    </row>
    <row r="57" spans="1:7">
      <c r="B57" s="222" t="s">
        <v>2105</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1" t="s">
        <v>2106</v>
      </c>
      <c r="B1" s="3311"/>
      <c r="C1" s="3311"/>
      <c r="D1" s="3311"/>
      <c r="E1" s="3311"/>
      <c r="F1" s="3311"/>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2" t="s">
        <v>2107</v>
      </c>
      <c r="B2" s="3312"/>
      <c r="C2" s="3312"/>
      <c r="D2" s="3312"/>
      <c r="E2" s="3312"/>
      <c r="F2" s="3312"/>
      <c r="H2" s="115" t="s">
        <v>2108</v>
      </c>
      <c r="I2" s="91" t="s">
        <v>2109</v>
      </c>
      <c r="J2" s="91" t="s">
        <v>2110</v>
      </c>
      <c r="K2" s="91" t="s">
        <v>2111</v>
      </c>
      <c r="L2" s="91" t="s">
        <v>2112</v>
      </c>
      <c r="M2" s="91" t="s">
        <v>2113</v>
      </c>
      <c r="N2" s="91" t="s">
        <v>2114</v>
      </c>
      <c r="O2" s="91" t="s">
        <v>2115</v>
      </c>
      <c r="P2" s="91" t="s">
        <v>2116</v>
      </c>
      <c r="Q2" s="91" t="s">
        <v>2117</v>
      </c>
      <c r="R2" s="91" t="s">
        <v>2118</v>
      </c>
      <c r="S2" s="91" t="s">
        <v>2119</v>
      </c>
    </row>
    <row r="3" spans="1:19" s="112" customFormat="1" ht="19.5" customHeight="1">
      <c r="A3" s="3313" t="s">
        <v>2120</v>
      </c>
      <c r="B3" s="116"/>
      <c r="C3" s="117" t="s">
        <v>1707</v>
      </c>
      <c r="D3" s="117" t="s">
        <v>1708</v>
      </c>
      <c r="E3" s="117" t="s">
        <v>357</v>
      </c>
      <c r="F3" s="117" t="s">
        <v>1709</v>
      </c>
      <c r="G3" s="118"/>
      <c r="H3" s="115" t="s">
        <v>2121</v>
      </c>
      <c r="I3" s="91" t="s">
        <v>2122</v>
      </c>
      <c r="J3" s="91" t="s">
        <v>2123</v>
      </c>
      <c r="K3" s="91" t="s">
        <v>2124</v>
      </c>
      <c r="L3" s="91" t="s">
        <v>2125</v>
      </c>
      <c r="M3" s="91" t="s">
        <v>2126</v>
      </c>
      <c r="N3" s="91" t="s">
        <v>2127</v>
      </c>
      <c r="O3" s="91" t="s">
        <v>2128</v>
      </c>
      <c r="P3" s="91" t="s">
        <v>2129</v>
      </c>
      <c r="Q3" s="91" t="s">
        <v>2130</v>
      </c>
      <c r="R3" s="91" t="s">
        <v>2131</v>
      </c>
      <c r="S3" s="91" t="s">
        <v>2132</v>
      </c>
    </row>
    <row r="4" spans="1:19" s="112" customFormat="1" ht="19.5" customHeight="1">
      <c r="A4" s="3314"/>
      <c r="B4" s="119" t="s">
        <v>2133</v>
      </c>
      <c r="C4" s="119" t="s">
        <v>2134</v>
      </c>
      <c r="D4" s="119" t="s">
        <v>2134</v>
      </c>
      <c r="E4" s="119" t="s">
        <v>2134</v>
      </c>
      <c r="F4" s="120" t="s">
        <v>2134</v>
      </c>
      <c r="G4" s="118"/>
      <c r="H4" s="115" t="s">
        <v>2135</v>
      </c>
      <c r="I4" s="91" t="s">
        <v>2136</v>
      </c>
      <c r="J4" s="91" t="s">
        <v>2137</v>
      </c>
      <c r="K4" s="91" t="s">
        <v>2138</v>
      </c>
      <c r="L4" s="91" t="s">
        <v>2139</v>
      </c>
      <c r="M4" s="91" t="s">
        <v>2140</v>
      </c>
      <c r="N4" s="91" t="s">
        <v>2141</v>
      </c>
      <c r="O4" s="91" t="s">
        <v>2142</v>
      </c>
      <c r="P4" s="91" t="s">
        <v>2143</v>
      </c>
      <c r="Q4" s="91" t="s">
        <v>2144</v>
      </c>
      <c r="R4" s="91" t="s">
        <v>2145</v>
      </c>
      <c r="S4" s="91" t="s">
        <v>2146</v>
      </c>
    </row>
    <row r="5" spans="1:19" ht="14.25" customHeight="1">
      <c r="A5" s="87" t="s">
        <v>233</v>
      </c>
      <c r="B5" s="88" t="s">
        <v>2108</v>
      </c>
      <c r="C5" s="88">
        <v>29530</v>
      </c>
      <c r="D5" s="88">
        <v>28130</v>
      </c>
      <c r="E5" s="88">
        <v>27930</v>
      </c>
      <c r="F5" s="121">
        <v>11300</v>
      </c>
      <c r="G5" s="118"/>
      <c r="H5" s="115" t="s">
        <v>2147</v>
      </c>
      <c r="I5" s="91" t="s">
        <v>2148</v>
      </c>
      <c r="J5" s="91" t="s">
        <v>2149</v>
      </c>
      <c r="K5" s="91" t="s">
        <v>2150</v>
      </c>
      <c r="L5" s="91" t="s">
        <v>2151</v>
      </c>
      <c r="M5" s="91" t="s">
        <v>2152</v>
      </c>
      <c r="N5" s="91" t="s">
        <v>2153</v>
      </c>
      <c r="O5" s="91" t="s">
        <v>2154</v>
      </c>
      <c r="P5" s="91" t="s">
        <v>2155</v>
      </c>
      <c r="Q5" s="91" t="s">
        <v>2156</v>
      </c>
      <c r="R5" s="91" t="s">
        <v>2157</v>
      </c>
      <c r="S5" s="91" t="s">
        <v>2158</v>
      </c>
    </row>
    <row r="6" spans="1:19" ht="14.25" customHeight="1">
      <c r="A6" s="87" t="s">
        <v>233</v>
      </c>
      <c r="B6" s="91" t="s">
        <v>2121</v>
      </c>
      <c r="C6" s="91">
        <v>30290</v>
      </c>
      <c r="D6" s="91">
        <v>29210</v>
      </c>
      <c r="E6" s="91">
        <v>28860</v>
      </c>
      <c r="F6" s="122">
        <v>12600</v>
      </c>
      <c r="G6" s="118"/>
      <c r="H6" s="115" t="s">
        <v>2159</v>
      </c>
      <c r="I6" s="91" t="s">
        <v>2160</v>
      </c>
      <c r="J6" s="91" t="s">
        <v>2161</v>
      </c>
      <c r="K6" s="91" t="s">
        <v>2162</v>
      </c>
      <c r="L6" s="91" t="s">
        <v>2163</v>
      </c>
      <c r="M6" s="91" t="s">
        <v>2164</v>
      </c>
      <c r="N6" s="91" t="s">
        <v>2165</v>
      </c>
      <c r="O6" s="91" t="s">
        <v>2166</v>
      </c>
      <c r="P6" s="91" t="s">
        <v>2167</v>
      </c>
      <c r="Q6" s="91" t="s">
        <v>2168</v>
      </c>
      <c r="R6" s="91" t="s">
        <v>2169</v>
      </c>
      <c r="S6" s="91" t="s">
        <v>2170</v>
      </c>
    </row>
    <row r="7" spans="1:19" ht="14.25" customHeight="1">
      <c r="A7" s="87" t="s">
        <v>233</v>
      </c>
      <c r="B7" s="94" t="s">
        <v>2135</v>
      </c>
      <c r="C7" s="91">
        <v>29350</v>
      </c>
      <c r="D7" s="91">
        <v>28410</v>
      </c>
      <c r="E7" s="91">
        <v>27990</v>
      </c>
      <c r="F7" s="122">
        <v>12300</v>
      </c>
      <c r="G7" s="118"/>
      <c r="I7" s="91" t="s">
        <v>2171</v>
      </c>
      <c r="J7" s="91" t="s">
        <v>2172</v>
      </c>
      <c r="K7" s="91" t="s">
        <v>2173</v>
      </c>
      <c r="L7" s="91" t="s">
        <v>2174</v>
      </c>
      <c r="M7" s="91" t="s">
        <v>2175</v>
      </c>
      <c r="N7" s="91" t="s">
        <v>2176</v>
      </c>
      <c r="O7" s="91" t="s">
        <v>2177</v>
      </c>
      <c r="P7" s="91" t="s">
        <v>2178</v>
      </c>
      <c r="Q7" s="91" t="s">
        <v>2179</v>
      </c>
      <c r="R7" s="91" t="s">
        <v>2180</v>
      </c>
      <c r="S7" s="94" t="s">
        <v>2181</v>
      </c>
    </row>
    <row r="8" spans="1:19" ht="14.25" customHeight="1">
      <c r="A8" s="87" t="s">
        <v>233</v>
      </c>
      <c r="B8" s="91" t="s">
        <v>2147</v>
      </c>
      <c r="C8" s="91">
        <v>30890</v>
      </c>
      <c r="D8" s="91">
        <v>29780</v>
      </c>
      <c r="E8" s="91">
        <v>29270</v>
      </c>
      <c r="F8" s="122">
        <v>11600</v>
      </c>
      <c r="G8" s="118"/>
      <c r="I8" s="91" t="s">
        <v>2182</v>
      </c>
      <c r="J8" s="91" t="s">
        <v>2183</v>
      </c>
      <c r="K8" s="91" t="s">
        <v>2184</v>
      </c>
      <c r="L8" s="91" t="s">
        <v>2185</v>
      </c>
      <c r="M8" s="91" t="s">
        <v>2186</v>
      </c>
      <c r="N8" s="91" t="s">
        <v>2187</v>
      </c>
      <c r="O8" s="91" t="s">
        <v>2188</v>
      </c>
      <c r="P8" s="91" t="s">
        <v>2189</v>
      </c>
      <c r="Q8" s="91" t="s">
        <v>2190</v>
      </c>
      <c r="R8" s="91" t="s">
        <v>2191</v>
      </c>
      <c r="S8" s="91" t="s">
        <v>2192</v>
      </c>
    </row>
    <row r="9" spans="1:19" ht="14.25" customHeight="1">
      <c r="A9" s="87" t="s">
        <v>233</v>
      </c>
      <c r="B9" s="96" t="s">
        <v>2159</v>
      </c>
      <c r="C9" s="102">
        <v>28140</v>
      </c>
      <c r="D9" s="102"/>
      <c r="E9" s="102"/>
      <c r="F9" s="123"/>
      <c r="G9" s="118"/>
      <c r="I9" s="91" t="s">
        <v>2193</v>
      </c>
      <c r="J9" s="91" t="s">
        <v>2194</v>
      </c>
      <c r="K9" s="91" t="s">
        <v>2195</v>
      </c>
      <c r="L9" s="91" t="s">
        <v>2196</v>
      </c>
      <c r="M9" s="91" t="s">
        <v>2197</v>
      </c>
      <c r="N9" s="91" t="s">
        <v>2198</v>
      </c>
      <c r="O9" s="91" t="s">
        <v>2199</v>
      </c>
      <c r="P9" s="91" t="s">
        <v>2200</v>
      </c>
      <c r="Q9" s="91" t="s">
        <v>2201</v>
      </c>
      <c r="R9" s="91" t="s">
        <v>2202</v>
      </c>
    </row>
    <row r="10" spans="1:19" ht="14.25" customHeight="1">
      <c r="A10" s="87" t="s">
        <v>244</v>
      </c>
      <c r="B10" s="88" t="s">
        <v>2109</v>
      </c>
      <c r="C10" s="88">
        <v>27450</v>
      </c>
      <c r="D10" s="88">
        <v>26180</v>
      </c>
      <c r="E10" s="88">
        <v>25980</v>
      </c>
      <c r="F10" s="121">
        <v>8910</v>
      </c>
      <c r="G10" s="118"/>
      <c r="I10" s="91" t="s">
        <v>2203</v>
      </c>
      <c r="J10" s="91" t="s">
        <v>2204</v>
      </c>
      <c r="K10" s="91" t="s">
        <v>2205</v>
      </c>
      <c r="L10" s="91" t="s">
        <v>2206</v>
      </c>
      <c r="M10" s="91" t="s">
        <v>2207</v>
      </c>
      <c r="N10" s="91" t="s">
        <v>2208</v>
      </c>
      <c r="O10" s="91" t="s">
        <v>2209</v>
      </c>
      <c r="P10" s="91" t="s">
        <v>2210</v>
      </c>
      <c r="Q10" s="91" t="s">
        <v>2211</v>
      </c>
      <c r="R10" s="91" t="s">
        <v>2212</v>
      </c>
    </row>
    <row r="11" spans="1:19" ht="14.25" customHeight="1">
      <c r="A11" s="87" t="s">
        <v>244</v>
      </c>
      <c r="B11" s="94" t="s">
        <v>2122</v>
      </c>
      <c r="C11" s="91">
        <v>22950</v>
      </c>
      <c r="D11" s="91">
        <v>22630</v>
      </c>
      <c r="E11" s="91">
        <v>22030</v>
      </c>
      <c r="F11" s="124">
        <v>8330</v>
      </c>
      <c r="G11" s="118"/>
      <c r="I11" s="91" t="s">
        <v>2213</v>
      </c>
      <c r="J11" s="91" t="s">
        <v>2214</v>
      </c>
      <c r="K11" s="91" t="s">
        <v>2215</v>
      </c>
      <c r="L11" s="91" t="s">
        <v>2216</v>
      </c>
      <c r="M11" s="91" t="s">
        <v>2217</v>
      </c>
      <c r="N11" s="91" t="s">
        <v>2218</v>
      </c>
      <c r="O11" s="91" t="s">
        <v>2219</v>
      </c>
      <c r="P11" s="91" t="s">
        <v>2220</v>
      </c>
      <c r="Q11" s="91" t="s">
        <v>2221</v>
      </c>
      <c r="R11" s="91" t="s">
        <v>2222</v>
      </c>
    </row>
    <row r="12" spans="1:19" ht="14.25" customHeight="1">
      <c r="A12" s="87" t="s">
        <v>244</v>
      </c>
      <c r="B12" s="94" t="s">
        <v>2136</v>
      </c>
      <c r="C12" s="91">
        <v>24940</v>
      </c>
      <c r="D12" s="91">
        <v>23180</v>
      </c>
      <c r="E12" s="91">
        <v>22910</v>
      </c>
      <c r="F12" s="124">
        <v>7180</v>
      </c>
      <c r="G12" s="118"/>
      <c r="I12" s="91" t="s">
        <v>2223</v>
      </c>
      <c r="J12" s="91" t="s">
        <v>2224</v>
      </c>
      <c r="K12" s="91" t="s">
        <v>2225</v>
      </c>
      <c r="L12" s="91" t="s">
        <v>2226</v>
      </c>
      <c r="M12" s="91" t="s">
        <v>2227</v>
      </c>
      <c r="N12" s="91" t="s">
        <v>2228</v>
      </c>
      <c r="O12" s="91" t="s">
        <v>2229</v>
      </c>
      <c r="P12" s="91" t="s">
        <v>2230</v>
      </c>
      <c r="Q12" s="91" t="s">
        <v>2231</v>
      </c>
      <c r="R12" s="91" t="s">
        <v>2232</v>
      </c>
    </row>
    <row r="13" spans="1:19" ht="14.25" customHeight="1">
      <c r="A13" s="87" t="s">
        <v>244</v>
      </c>
      <c r="B13" s="94" t="s">
        <v>2148</v>
      </c>
      <c r="C13" s="91">
        <v>24140</v>
      </c>
      <c r="D13" s="91">
        <v>22270</v>
      </c>
      <c r="E13" s="91">
        <v>21950</v>
      </c>
      <c r="F13" s="124">
        <v>7600</v>
      </c>
      <c r="G13" s="118"/>
      <c r="I13" s="91" t="s">
        <v>2233</v>
      </c>
      <c r="J13" s="91" t="s">
        <v>2234</v>
      </c>
      <c r="K13" s="91" t="s">
        <v>2235</v>
      </c>
      <c r="L13" s="91" t="s">
        <v>2236</v>
      </c>
      <c r="M13" s="91" t="s">
        <v>2237</v>
      </c>
      <c r="N13" s="91" t="s">
        <v>2238</v>
      </c>
      <c r="O13" s="91" t="s">
        <v>2239</v>
      </c>
      <c r="P13" s="91" t="s">
        <v>2240</v>
      </c>
      <c r="Q13" s="91" t="s">
        <v>2241</v>
      </c>
      <c r="R13" s="91" t="s">
        <v>2242</v>
      </c>
    </row>
    <row r="14" spans="1:19" ht="14.25" customHeight="1">
      <c r="A14" s="87" t="s">
        <v>244</v>
      </c>
      <c r="B14" s="94" t="s">
        <v>2160</v>
      </c>
      <c r="C14" s="91">
        <v>25600</v>
      </c>
      <c r="D14" s="91">
        <v>22260</v>
      </c>
      <c r="E14" s="91">
        <v>22110</v>
      </c>
      <c r="F14" s="124">
        <v>7630</v>
      </c>
      <c r="G14" s="118"/>
      <c r="I14" s="91" t="s">
        <v>2243</v>
      </c>
      <c r="J14" s="91" t="s">
        <v>2244</v>
      </c>
      <c r="K14" s="91" t="s">
        <v>2245</v>
      </c>
      <c r="L14" s="91" t="s">
        <v>2246</v>
      </c>
      <c r="M14" s="91" t="s">
        <v>2247</v>
      </c>
      <c r="N14" s="91" t="s">
        <v>2248</v>
      </c>
      <c r="O14" s="91" t="s">
        <v>2249</v>
      </c>
      <c r="P14" s="91" t="s">
        <v>2250</v>
      </c>
      <c r="Q14" s="91" t="s">
        <v>2251</v>
      </c>
      <c r="R14" s="91" t="s">
        <v>2252</v>
      </c>
    </row>
    <row r="15" spans="1:19" ht="14.25" customHeight="1">
      <c r="A15" s="87" t="s">
        <v>244</v>
      </c>
      <c r="B15" s="94" t="s">
        <v>2171</v>
      </c>
      <c r="C15" s="91">
        <v>24760</v>
      </c>
      <c r="D15" s="91">
        <v>24440</v>
      </c>
      <c r="E15" s="91">
        <v>24130</v>
      </c>
      <c r="F15" s="124">
        <v>9480</v>
      </c>
      <c r="G15" s="118"/>
      <c r="I15" s="91" t="s">
        <v>2253</v>
      </c>
      <c r="J15" s="91" t="s">
        <v>2254</v>
      </c>
      <c r="K15" s="91" t="s">
        <v>2255</v>
      </c>
      <c r="L15" s="91" t="s">
        <v>2256</v>
      </c>
      <c r="M15" s="91" t="s">
        <v>2257</v>
      </c>
      <c r="N15" s="91" t="s">
        <v>2258</v>
      </c>
      <c r="O15" s="91" t="s">
        <v>2259</v>
      </c>
      <c r="P15" s="91" t="s">
        <v>2260</v>
      </c>
      <c r="Q15" s="91" t="s">
        <v>2261</v>
      </c>
      <c r="R15" s="91" t="s">
        <v>2262</v>
      </c>
    </row>
    <row r="16" spans="1:19" ht="14.25" customHeight="1">
      <c r="A16" s="87" t="s">
        <v>244</v>
      </c>
      <c r="B16" s="94" t="s">
        <v>2182</v>
      </c>
      <c r="C16" s="91">
        <v>22220</v>
      </c>
      <c r="D16" s="91">
        <v>22310</v>
      </c>
      <c r="E16" s="91">
        <v>22000</v>
      </c>
      <c r="F16" s="124">
        <v>8900</v>
      </c>
      <c r="G16" s="118"/>
      <c r="I16" s="91" t="s">
        <v>2263</v>
      </c>
      <c r="J16" s="91" t="s">
        <v>2264</v>
      </c>
      <c r="K16" s="91" t="s">
        <v>2265</v>
      </c>
      <c r="L16" s="91" t="s">
        <v>2266</v>
      </c>
      <c r="M16" s="91" t="s">
        <v>2267</v>
      </c>
      <c r="N16" s="91" t="s">
        <v>2268</v>
      </c>
      <c r="O16" s="91" t="s">
        <v>2269</v>
      </c>
      <c r="P16" s="91" t="s">
        <v>2270</v>
      </c>
      <c r="Q16" s="91" t="s">
        <v>2271</v>
      </c>
      <c r="R16" s="91" t="s">
        <v>2272</v>
      </c>
    </row>
    <row r="17" spans="1:18" ht="14.25" customHeight="1">
      <c r="A17" s="87" t="s">
        <v>244</v>
      </c>
      <c r="B17" s="94" t="s">
        <v>2193</v>
      </c>
      <c r="C17" s="91">
        <v>24700</v>
      </c>
      <c r="D17" s="91">
        <v>25150</v>
      </c>
      <c r="E17" s="91">
        <v>24700</v>
      </c>
      <c r="F17" s="125"/>
      <c r="G17" s="118"/>
      <c r="I17" s="91" t="s">
        <v>2273</v>
      </c>
      <c r="J17" s="91" t="s">
        <v>2274</v>
      </c>
      <c r="K17" s="91" t="s">
        <v>2275</v>
      </c>
      <c r="L17" s="91" t="s">
        <v>2276</v>
      </c>
      <c r="M17" s="91" t="s">
        <v>2277</v>
      </c>
      <c r="N17" s="91" t="s">
        <v>2278</v>
      </c>
      <c r="O17" s="91" t="s">
        <v>2279</v>
      </c>
      <c r="P17" s="91" t="s">
        <v>2280</v>
      </c>
      <c r="Q17" s="91" t="s">
        <v>2281</v>
      </c>
      <c r="R17" s="91" t="s">
        <v>2282</v>
      </c>
    </row>
    <row r="18" spans="1:18" ht="14.25" customHeight="1">
      <c r="A18" s="87" t="s">
        <v>244</v>
      </c>
      <c r="B18" s="94" t="s">
        <v>2203</v>
      </c>
      <c r="C18" s="91">
        <v>22350</v>
      </c>
      <c r="D18" s="91">
        <v>24340</v>
      </c>
      <c r="E18" s="91">
        <v>24100</v>
      </c>
      <c r="F18" s="125"/>
      <c r="G18" s="118"/>
      <c r="I18" s="91" t="s">
        <v>2283</v>
      </c>
      <c r="J18" s="91" t="s">
        <v>2284</v>
      </c>
      <c r="K18" s="91" t="s">
        <v>2285</v>
      </c>
      <c r="L18" s="91" t="s">
        <v>2286</v>
      </c>
      <c r="M18" s="91" t="s">
        <v>2287</v>
      </c>
      <c r="N18" s="91" t="s">
        <v>2288</v>
      </c>
      <c r="O18" s="91" t="s">
        <v>2289</v>
      </c>
      <c r="P18" s="91" t="s">
        <v>2290</v>
      </c>
      <c r="Q18" s="91" t="s">
        <v>2291</v>
      </c>
      <c r="R18" s="91" t="s">
        <v>2292</v>
      </c>
    </row>
    <row r="19" spans="1:18" ht="14.25" customHeight="1">
      <c r="A19" s="87" t="s">
        <v>244</v>
      </c>
      <c r="B19" s="94" t="s">
        <v>2213</v>
      </c>
      <c r="C19" s="91">
        <v>23430</v>
      </c>
      <c r="D19" s="91">
        <v>21580</v>
      </c>
      <c r="E19" s="91">
        <v>21350</v>
      </c>
      <c r="F19" s="125"/>
      <c r="G19" s="118"/>
      <c r="I19" s="91" t="s">
        <v>2293</v>
      </c>
      <c r="J19" s="91" t="s">
        <v>2294</v>
      </c>
      <c r="K19" s="91" t="s">
        <v>2295</v>
      </c>
      <c r="L19" s="91" t="s">
        <v>2296</v>
      </c>
      <c r="M19" s="91" t="s">
        <v>2297</v>
      </c>
      <c r="N19" s="91" t="s">
        <v>2298</v>
      </c>
      <c r="O19" s="91" t="s">
        <v>2299</v>
      </c>
      <c r="P19" s="91" t="s">
        <v>2300</v>
      </c>
      <c r="Q19" s="91" t="s">
        <v>2301</v>
      </c>
      <c r="R19" s="91" t="s">
        <v>2302</v>
      </c>
    </row>
    <row r="20" spans="1:18" ht="14.25" customHeight="1">
      <c r="A20" s="87" t="s">
        <v>244</v>
      </c>
      <c r="B20" s="94" t="s">
        <v>2223</v>
      </c>
      <c r="C20" s="91">
        <v>27660</v>
      </c>
      <c r="D20" s="91">
        <v>24240</v>
      </c>
      <c r="E20" s="91">
        <v>24020</v>
      </c>
      <c r="F20" s="125"/>
      <c r="I20" s="91" t="s">
        <v>2303</v>
      </c>
      <c r="J20" s="91" t="s">
        <v>2304</v>
      </c>
      <c r="K20" s="91" t="s">
        <v>2305</v>
      </c>
      <c r="L20" s="91" t="s">
        <v>2306</v>
      </c>
      <c r="M20" s="91" t="s">
        <v>2307</v>
      </c>
      <c r="N20" s="91" t="s">
        <v>2308</v>
      </c>
      <c r="O20" s="91" t="s">
        <v>2309</v>
      </c>
      <c r="P20" s="91" t="s">
        <v>2310</v>
      </c>
      <c r="Q20" s="91" t="s">
        <v>2311</v>
      </c>
      <c r="R20" s="91" t="s">
        <v>2312</v>
      </c>
    </row>
    <row r="21" spans="1:18" ht="14.25" customHeight="1">
      <c r="A21" s="87" t="s">
        <v>244</v>
      </c>
      <c r="B21" s="94" t="s">
        <v>2233</v>
      </c>
      <c r="C21" s="91">
        <v>24720</v>
      </c>
      <c r="D21" s="91">
        <v>21670</v>
      </c>
      <c r="E21" s="91">
        <v>21510</v>
      </c>
      <c r="F21" s="125"/>
      <c r="J21" s="91" t="s">
        <v>2313</v>
      </c>
      <c r="K21" s="91" t="s">
        <v>2314</v>
      </c>
      <c r="L21" s="91" t="s">
        <v>2315</v>
      </c>
      <c r="M21" s="91" t="s">
        <v>2316</v>
      </c>
      <c r="N21" s="91" t="s">
        <v>2317</v>
      </c>
      <c r="O21" s="91" t="s">
        <v>2318</v>
      </c>
      <c r="P21" s="91" t="s">
        <v>2319</v>
      </c>
      <c r="Q21" s="91" t="s">
        <v>2320</v>
      </c>
      <c r="R21" s="91" t="s">
        <v>2321</v>
      </c>
    </row>
    <row r="22" spans="1:18" ht="14.25" customHeight="1">
      <c r="A22" s="87" t="s">
        <v>244</v>
      </c>
      <c r="B22" s="94" t="s">
        <v>2243</v>
      </c>
      <c r="C22" s="91">
        <v>26530</v>
      </c>
      <c r="D22" s="91">
        <v>22980</v>
      </c>
      <c r="E22" s="91">
        <v>22650</v>
      </c>
      <c r="F22" s="125"/>
      <c r="K22" s="91" t="s">
        <v>2322</v>
      </c>
      <c r="L22" s="91" t="s">
        <v>2323</v>
      </c>
      <c r="M22" s="91" t="s">
        <v>2324</v>
      </c>
      <c r="N22" s="91" t="s">
        <v>2325</v>
      </c>
      <c r="O22" s="91" t="s">
        <v>2326</v>
      </c>
      <c r="P22" s="91" t="s">
        <v>2327</v>
      </c>
      <c r="Q22" s="91" t="s">
        <v>2328</v>
      </c>
      <c r="R22" s="94" t="s">
        <v>2329</v>
      </c>
    </row>
    <row r="23" spans="1:18" ht="14.25" customHeight="1">
      <c r="A23" s="87" t="s">
        <v>244</v>
      </c>
      <c r="B23" s="94" t="s">
        <v>2253</v>
      </c>
      <c r="C23" s="91">
        <v>24700</v>
      </c>
      <c r="D23" s="91">
        <v>27290</v>
      </c>
      <c r="E23" s="91">
        <v>26710</v>
      </c>
      <c r="F23" s="125"/>
      <c r="K23" s="91" t="s">
        <v>2330</v>
      </c>
      <c r="L23" s="91" t="s">
        <v>2331</v>
      </c>
      <c r="M23" s="91" t="s">
        <v>2332</v>
      </c>
      <c r="N23" s="91" t="s">
        <v>2333</v>
      </c>
      <c r="O23" s="91" t="s">
        <v>2334</v>
      </c>
      <c r="P23" s="91" t="s">
        <v>2335</v>
      </c>
      <c r="Q23" s="91" t="s">
        <v>2336</v>
      </c>
    </row>
    <row r="24" spans="1:18" ht="14.25" customHeight="1">
      <c r="A24" s="87" t="s">
        <v>244</v>
      </c>
      <c r="B24" s="94" t="s">
        <v>2263</v>
      </c>
      <c r="C24" s="91">
        <v>23070</v>
      </c>
      <c r="D24" s="91">
        <v>24130</v>
      </c>
      <c r="E24" s="91">
        <v>23860</v>
      </c>
      <c r="F24" s="125"/>
      <c r="K24" s="91" t="s">
        <v>2337</v>
      </c>
      <c r="L24" s="91" t="s">
        <v>2338</v>
      </c>
      <c r="M24" s="91" t="s">
        <v>2339</v>
      </c>
      <c r="N24" s="91" t="s">
        <v>2340</v>
      </c>
      <c r="O24" s="91" t="s">
        <v>2341</v>
      </c>
      <c r="P24" s="91" t="s">
        <v>2342</v>
      </c>
      <c r="Q24" s="91" t="s">
        <v>2343</v>
      </c>
    </row>
    <row r="25" spans="1:18" ht="14.25" customHeight="1">
      <c r="A25" s="87" t="s">
        <v>244</v>
      </c>
      <c r="B25" s="94" t="s">
        <v>2273</v>
      </c>
      <c r="C25" s="91">
        <v>27550</v>
      </c>
      <c r="D25" s="91">
        <v>25850</v>
      </c>
      <c r="E25" s="91">
        <v>25340</v>
      </c>
      <c r="F25" s="125"/>
      <c r="K25" s="91" t="s">
        <v>2344</v>
      </c>
      <c r="L25" s="91" t="s">
        <v>2345</v>
      </c>
      <c r="M25" s="91" t="s">
        <v>2346</v>
      </c>
      <c r="N25" s="91" t="s">
        <v>2347</v>
      </c>
      <c r="O25" s="91" t="s">
        <v>2348</v>
      </c>
      <c r="P25" s="91" t="s">
        <v>2349</v>
      </c>
      <c r="Q25" s="91" t="s">
        <v>2350</v>
      </c>
    </row>
    <row r="26" spans="1:18" ht="14.25" customHeight="1">
      <c r="A26" s="87" t="s">
        <v>244</v>
      </c>
      <c r="B26" s="94" t="s">
        <v>2283</v>
      </c>
      <c r="C26" s="91"/>
      <c r="D26" s="91">
        <v>23900</v>
      </c>
      <c r="E26" s="91">
        <v>23590</v>
      </c>
      <c r="F26" s="125"/>
      <c r="K26" s="91" t="s">
        <v>2351</v>
      </c>
      <c r="L26" s="91" t="s">
        <v>2352</v>
      </c>
      <c r="M26" s="91" t="s">
        <v>2353</v>
      </c>
      <c r="N26" s="91" t="s">
        <v>2354</v>
      </c>
      <c r="O26" s="91" t="s">
        <v>2355</v>
      </c>
      <c r="P26" s="91" t="s">
        <v>2356</v>
      </c>
      <c r="Q26" s="91" t="s">
        <v>2357</v>
      </c>
    </row>
    <row r="27" spans="1:18" ht="14.25" customHeight="1">
      <c r="A27" s="87" t="s">
        <v>244</v>
      </c>
      <c r="B27" s="94" t="s">
        <v>2293</v>
      </c>
      <c r="C27" s="91"/>
      <c r="D27" s="91">
        <v>22850</v>
      </c>
      <c r="E27" s="91">
        <v>21920</v>
      </c>
      <c r="F27" s="125"/>
      <c r="K27" s="91" t="s">
        <v>2358</v>
      </c>
      <c r="L27" s="91" t="s">
        <v>2359</v>
      </c>
      <c r="M27" s="91" t="s">
        <v>2360</v>
      </c>
      <c r="N27" s="91" t="s">
        <v>2361</v>
      </c>
      <c r="O27" s="91" t="s">
        <v>2362</v>
      </c>
      <c r="P27" s="91" t="s">
        <v>2363</v>
      </c>
      <c r="Q27" s="91" t="s">
        <v>2364</v>
      </c>
    </row>
    <row r="28" spans="1:18" ht="14.25" customHeight="1">
      <c r="A28" s="95" t="s">
        <v>244</v>
      </c>
      <c r="B28" s="96" t="s">
        <v>2303</v>
      </c>
      <c r="C28" s="102"/>
      <c r="D28" s="102">
        <v>26610</v>
      </c>
      <c r="E28" s="102">
        <v>26370</v>
      </c>
      <c r="F28" s="123"/>
      <c r="K28" s="91" t="s">
        <v>2365</v>
      </c>
      <c r="L28" s="91" t="s">
        <v>2366</v>
      </c>
      <c r="M28" s="91" t="s">
        <v>2367</v>
      </c>
      <c r="N28" s="91" t="s">
        <v>2368</v>
      </c>
      <c r="O28" s="91" t="s">
        <v>2369</v>
      </c>
      <c r="P28" s="91" t="s">
        <v>2370</v>
      </c>
    </row>
    <row r="29" spans="1:18" ht="14.25" customHeight="1">
      <c r="A29" s="87" t="s">
        <v>254</v>
      </c>
      <c r="B29" s="88" t="s">
        <v>2110</v>
      </c>
      <c r="C29" s="88">
        <v>22090</v>
      </c>
      <c r="D29" s="88">
        <v>21860</v>
      </c>
      <c r="E29" s="88">
        <v>19380</v>
      </c>
      <c r="F29" s="121">
        <v>6610</v>
      </c>
      <c r="L29" s="91" t="s">
        <v>2371</v>
      </c>
      <c r="M29" s="91" t="s">
        <v>2372</v>
      </c>
      <c r="N29" s="91" t="s">
        <v>2373</v>
      </c>
      <c r="O29" s="91" t="s">
        <v>2374</v>
      </c>
      <c r="P29" s="91" t="s">
        <v>2375</v>
      </c>
    </row>
    <row r="30" spans="1:18" ht="14.25" customHeight="1">
      <c r="A30" s="87" t="s">
        <v>254</v>
      </c>
      <c r="B30" s="94" t="s">
        <v>2123</v>
      </c>
      <c r="C30" s="91">
        <v>21380</v>
      </c>
      <c r="D30" s="91">
        <v>19930</v>
      </c>
      <c r="E30" s="91">
        <v>19860</v>
      </c>
      <c r="F30" s="124">
        <v>6010</v>
      </c>
      <c r="L30" s="91" t="s">
        <v>2376</v>
      </c>
      <c r="M30" s="91" t="s">
        <v>2377</v>
      </c>
      <c r="N30" s="91" t="s">
        <v>2378</v>
      </c>
      <c r="O30" s="91" t="s">
        <v>2379</v>
      </c>
      <c r="P30" s="91" t="s">
        <v>2380</v>
      </c>
    </row>
    <row r="31" spans="1:18" ht="14.25" customHeight="1">
      <c r="A31" s="87" t="s">
        <v>254</v>
      </c>
      <c r="B31" s="94" t="s">
        <v>2137</v>
      </c>
      <c r="C31" s="91">
        <v>21670</v>
      </c>
      <c r="D31" s="91">
        <v>20660</v>
      </c>
      <c r="E31" s="91">
        <v>20290</v>
      </c>
      <c r="F31" s="124">
        <v>5840</v>
      </c>
      <c r="L31" s="91" t="s">
        <v>2381</v>
      </c>
      <c r="M31" s="91" t="s">
        <v>2382</v>
      </c>
      <c r="N31" s="91" t="s">
        <v>2383</v>
      </c>
      <c r="O31" s="91" t="s">
        <v>2384</v>
      </c>
      <c r="P31" s="91" t="s">
        <v>2385</v>
      </c>
    </row>
    <row r="32" spans="1:18" ht="14.25" customHeight="1">
      <c r="A32" s="87" t="s">
        <v>254</v>
      </c>
      <c r="B32" s="94" t="s">
        <v>2149</v>
      </c>
      <c r="C32" s="91">
        <v>22280</v>
      </c>
      <c r="D32" s="91">
        <v>21800</v>
      </c>
      <c r="E32" s="91">
        <v>17650</v>
      </c>
      <c r="F32" s="124">
        <v>4690</v>
      </c>
      <c r="L32" s="91" t="s">
        <v>2386</v>
      </c>
      <c r="M32" s="91" t="s">
        <v>2387</v>
      </c>
      <c r="N32" s="91" t="s">
        <v>2388</v>
      </c>
      <c r="O32" s="91" t="s">
        <v>2389</v>
      </c>
      <c r="P32" s="91" t="s">
        <v>2390</v>
      </c>
    </row>
    <row r="33" spans="1:16" ht="14.25" customHeight="1">
      <c r="A33" s="87" t="s">
        <v>254</v>
      </c>
      <c r="B33" s="94" t="s">
        <v>2161</v>
      </c>
      <c r="C33" s="91">
        <v>22130</v>
      </c>
      <c r="D33" s="91">
        <v>20460</v>
      </c>
      <c r="E33" s="91">
        <v>18500</v>
      </c>
      <c r="F33" s="124">
        <v>5340</v>
      </c>
      <c r="L33" s="91" t="s">
        <v>2391</v>
      </c>
      <c r="M33" s="91" t="s">
        <v>2392</v>
      </c>
      <c r="N33" s="91" t="s">
        <v>2393</v>
      </c>
      <c r="O33" s="91" t="s">
        <v>2394</v>
      </c>
      <c r="P33" s="91" t="s">
        <v>2395</v>
      </c>
    </row>
    <row r="34" spans="1:16" ht="14.25" customHeight="1">
      <c r="A34" s="87" t="s">
        <v>254</v>
      </c>
      <c r="B34" s="94" t="s">
        <v>2172</v>
      </c>
      <c r="C34" s="91">
        <v>22070</v>
      </c>
      <c r="D34" s="91">
        <v>20110</v>
      </c>
      <c r="E34" s="91">
        <v>18830</v>
      </c>
      <c r="F34" s="124">
        <v>5190</v>
      </c>
      <c r="L34" s="91" t="s">
        <v>2396</v>
      </c>
      <c r="M34" s="91" t="s">
        <v>2397</v>
      </c>
      <c r="N34" s="91" t="s">
        <v>2398</v>
      </c>
      <c r="O34" s="91" t="s">
        <v>2399</v>
      </c>
      <c r="P34" s="91" t="s">
        <v>2400</v>
      </c>
    </row>
    <row r="35" spans="1:16" ht="14.25" customHeight="1">
      <c r="A35" s="87" t="s">
        <v>254</v>
      </c>
      <c r="B35" s="94" t="s">
        <v>2183</v>
      </c>
      <c r="C35" s="91">
        <v>22240</v>
      </c>
      <c r="D35" s="91">
        <v>19550</v>
      </c>
      <c r="E35" s="91">
        <v>19220</v>
      </c>
      <c r="F35" s="124">
        <v>5800</v>
      </c>
      <c r="L35" s="91" t="s">
        <v>2401</v>
      </c>
      <c r="M35" s="91" t="s">
        <v>2402</v>
      </c>
      <c r="N35" s="91" t="s">
        <v>2403</v>
      </c>
      <c r="O35" s="91" t="s">
        <v>2404</v>
      </c>
      <c r="P35" s="91" t="s">
        <v>2405</v>
      </c>
    </row>
    <row r="36" spans="1:16" ht="14.25" customHeight="1">
      <c r="A36" s="87" t="s">
        <v>254</v>
      </c>
      <c r="B36" s="94" t="s">
        <v>2194</v>
      </c>
      <c r="C36" s="91">
        <v>19750</v>
      </c>
      <c r="D36" s="91">
        <v>19790</v>
      </c>
      <c r="E36" s="91">
        <v>18510</v>
      </c>
      <c r="F36" s="124">
        <v>6520</v>
      </c>
      <c r="M36" s="91" t="s">
        <v>2406</v>
      </c>
      <c r="N36" s="91" t="s">
        <v>2407</v>
      </c>
      <c r="O36" s="91" t="s">
        <v>2408</v>
      </c>
      <c r="P36" s="91" t="s">
        <v>2409</v>
      </c>
    </row>
    <row r="37" spans="1:16" ht="14.25" customHeight="1">
      <c r="A37" s="87" t="s">
        <v>254</v>
      </c>
      <c r="B37" s="94" t="s">
        <v>2204</v>
      </c>
      <c r="C37" s="91">
        <v>22380</v>
      </c>
      <c r="D37" s="91">
        <v>18530</v>
      </c>
      <c r="E37" s="91">
        <v>17930</v>
      </c>
      <c r="F37" s="124">
        <v>6270</v>
      </c>
      <c r="M37" s="91" t="s">
        <v>2410</v>
      </c>
      <c r="N37" s="91" t="s">
        <v>2411</v>
      </c>
      <c r="O37" s="91" t="s">
        <v>2412</v>
      </c>
      <c r="P37" s="91" t="s">
        <v>2413</v>
      </c>
    </row>
    <row r="38" spans="1:16" ht="14.25" customHeight="1">
      <c r="A38" s="87" t="s">
        <v>254</v>
      </c>
      <c r="B38" s="94" t="s">
        <v>2214</v>
      </c>
      <c r="C38" s="91">
        <v>20200</v>
      </c>
      <c r="D38" s="91">
        <v>20070</v>
      </c>
      <c r="E38" s="91">
        <v>19950</v>
      </c>
      <c r="F38" s="124"/>
      <c r="M38" s="91" t="s">
        <v>2414</v>
      </c>
      <c r="N38" s="91" t="s">
        <v>2415</v>
      </c>
      <c r="O38" s="91" t="s">
        <v>2416</v>
      </c>
      <c r="P38" s="91" t="s">
        <v>2417</v>
      </c>
    </row>
    <row r="39" spans="1:16" ht="14.25" customHeight="1">
      <c r="A39" s="87" t="s">
        <v>254</v>
      </c>
      <c r="B39" s="94" t="s">
        <v>2224</v>
      </c>
      <c r="C39" s="91">
        <v>19300</v>
      </c>
      <c r="D39" s="91">
        <v>20360</v>
      </c>
      <c r="E39" s="91">
        <v>20230</v>
      </c>
      <c r="F39" s="124"/>
      <c r="M39" s="91" t="s">
        <v>2418</v>
      </c>
      <c r="N39" s="91" t="s">
        <v>2419</v>
      </c>
      <c r="O39" s="91" t="s">
        <v>2420</v>
      </c>
      <c r="P39" s="91" t="s">
        <v>2421</v>
      </c>
    </row>
    <row r="40" spans="1:16" ht="14.25" customHeight="1">
      <c r="A40" s="87" t="s">
        <v>254</v>
      </c>
      <c r="B40" s="94" t="s">
        <v>2234</v>
      </c>
      <c r="C40" s="91">
        <v>20210</v>
      </c>
      <c r="D40" s="91">
        <v>19060</v>
      </c>
      <c r="E40" s="91">
        <v>18890</v>
      </c>
      <c r="F40" s="124"/>
      <c r="M40" s="91" t="s">
        <v>2422</v>
      </c>
      <c r="N40" s="91" t="s">
        <v>2423</v>
      </c>
      <c r="O40" s="91" t="s">
        <v>2424</v>
      </c>
      <c r="P40" s="91" t="s">
        <v>2425</v>
      </c>
    </row>
    <row r="41" spans="1:16" ht="14.25" customHeight="1">
      <c r="A41" s="87" t="s">
        <v>254</v>
      </c>
      <c r="B41" s="94" t="s">
        <v>2244</v>
      </c>
      <c r="C41" s="91">
        <v>20560</v>
      </c>
      <c r="D41" s="91">
        <v>21040</v>
      </c>
      <c r="E41" s="91">
        <v>20740</v>
      </c>
      <c r="F41" s="124"/>
      <c r="M41" s="94" t="s">
        <v>2426</v>
      </c>
      <c r="N41" s="94" t="s">
        <v>2427</v>
      </c>
      <c r="P41" s="94" t="s">
        <v>2428</v>
      </c>
    </row>
    <row r="42" spans="1:16" ht="14.25" customHeight="1">
      <c r="A42" s="87" t="s">
        <v>254</v>
      </c>
      <c r="B42" s="94" t="s">
        <v>2254</v>
      </c>
      <c r="C42" s="91">
        <v>19280</v>
      </c>
      <c r="D42" s="91">
        <v>22940</v>
      </c>
      <c r="E42" s="91">
        <v>22500</v>
      </c>
      <c r="F42" s="124"/>
      <c r="M42" s="91" t="s">
        <v>2429</v>
      </c>
      <c r="N42" s="91" t="s">
        <v>2430</v>
      </c>
      <c r="P42" s="91" t="s">
        <v>2431</v>
      </c>
    </row>
    <row r="43" spans="1:16" ht="14.25" customHeight="1">
      <c r="A43" s="87" t="s">
        <v>254</v>
      </c>
      <c r="B43" s="94" t="s">
        <v>2264</v>
      </c>
      <c r="C43" s="91">
        <v>21520</v>
      </c>
      <c r="D43" s="91">
        <v>19230</v>
      </c>
      <c r="E43" s="91">
        <v>18540</v>
      </c>
      <c r="F43" s="124"/>
      <c r="M43" s="91" t="s">
        <v>2432</v>
      </c>
      <c r="N43" s="91" t="s">
        <v>2433</v>
      </c>
      <c r="P43" s="91" t="s">
        <v>2434</v>
      </c>
    </row>
    <row r="44" spans="1:16" ht="14.25" customHeight="1">
      <c r="A44" s="87" t="s">
        <v>254</v>
      </c>
      <c r="B44" s="94" t="s">
        <v>2274</v>
      </c>
      <c r="C44" s="91">
        <v>23260</v>
      </c>
      <c r="D44" s="91">
        <v>21180</v>
      </c>
      <c r="E44" s="91">
        <v>20730</v>
      </c>
      <c r="F44" s="124"/>
      <c r="M44" s="91" t="s">
        <v>2435</v>
      </c>
      <c r="N44" s="91" t="s">
        <v>2436</v>
      </c>
      <c r="P44" s="91" t="s">
        <v>2437</v>
      </c>
    </row>
    <row r="45" spans="1:16" ht="14.25" customHeight="1">
      <c r="A45" s="87" t="s">
        <v>254</v>
      </c>
      <c r="B45" s="94" t="s">
        <v>2284</v>
      </c>
      <c r="C45" s="91">
        <v>19610</v>
      </c>
      <c r="D45" s="91">
        <v>18090</v>
      </c>
      <c r="E45" s="91">
        <v>17970</v>
      </c>
      <c r="F45" s="124"/>
      <c r="M45" s="91" t="s">
        <v>2438</v>
      </c>
      <c r="N45" s="91" t="s">
        <v>2439</v>
      </c>
      <c r="P45" s="91" t="s">
        <v>2440</v>
      </c>
    </row>
    <row r="46" spans="1:16" ht="14.25" customHeight="1">
      <c r="A46" s="87" t="s">
        <v>254</v>
      </c>
      <c r="B46" s="94" t="s">
        <v>2294</v>
      </c>
      <c r="C46" s="91">
        <v>21660</v>
      </c>
      <c r="D46" s="91">
        <v>19190</v>
      </c>
      <c r="E46" s="91">
        <v>19790</v>
      </c>
      <c r="F46" s="124"/>
      <c r="M46" s="91" t="s">
        <v>2441</v>
      </c>
      <c r="N46" s="91" t="s">
        <v>2442</v>
      </c>
      <c r="P46" s="91" t="s">
        <v>2443</v>
      </c>
    </row>
    <row r="47" spans="1:16" ht="14.25" customHeight="1">
      <c r="A47" s="87" t="s">
        <v>254</v>
      </c>
      <c r="B47" s="94" t="s">
        <v>2304</v>
      </c>
      <c r="C47" s="91">
        <v>18220</v>
      </c>
      <c r="D47" s="91"/>
      <c r="E47" s="91">
        <v>17220</v>
      </c>
      <c r="F47" s="124"/>
      <c r="M47" s="91" t="s">
        <v>2444</v>
      </c>
      <c r="N47" s="91" t="s">
        <v>2445</v>
      </c>
    </row>
    <row r="48" spans="1:16" ht="14.25" customHeight="1">
      <c r="A48" s="87" t="s">
        <v>254</v>
      </c>
      <c r="B48" s="96" t="s">
        <v>2313</v>
      </c>
      <c r="C48" s="102">
        <v>19430</v>
      </c>
      <c r="D48" s="102"/>
      <c r="E48" s="102">
        <v>17830</v>
      </c>
      <c r="F48" s="126"/>
      <c r="M48" s="91" t="s">
        <v>2446</v>
      </c>
      <c r="N48" s="91" t="s">
        <v>2447</v>
      </c>
    </row>
    <row r="49" spans="1:14" ht="14.25" customHeight="1">
      <c r="A49" s="87" t="s">
        <v>262</v>
      </c>
      <c r="B49" s="88" t="s">
        <v>2111</v>
      </c>
      <c r="C49" s="88">
        <v>17090</v>
      </c>
      <c r="D49" s="88">
        <v>16950</v>
      </c>
      <c r="E49" s="88">
        <v>16310</v>
      </c>
      <c r="F49" s="121">
        <v>4540</v>
      </c>
      <c r="M49" s="91" t="s">
        <v>2448</v>
      </c>
      <c r="N49" s="91" t="s">
        <v>2449</v>
      </c>
    </row>
    <row r="50" spans="1:14" ht="14.25" customHeight="1">
      <c r="A50" s="87" t="s">
        <v>262</v>
      </c>
      <c r="B50" s="91" t="s">
        <v>2124</v>
      </c>
      <c r="C50" s="91">
        <v>19040</v>
      </c>
      <c r="D50" s="91">
        <v>16960</v>
      </c>
      <c r="E50" s="91">
        <v>14800</v>
      </c>
      <c r="F50" s="124">
        <v>3940</v>
      </c>
    </row>
    <row r="51" spans="1:14" ht="14.25" customHeight="1">
      <c r="A51" s="87" t="s">
        <v>262</v>
      </c>
      <c r="B51" s="91" t="s">
        <v>2138</v>
      </c>
      <c r="C51" s="91">
        <v>17040</v>
      </c>
      <c r="D51" s="91">
        <v>16930</v>
      </c>
      <c r="E51" s="91">
        <v>15030</v>
      </c>
      <c r="F51" s="124">
        <v>4120</v>
      </c>
    </row>
    <row r="52" spans="1:14" ht="14.25" customHeight="1">
      <c r="A52" s="87" t="s">
        <v>262</v>
      </c>
      <c r="B52" s="91" t="s">
        <v>2150</v>
      </c>
      <c r="C52" s="91">
        <v>17110</v>
      </c>
      <c r="D52" s="91">
        <v>17750</v>
      </c>
      <c r="E52" s="91">
        <v>17310</v>
      </c>
      <c r="F52" s="124">
        <v>3220</v>
      </c>
    </row>
    <row r="53" spans="1:14" ht="14.25" customHeight="1">
      <c r="A53" s="87" t="s">
        <v>262</v>
      </c>
      <c r="B53" s="91" t="s">
        <v>2162</v>
      </c>
      <c r="C53" s="91">
        <v>17810</v>
      </c>
      <c r="D53" s="91">
        <v>17260</v>
      </c>
      <c r="E53" s="91">
        <v>17090</v>
      </c>
      <c r="F53" s="124">
        <v>3520</v>
      </c>
    </row>
    <row r="54" spans="1:14" ht="14.25" customHeight="1">
      <c r="A54" s="87" t="s">
        <v>262</v>
      </c>
      <c r="B54" s="91" t="s">
        <v>2173</v>
      </c>
      <c r="C54" s="91">
        <v>17410</v>
      </c>
      <c r="D54" s="91">
        <v>16780</v>
      </c>
      <c r="E54" s="91">
        <v>16370</v>
      </c>
      <c r="F54" s="124">
        <v>3410</v>
      </c>
    </row>
    <row r="55" spans="1:14" ht="14.25" customHeight="1">
      <c r="A55" s="87" t="s">
        <v>262</v>
      </c>
      <c r="B55" s="91" t="s">
        <v>2184</v>
      </c>
      <c r="C55" s="91">
        <v>16930</v>
      </c>
      <c r="D55" s="91">
        <v>14720</v>
      </c>
      <c r="E55" s="91">
        <v>15000</v>
      </c>
      <c r="F55" s="124">
        <v>3710</v>
      </c>
    </row>
    <row r="56" spans="1:14" ht="14.25" customHeight="1">
      <c r="A56" s="87" t="s">
        <v>262</v>
      </c>
      <c r="B56" s="91" t="s">
        <v>2195</v>
      </c>
      <c r="C56" s="91">
        <v>14930</v>
      </c>
      <c r="D56" s="91">
        <v>15850</v>
      </c>
      <c r="E56" s="91">
        <v>14320</v>
      </c>
      <c r="F56" s="124">
        <v>3960</v>
      </c>
    </row>
    <row r="57" spans="1:14" ht="14.25" customHeight="1">
      <c r="A57" s="87" t="s">
        <v>262</v>
      </c>
      <c r="B57" s="91" t="s">
        <v>2205</v>
      </c>
      <c r="C57" s="91">
        <v>16160</v>
      </c>
      <c r="D57" s="91">
        <v>16190</v>
      </c>
      <c r="E57" s="91">
        <v>15650</v>
      </c>
      <c r="F57" s="124">
        <v>4200</v>
      </c>
    </row>
    <row r="58" spans="1:14" ht="14.25" customHeight="1">
      <c r="A58" s="87" t="s">
        <v>262</v>
      </c>
      <c r="B58" s="91" t="s">
        <v>2215</v>
      </c>
      <c r="C58" s="91">
        <v>16360</v>
      </c>
      <c r="D58" s="91">
        <v>14050</v>
      </c>
      <c r="E58" s="91">
        <v>16070</v>
      </c>
      <c r="F58" s="124">
        <v>3990</v>
      </c>
    </row>
    <row r="59" spans="1:14" ht="14.25" customHeight="1">
      <c r="A59" s="87" t="s">
        <v>262</v>
      </c>
      <c r="B59" s="91" t="s">
        <v>2225</v>
      </c>
      <c r="C59" s="91">
        <v>14160</v>
      </c>
      <c r="D59" s="91">
        <v>16620</v>
      </c>
      <c r="E59" s="91">
        <v>13940</v>
      </c>
      <c r="F59" s="124">
        <v>4260</v>
      </c>
    </row>
    <row r="60" spans="1:14" ht="14.25" customHeight="1">
      <c r="A60" s="87" t="s">
        <v>262</v>
      </c>
      <c r="B60" s="91" t="s">
        <v>2235</v>
      </c>
      <c r="C60" s="91">
        <v>16750</v>
      </c>
      <c r="D60" s="91">
        <v>13910</v>
      </c>
      <c r="E60" s="91">
        <v>16550</v>
      </c>
      <c r="F60" s="124">
        <v>4550</v>
      </c>
    </row>
    <row r="61" spans="1:14" ht="14.25" customHeight="1">
      <c r="A61" s="87" t="s">
        <v>262</v>
      </c>
      <c r="B61" s="91" t="s">
        <v>2245</v>
      </c>
      <c r="C61" s="91">
        <v>14000</v>
      </c>
      <c r="D61" s="91">
        <v>14550</v>
      </c>
      <c r="E61" s="91">
        <v>13860</v>
      </c>
      <c r="F61" s="127"/>
    </row>
    <row r="62" spans="1:14" ht="14.25" customHeight="1">
      <c r="A62" s="87" t="s">
        <v>262</v>
      </c>
      <c r="B62" s="91" t="s">
        <v>2255</v>
      </c>
      <c r="C62" s="91">
        <v>14660</v>
      </c>
      <c r="D62" s="91">
        <v>17450</v>
      </c>
      <c r="E62" s="91">
        <v>14470</v>
      </c>
      <c r="F62" s="127"/>
    </row>
    <row r="63" spans="1:14" ht="14.25" customHeight="1">
      <c r="A63" s="87" t="s">
        <v>262</v>
      </c>
      <c r="B63" s="91" t="s">
        <v>2265</v>
      </c>
      <c r="C63" s="91">
        <v>17610</v>
      </c>
      <c r="D63" s="91">
        <v>16500</v>
      </c>
      <c r="E63" s="91">
        <v>17330</v>
      </c>
      <c r="F63" s="127"/>
    </row>
    <row r="64" spans="1:14" ht="14.25" customHeight="1">
      <c r="A64" s="87" t="s">
        <v>262</v>
      </c>
      <c r="B64" s="91" t="s">
        <v>2275</v>
      </c>
      <c r="C64" s="91">
        <v>16590</v>
      </c>
      <c r="D64" s="91">
        <v>15130</v>
      </c>
      <c r="E64" s="91">
        <v>16420</v>
      </c>
      <c r="F64" s="127"/>
    </row>
    <row r="65" spans="1:6" s="113" customFormat="1" ht="14.25" customHeight="1">
      <c r="A65" s="87" t="s">
        <v>262</v>
      </c>
      <c r="B65" s="91" t="s">
        <v>2285</v>
      </c>
      <c r="C65" s="91">
        <v>15220</v>
      </c>
      <c r="D65" s="91">
        <v>14660</v>
      </c>
      <c r="E65" s="91">
        <v>15060</v>
      </c>
      <c r="F65" s="124"/>
    </row>
    <row r="66" spans="1:6" s="113" customFormat="1" ht="14.25" customHeight="1">
      <c r="A66" s="87" t="s">
        <v>262</v>
      </c>
      <c r="B66" s="91" t="s">
        <v>2295</v>
      </c>
      <c r="C66" s="91">
        <v>14720</v>
      </c>
      <c r="D66" s="91">
        <v>15970</v>
      </c>
      <c r="E66" s="91">
        <v>14610</v>
      </c>
      <c r="F66" s="124"/>
    </row>
    <row r="67" spans="1:6" s="113" customFormat="1" ht="14.25" customHeight="1">
      <c r="A67" s="87" t="s">
        <v>262</v>
      </c>
      <c r="B67" s="91" t="s">
        <v>2305</v>
      </c>
      <c r="C67" s="91">
        <v>16080</v>
      </c>
      <c r="D67" s="91">
        <v>14840</v>
      </c>
      <c r="E67" s="91">
        <v>15630</v>
      </c>
      <c r="F67" s="124"/>
    </row>
    <row r="68" spans="1:6" s="113" customFormat="1" ht="14.25" customHeight="1">
      <c r="A68" s="87" t="s">
        <v>262</v>
      </c>
      <c r="B68" s="91" t="s">
        <v>2314</v>
      </c>
      <c r="C68" s="91">
        <v>14940</v>
      </c>
      <c r="D68" s="91">
        <v>18000</v>
      </c>
      <c r="E68" s="91">
        <v>14040</v>
      </c>
      <c r="F68" s="124"/>
    </row>
    <row r="69" spans="1:6" s="113" customFormat="1" ht="14.25" customHeight="1">
      <c r="A69" s="87" t="s">
        <v>262</v>
      </c>
      <c r="B69" s="91" t="s">
        <v>2322</v>
      </c>
      <c r="C69" s="91">
        <v>18810</v>
      </c>
      <c r="D69" s="91">
        <v>15100</v>
      </c>
      <c r="E69" s="91">
        <v>14710</v>
      </c>
      <c r="F69" s="124"/>
    </row>
    <row r="70" spans="1:6" s="113" customFormat="1" ht="14.25" customHeight="1">
      <c r="A70" s="87" t="s">
        <v>262</v>
      </c>
      <c r="B70" s="91" t="s">
        <v>2330</v>
      </c>
      <c r="C70" s="91">
        <v>18270</v>
      </c>
      <c r="D70" s="91"/>
      <c r="E70" s="91"/>
      <c r="F70" s="124"/>
    </row>
    <row r="71" spans="1:6" s="113" customFormat="1" ht="14.25" customHeight="1">
      <c r="A71" s="87" t="s">
        <v>262</v>
      </c>
      <c r="B71" s="91" t="s">
        <v>2337</v>
      </c>
      <c r="C71" s="91">
        <v>15230</v>
      </c>
      <c r="D71" s="91"/>
      <c r="E71" s="91"/>
      <c r="F71" s="124"/>
    </row>
    <row r="72" spans="1:6" s="113" customFormat="1" ht="14.25" customHeight="1">
      <c r="A72" s="87" t="s">
        <v>262</v>
      </c>
      <c r="B72" s="91" t="s">
        <v>2344</v>
      </c>
      <c r="C72" s="91"/>
      <c r="D72" s="91"/>
      <c r="E72" s="91"/>
      <c r="F72" s="124">
        <v>4120</v>
      </c>
    </row>
    <row r="73" spans="1:6" s="113" customFormat="1" ht="14.25" customHeight="1">
      <c r="A73" s="87" t="s">
        <v>262</v>
      </c>
      <c r="B73" s="91" t="s">
        <v>2351</v>
      </c>
      <c r="C73" s="91"/>
      <c r="D73" s="91"/>
      <c r="E73" s="91"/>
      <c r="F73" s="124">
        <v>3930</v>
      </c>
    </row>
    <row r="74" spans="1:6" s="113" customFormat="1" ht="14.25" customHeight="1">
      <c r="A74" s="87" t="s">
        <v>262</v>
      </c>
      <c r="B74" s="91" t="s">
        <v>2358</v>
      </c>
      <c r="C74" s="91"/>
      <c r="D74" s="91"/>
      <c r="E74" s="91"/>
      <c r="F74" s="124">
        <v>4060</v>
      </c>
    </row>
    <row r="75" spans="1:6" s="113" customFormat="1" ht="14.25" customHeight="1">
      <c r="A75" s="87" t="s">
        <v>262</v>
      </c>
      <c r="B75" s="102" t="s">
        <v>2365</v>
      </c>
      <c r="C75" s="102"/>
      <c r="D75" s="102"/>
      <c r="E75" s="102"/>
      <c r="F75" s="126">
        <v>3750</v>
      </c>
    </row>
    <row r="76" spans="1:6" s="113" customFormat="1" ht="14.25" customHeight="1">
      <c r="A76" s="87" t="s">
        <v>270</v>
      </c>
      <c r="B76" s="88" t="s">
        <v>2112</v>
      </c>
      <c r="C76" s="88">
        <v>14690</v>
      </c>
      <c r="D76" s="88">
        <v>14640</v>
      </c>
      <c r="E76" s="88">
        <v>14590</v>
      </c>
      <c r="F76" s="121">
        <v>3060</v>
      </c>
    </row>
    <row r="77" spans="1:6" s="113" customFormat="1" ht="14.25" customHeight="1">
      <c r="A77" s="87" t="s">
        <v>270</v>
      </c>
      <c r="B77" s="91" t="s">
        <v>2125</v>
      </c>
      <c r="C77" s="91">
        <v>12550</v>
      </c>
      <c r="D77" s="91">
        <v>12480</v>
      </c>
      <c r="E77" s="91">
        <v>12450</v>
      </c>
      <c r="F77" s="124">
        <v>2590</v>
      </c>
    </row>
    <row r="78" spans="1:6" s="113" customFormat="1" ht="14.25" customHeight="1">
      <c r="A78" s="87" t="s">
        <v>270</v>
      </c>
      <c r="B78" s="91" t="s">
        <v>2139</v>
      </c>
      <c r="C78" s="91">
        <v>14360</v>
      </c>
      <c r="D78" s="91">
        <v>14320</v>
      </c>
      <c r="E78" s="91">
        <v>12510</v>
      </c>
      <c r="F78" s="124">
        <v>2700</v>
      </c>
    </row>
    <row r="79" spans="1:6" s="113" customFormat="1" ht="14.25" customHeight="1">
      <c r="A79" s="87" t="s">
        <v>270</v>
      </c>
      <c r="B79" s="91" t="s">
        <v>2151</v>
      </c>
      <c r="C79" s="91">
        <v>12590</v>
      </c>
      <c r="D79" s="91">
        <v>12540</v>
      </c>
      <c r="E79" s="91">
        <v>12350</v>
      </c>
      <c r="F79" s="124">
        <v>2740</v>
      </c>
    </row>
    <row r="80" spans="1:6" s="113" customFormat="1" ht="14.25" customHeight="1">
      <c r="A80" s="87" t="s">
        <v>270</v>
      </c>
      <c r="B80" s="91" t="s">
        <v>2163</v>
      </c>
      <c r="C80" s="91">
        <v>12450</v>
      </c>
      <c r="D80" s="91">
        <v>12370</v>
      </c>
      <c r="E80" s="91">
        <v>10790</v>
      </c>
      <c r="F80" s="124">
        <v>2290</v>
      </c>
    </row>
    <row r="81" spans="1:6" s="113" customFormat="1" ht="14.25" customHeight="1">
      <c r="A81" s="87" t="s">
        <v>270</v>
      </c>
      <c r="B81" s="91" t="s">
        <v>2174</v>
      </c>
      <c r="C81" s="91">
        <v>14210</v>
      </c>
      <c r="D81" s="91">
        <v>14150</v>
      </c>
      <c r="E81" s="91">
        <v>12730</v>
      </c>
      <c r="F81" s="124">
        <v>2240</v>
      </c>
    </row>
    <row r="82" spans="1:6" s="113" customFormat="1" ht="14.25" customHeight="1">
      <c r="A82" s="87" t="s">
        <v>270</v>
      </c>
      <c r="B82" s="91" t="s">
        <v>2185</v>
      </c>
      <c r="C82" s="91">
        <v>10860</v>
      </c>
      <c r="D82" s="91">
        <v>10820</v>
      </c>
      <c r="E82" s="91">
        <v>14720</v>
      </c>
      <c r="F82" s="124">
        <v>2490</v>
      </c>
    </row>
    <row r="83" spans="1:6" s="113" customFormat="1" ht="14.25" customHeight="1">
      <c r="A83" s="87" t="s">
        <v>270</v>
      </c>
      <c r="B83" s="91" t="s">
        <v>2196</v>
      </c>
      <c r="C83" s="91">
        <v>12810</v>
      </c>
      <c r="D83" s="91">
        <v>12760</v>
      </c>
      <c r="E83" s="91">
        <v>14830</v>
      </c>
      <c r="F83" s="124">
        <v>2450</v>
      </c>
    </row>
    <row r="84" spans="1:6" s="113" customFormat="1" ht="14.25" customHeight="1">
      <c r="A84" s="87" t="s">
        <v>270</v>
      </c>
      <c r="B84" s="91" t="s">
        <v>2206</v>
      </c>
      <c r="C84" s="91">
        <v>14950</v>
      </c>
      <c r="D84" s="91">
        <v>14810</v>
      </c>
      <c r="E84" s="91">
        <v>12590</v>
      </c>
      <c r="F84" s="124">
        <v>2540</v>
      </c>
    </row>
    <row r="85" spans="1:6" s="113" customFormat="1" ht="14.25" customHeight="1">
      <c r="A85" s="87" t="s">
        <v>270</v>
      </c>
      <c r="B85" s="91" t="s">
        <v>2216</v>
      </c>
      <c r="C85" s="91">
        <v>14960</v>
      </c>
      <c r="D85" s="91">
        <v>14890</v>
      </c>
      <c r="E85" s="91">
        <v>12840</v>
      </c>
      <c r="F85" s="124">
        <v>2840</v>
      </c>
    </row>
    <row r="86" spans="1:6" s="113" customFormat="1" ht="14.25" customHeight="1">
      <c r="A86" s="87" t="s">
        <v>270</v>
      </c>
      <c r="B86" s="91" t="s">
        <v>2226</v>
      </c>
      <c r="C86" s="91">
        <v>12730</v>
      </c>
      <c r="D86" s="91">
        <v>12660</v>
      </c>
      <c r="E86" s="91">
        <v>13310</v>
      </c>
      <c r="F86" s="124">
        <v>3140</v>
      </c>
    </row>
    <row r="87" spans="1:6" s="113" customFormat="1" ht="14.25" customHeight="1">
      <c r="A87" s="87" t="s">
        <v>270</v>
      </c>
      <c r="B87" s="91" t="s">
        <v>2236</v>
      </c>
      <c r="C87" s="91">
        <v>12940</v>
      </c>
      <c r="D87" s="91">
        <v>12890</v>
      </c>
      <c r="E87" s="91">
        <v>11580</v>
      </c>
      <c r="F87" s="127"/>
    </row>
    <row r="88" spans="1:6" s="113" customFormat="1" ht="14.25" customHeight="1">
      <c r="A88" s="87" t="s">
        <v>270</v>
      </c>
      <c r="B88" s="91" t="s">
        <v>2246</v>
      </c>
      <c r="C88" s="91">
        <v>13430</v>
      </c>
      <c r="D88" s="91">
        <v>13360</v>
      </c>
      <c r="E88" s="91">
        <v>12790</v>
      </c>
      <c r="F88" s="127"/>
    </row>
    <row r="89" spans="1:6" s="113" customFormat="1" ht="14.25" customHeight="1">
      <c r="A89" s="87" t="s">
        <v>270</v>
      </c>
      <c r="B89" s="91" t="s">
        <v>2256</v>
      </c>
      <c r="C89" s="91">
        <v>11680</v>
      </c>
      <c r="D89" s="91">
        <v>11630</v>
      </c>
      <c r="E89" s="91">
        <v>11320</v>
      </c>
      <c r="F89" s="127"/>
    </row>
    <row r="90" spans="1:6" s="113" customFormat="1" ht="14.25" customHeight="1">
      <c r="A90" s="87" t="s">
        <v>270</v>
      </c>
      <c r="B90" s="91" t="s">
        <v>2266</v>
      </c>
      <c r="C90" s="91">
        <v>12890</v>
      </c>
      <c r="D90" s="91">
        <v>12820</v>
      </c>
      <c r="E90" s="91">
        <v>12710</v>
      </c>
      <c r="F90" s="127"/>
    </row>
    <row r="91" spans="1:6" s="113" customFormat="1" ht="14.25" customHeight="1">
      <c r="A91" s="87" t="s">
        <v>270</v>
      </c>
      <c r="B91" s="91" t="s">
        <v>2276</v>
      </c>
      <c r="C91" s="91">
        <v>11410</v>
      </c>
      <c r="D91" s="91">
        <v>11360</v>
      </c>
      <c r="E91" s="91">
        <v>12670</v>
      </c>
      <c r="F91" s="127"/>
    </row>
    <row r="92" spans="1:6" s="113" customFormat="1" ht="14.25" customHeight="1">
      <c r="A92" s="87" t="s">
        <v>270</v>
      </c>
      <c r="B92" s="91" t="s">
        <v>2286</v>
      </c>
      <c r="C92" s="91">
        <v>12770</v>
      </c>
      <c r="D92" s="91">
        <v>12740</v>
      </c>
      <c r="E92" s="91">
        <v>11970</v>
      </c>
      <c r="F92" s="127"/>
    </row>
    <row r="93" spans="1:6" s="113" customFormat="1" ht="14.25" customHeight="1">
      <c r="A93" s="87" t="s">
        <v>270</v>
      </c>
      <c r="B93" s="91" t="s">
        <v>2296</v>
      </c>
      <c r="C93" s="91">
        <v>12740</v>
      </c>
      <c r="D93" s="91">
        <v>12700</v>
      </c>
      <c r="E93" s="91">
        <v>12540</v>
      </c>
      <c r="F93" s="127"/>
    </row>
    <row r="94" spans="1:6" s="113" customFormat="1" ht="14.25" customHeight="1">
      <c r="A94" s="87" t="s">
        <v>270</v>
      </c>
      <c r="B94" s="91" t="s">
        <v>2306</v>
      </c>
      <c r="C94" s="91">
        <v>12020</v>
      </c>
      <c r="D94" s="91">
        <v>11990</v>
      </c>
      <c r="E94" s="91">
        <v>13110</v>
      </c>
      <c r="F94" s="127"/>
    </row>
    <row r="95" spans="1:6" s="113" customFormat="1" ht="14.25" customHeight="1">
      <c r="A95" s="87" t="s">
        <v>270</v>
      </c>
      <c r="B95" s="91" t="s">
        <v>2315</v>
      </c>
      <c r="C95" s="91">
        <v>12620</v>
      </c>
      <c r="D95" s="91">
        <v>12580</v>
      </c>
      <c r="E95" s="91">
        <v>13160</v>
      </c>
      <c r="F95" s="124"/>
    </row>
    <row r="96" spans="1:6" s="113" customFormat="1" ht="14.25" customHeight="1">
      <c r="A96" s="87" t="s">
        <v>270</v>
      </c>
      <c r="B96" s="91" t="s">
        <v>2323</v>
      </c>
      <c r="C96" s="91">
        <v>13200</v>
      </c>
      <c r="D96" s="91">
        <v>13150</v>
      </c>
      <c r="E96" s="91">
        <v>12900</v>
      </c>
      <c r="F96" s="124"/>
    </row>
    <row r="97" spans="1:6" s="113" customFormat="1" ht="14.25" customHeight="1">
      <c r="A97" s="87" t="s">
        <v>270</v>
      </c>
      <c r="B97" s="91" t="s">
        <v>2331</v>
      </c>
      <c r="C97" s="91">
        <v>13270</v>
      </c>
      <c r="D97" s="91">
        <v>13210</v>
      </c>
      <c r="E97" s="91">
        <v>11080</v>
      </c>
      <c r="F97" s="124"/>
    </row>
    <row r="98" spans="1:6" s="113" customFormat="1" ht="14.25" customHeight="1">
      <c r="A98" s="87" t="s">
        <v>270</v>
      </c>
      <c r="B98" s="91" t="s">
        <v>2338</v>
      </c>
      <c r="C98" s="91">
        <v>13010</v>
      </c>
      <c r="D98" s="91">
        <v>12930</v>
      </c>
      <c r="E98" s="91">
        <v>12840</v>
      </c>
      <c r="F98" s="124"/>
    </row>
    <row r="99" spans="1:6" s="113" customFormat="1" ht="14.25" customHeight="1">
      <c r="A99" s="87" t="s">
        <v>270</v>
      </c>
      <c r="B99" s="91" t="s">
        <v>2345</v>
      </c>
      <c r="C99" s="91">
        <v>11190</v>
      </c>
      <c r="D99" s="91">
        <v>11130</v>
      </c>
      <c r="E99" s="91"/>
      <c r="F99" s="124"/>
    </row>
    <row r="100" spans="1:6" s="113" customFormat="1" ht="14.25" customHeight="1">
      <c r="A100" s="87" t="s">
        <v>270</v>
      </c>
      <c r="B100" s="91" t="s">
        <v>2352</v>
      </c>
      <c r="C100" s="91">
        <v>14280</v>
      </c>
      <c r="D100" s="91">
        <v>14180</v>
      </c>
      <c r="E100" s="91"/>
      <c r="F100" s="124"/>
    </row>
    <row r="101" spans="1:6" s="113" customFormat="1" ht="14.25" customHeight="1">
      <c r="A101" s="87" t="s">
        <v>270</v>
      </c>
      <c r="B101" s="91" t="s">
        <v>2359</v>
      </c>
      <c r="C101" s="91">
        <v>12960</v>
      </c>
      <c r="D101" s="91">
        <v>12890</v>
      </c>
      <c r="E101" s="91"/>
      <c r="F101" s="124"/>
    </row>
    <row r="102" spans="1:6" s="113" customFormat="1" ht="14.25" customHeight="1">
      <c r="A102" s="87" t="s">
        <v>270</v>
      </c>
      <c r="B102" s="91" t="s">
        <v>2366</v>
      </c>
      <c r="C102" s="91"/>
      <c r="D102" s="91"/>
      <c r="E102" s="91"/>
      <c r="F102" s="124">
        <v>3100</v>
      </c>
    </row>
    <row r="103" spans="1:6" s="113" customFormat="1" ht="14.25" customHeight="1">
      <c r="A103" s="87" t="s">
        <v>270</v>
      </c>
      <c r="B103" s="91" t="s">
        <v>2371</v>
      </c>
      <c r="C103" s="91"/>
      <c r="D103" s="91"/>
      <c r="E103" s="91"/>
      <c r="F103" s="124">
        <v>2320</v>
      </c>
    </row>
    <row r="104" spans="1:6" s="113" customFormat="1" ht="14.25" customHeight="1">
      <c r="A104" s="87" t="s">
        <v>270</v>
      </c>
      <c r="B104" s="91" t="s">
        <v>2376</v>
      </c>
      <c r="C104" s="91"/>
      <c r="D104" s="91"/>
      <c r="E104" s="91"/>
      <c r="F104" s="124">
        <v>2320</v>
      </c>
    </row>
    <row r="105" spans="1:6" s="113" customFormat="1" ht="14.25" customHeight="1">
      <c r="A105" s="87" t="s">
        <v>270</v>
      </c>
      <c r="B105" s="91" t="s">
        <v>2381</v>
      </c>
      <c r="C105" s="91"/>
      <c r="D105" s="91"/>
      <c r="E105" s="91"/>
      <c r="F105" s="124">
        <v>2320</v>
      </c>
    </row>
    <row r="106" spans="1:6" s="113" customFormat="1" ht="14.25" customHeight="1">
      <c r="A106" s="87" t="s">
        <v>270</v>
      </c>
      <c r="B106" s="91" t="s">
        <v>2386</v>
      </c>
      <c r="C106" s="91"/>
      <c r="D106" s="91"/>
      <c r="E106" s="91"/>
      <c r="F106" s="124">
        <v>2320</v>
      </c>
    </row>
    <row r="107" spans="1:6" s="113" customFormat="1" ht="14.25" customHeight="1">
      <c r="A107" s="87" t="s">
        <v>270</v>
      </c>
      <c r="B107" s="91" t="s">
        <v>2391</v>
      </c>
      <c r="C107" s="91"/>
      <c r="D107" s="91"/>
      <c r="E107" s="91"/>
      <c r="F107" s="124">
        <v>2280</v>
      </c>
    </row>
    <row r="108" spans="1:6" s="113" customFormat="1" ht="14.25" customHeight="1">
      <c r="A108" s="87" t="s">
        <v>270</v>
      </c>
      <c r="B108" s="91" t="s">
        <v>2396</v>
      </c>
      <c r="C108" s="91"/>
      <c r="D108" s="91"/>
      <c r="E108" s="91"/>
      <c r="F108" s="124">
        <v>2280</v>
      </c>
    </row>
    <row r="109" spans="1:6" s="113" customFormat="1" ht="14.25" customHeight="1">
      <c r="A109" s="87" t="s">
        <v>270</v>
      </c>
      <c r="B109" s="102" t="s">
        <v>2401</v>
      </c>
      <c r="C109" s="102"/>
      <c r="D109" s="102"/>
      <c r="E109" s="102"/>
      <c r="F109" s="126">
        <v>2280</v>
      </c>
    </row>
    <row r="110" spans="1:6" s="113" customFormat="1" ht="14.25" customHeight="1">
      <c r="A110" s="87" t="s">
        <v>276</v>
      </c>
      <c r="B110" s="88" t="s">
        <v>2113</v>
      </c>
      <c r="C110" s="88">
        <v>10520</v>
      </c>
      <c r="D110" s="88">
        <v>10490</v>
      </c>
      <c r="E110" s="88">
        <v>10760</v>
      </c>
      <c r="F110" s="121">
        <v>2160</v>
      </c>
    </row>
    <row r="111" spans="1:6" s="113" customFormat="1" ht="14.25" customHeight="1">
      <c r="A111" s="87" t="s">
        <v>276</v>
      </c>
      <c r="B111" s="91" t="s">
        <v>2126</v>
      </c>
      <c r="C111" s="91">
        <v>10090</v>
      </c>
      <c r="D111" s="91">
        <v>10060</v>
      </c>
      <c r="E111" s="91">
        <v>10300</v>
      </c>
      <c r="F111" s="124">
        <v>2010</v>
      </c>
    </row>
    <row r="112" spans="1:6" s="113" customFormat="1" ht="14.25" customHeight="1">
      <c r="A112" s="87" t="s">
        <v>276</v>
      </c>
      <c r="B112" s="91" t="s">
        <v>2140</v>
      </c>
      <c r="C112" s="91">
        <v>9910</v>
      </c>
      <c r="D112" s="91">
        <v>9850</v>
      </c>
      <c r="E112" s="91">
        <v>9960</v>
      </c>
      <c r="F112" s="124">
        <v>2090</v>
      </c>
    </row>
    <row r="113" spans="1:6" s="113" customFormat="1" ht="14.25" customHeight="1">
      <c r="A113" s="87" t="s">
        <v>276</v>
      </c>
      <c r="B113" s="91" t="s">
        <v>2152</v>
      </c>
      <c r="C113" s="91">
        <v>11430</v>
      </c>
      <c r="D113" s="91">
        <v>11400</v>
      </c>
      <c r="E113" s="91">
        <v>11710</v>
      </c>
      <c r="F113" s="124">
        <v>2050</v>
      </c>
    </row>
    <row r="114" spans="1:6" s="113" customFormat="1" ht="14.25" customHeight="1">
      <c r="A114" s="87" t="s">
        <v>276</v>
      </c>
      <c r="B114" s="91" t="s">
        <v>2164</v>
      </c>
      <c r="C114" s="91">
        <v>11390</v>
      </c>
      <c r="D114" s="91">
        <v>11350</v>
      </c>
      <c r="E114" s="91">
        <v>11640</v>
      </c>
      <c r="F114" s="124">
        <v>1620</v>
      </c>
    </row>
    <row r="115" spans="1:6" s="113" customFormat="1" ht="14.25" customHeight="1">
      <c r="A115" s="87" t="s">
        <v>276</v>
      </c>
      <c r="B115" s="91" t="s">
        <v>2175</v>
      </c>
      <c r="C115" s="91">
        <v>9930</v>
      </c>
      <c r="D115" s="91">
        <v>9900</v>
      </c>
      <c r="E115" s="91">
        <v>10160</v>
      </c>
      <c r="F115" s="124">
        <v>1580</v>
      </c>
    </row>
    <row r="116" spans="1:6" s="113" customFormat="1" ht="14.25" customHeight="1">
      <c r="A116" s="87" t="s">
        <v>276</v>
      </c>
      <c r="B116" s="91" t="s">
        <v>2186</v>
      </c>
      <c r="C116" s="91">
        <v>9150</v>
      </c>
      <c r="D116" s="91">
        <v>9120</v>
      </c>
      <c r="E116" s="91">
        <v>9380</v>
      </c>
      <c r="F116" s="124">
        <v>1750</v>
      </c>
    </row>
    <row r="117" spans="1:6" s="113" customFormat="1" ht="14.25" customHeight="1">
      <c r="A117" s="87" t="s">
        <v>276</v>
      </c>
      <c r="B117" s="91" t="s">
        <v>2197</v>
      </c>
      <c r="C117" s="91">
        <v>10680</v>
      </c>
      <c r="D117" s="91">
        <v>10650</v>
      </c>
      <c r="E117" s="91">
        <v>10970</v>
      </c>
      <c r="F117" s="124">
        <v>1730</v>
      </c>
    </row>
    <row r="118" spans="1:6" s="113" customFormat="1" ht="14.25" customHeight="1">
      <c r="A118" s="87" t="s">
        <v>276</v>
      </c>
      <c r="B118" s="91" t="s">
        <v>2207</v>
      </c>
      <c r="C118" s="91">
        <v>10080</v>
      </c>
      <c r="D118" s="91">
        <v>10050</v>
      </c>
      <c r="E118" s="91">
        <v>10350</v>
      </c>
      <c r="F118" s="124">
        <v>1920</v>
      </c>
    </row>
    <row r="119" spans="1:6" s="113" customFormat="1" ht="14.25" customHeight="1">
      <c r="A119" s="87" t="s">
        <v>276</v>
      </c>
      <c r="B119" s="91" t="s">
        <v>2217</v>
      </c>
      <c r="C119" s="91">
        <v>9450</v>
      </c>
      <c r="D119" s="91">
        <v>9410</v>
      </c>
      <c r="E119" s="91">
        <v>9680</v>
      </c>
      <c r="F119" s="124">
        <v>1880</v>
      </c>
    </row>
    <row r="120" spans="1:6" s="113" customFormat="1" ht="14.25" customHeight="1">
      <c r="A120" s="87" t="s">
        <v>276</v>
      </c>
      <c r="B120" s="91" t="s">
        <v>2227</v>
      </c>
      <c r="C120" s="91">
        <v>8730</v>
      </c>
      <c r="D120" s="91">
        <v>8700</v>
      </c>
      <c r="E120" s="91">
        <v>8950</v>
      </c>
      <c r="F120" s="124">
        <v>1830</v>
      </c>
    </row>
    <row r="121" spans="1:6" s="113" customFormat="1" ht="14.25" customHeight="1">
      <c r="A121" s="87" t="s">
        <v>276</v>
      </c>
      <c r="B121" s="91" t="s">
        <v>2237</v>
      </c>
      <c r="C121" s="91">
        <v>10070</v>
      </c>
      <c r="D121" s="91">
        <v>10040</v>
      </c>
      <c r="E121" s="91">
        <v>10270</v>
      </c>
      <c r="F121" s="124">
        <v>1960</v>
      </c>
    </row>
    <row r="122" spans="1:6" s="113" customFormat="1" ht="14.25" customHeight="1">
      <c r="A122" s="87" t="s">
        <v>276</v>
      </c>
      <c r="B122" s="91" t="s">
        <v>2247</v>
      </c>
      <c r="C122" s="91">
        <v>10500</v>
      </c>
      <c r="D122" s="91">
        <v>10470</v>
      </c>
      <c r="E122" s="91">
        <v>10780</v>
      </c>
      <c r="F122" s="124">
        <v>2180</v>
      </c>
    </row>
    <row r="123" spans="1:6" s="113" customFormat="1" ht="14.25" customHeight="1">
      <c r="A123" s="87" t="s">
        <v>276</v>
      </c>
      <c r="B123" s="91" t="s">
        <v>2257</v>
      </c>
      <c r="C123" s="91">
        <v>10390</v>
      </c>
      <c r="D123" s="91">
        <v>10360</v>
      </c>
      <c r="E123" s="91">
        <v>10660</v>
      </c>
      <c r="F123" s="124">
        <v>2040</v>
      </c>
    </row>
    <row r="124" spans="1:6" s="113" customFormat="1" ht="14.25" customHeight="1">
      <c r="A124" s="87" t="s">
        <v>276</v>
      </c>
      <c r="B124" s="91" t="s">
        <v>2267</v>
      </c>
      <c r="C124" s="91">
        <v>10390</v>
      </c>
      <c r="D124" s="91">
        <v>10360</v>
      </c>
      <c r="E124" s="91">
        <v>10680</v>
      </c>
      <c r="F124" s="127"/>
    </row>
    <row r="125" spans="1:6" s="113" customFormat="1" ht="14.25" customHeight="1">
      <c r="A125" s="87" t="s">
        <v>276</v>
      </c>
      <c r="B125" s="91" t="s">
        <v>2277</v>
      </c>
      <c r="C125" s="91">
        <v>10440</v>
      </c>
      <c r="D125" s="91">
        <v>10410</v>
      </c>
      <c r="E125" s="91">
        <v>10710</v>
      </c>
      <c r="F125" s="127"/>
    </row>
    <row r="126" spans="1:6" s="113" customFormat="1" ht="14.25" customHeight="1">
      <c r="A126" s="87" t="s">
        <v>276</v>
      </c>
      <c r="B126" s="91" t="s">
        <v>2287</v>
      </c>
      <c r="C126" s="91">
        <v>10780</v>
      </c>
      <c r="D126" s="91">
        <v>10750</v>
      </c>
      <c r="E126" s="91">
        <v>11080</v>
      </c>
      <c r="F126" s="127"/>
    </row>
    <row r="127" spans="1:6" s="113" customFormat="1" ht="14.25" customHeight="1">
      <c r="A127" s="87" t="s">
        <v>276</v>
      </c>
      <c r="B127" s="91" t="s">
        <v>2297</v>
      </c>
      <c r="C127" s="91">
        <v>10100</v>
      </c>
      <c r="D127" s="91">
        <v>10070</v>
      </c>
      <c r="E127" s="91">
        <v>10350</v>
      </c>
      <c r="F127" s="127"/>
    </row>
    <row r="128" spans="1:6" s="113" customFormat="1" ht="14.25" customHeight="1">
      <c r="A128" s="87" t="s">
        <v>276</v>
      </c>
      <c r="B128" s="91" t="s">
        <v>2307</v>
      </c>
      <c r="C128" s="91">
        <v>9200</v>
      </c>
      <c r="D128" s="91">
        <v>9160</v>
      </c>
      <c r="E128" s="91">
        <v>9660</v>
      </c>
      <c r="F128" s="127"/>
    </row>
    <row r="129" spans="1:6" s="113" customFormat="1" ht="14.25" customHeight="1">
      <c r="A129" s="87" t="s">
        <v>276</v>
      </c>
      <c r="B129" s="91" t="s">
        <v>2316</v>
      </c>
      <c r="C129" s="91">
        <v>10340</v>
      </c>
      <c r="D129" s="91">
        <v>10310</v>
      </c>
      <c r="E129" s="91">
        <v>10580</v>
      </c>
      <c r="F129" s="127"/>
    </row>
    <row r="130" spans="1:6" s="113" customFormat="1" ht="14.25" customHeight="1">
      <c r="A130" s="87" t="s">
        <v>276</v>
      </c>
      <c r="B130" s="91" t="s">
        <v>2324</v>
      </c>
      <c r="C130" s="91">
        <v>9680</v>
      </c>
      <c r="D130" s="91">
        <v>9660</v>
      </c>
      <c r="E130" s="91">
        <v>9950</v>
      </c>
      <c r="F130" s="127"/>
    </row>
    <row r="131" spans="1:6" s="113" customFormat="1" ht="14.25" customHeight="1">
      <c r="A131" s="87" t="s">
        <v>276</v>
      </c>
      <c r="B131" s="91" t="s">
        <v>2332</v>
      </c>
      <c r="C131" s="91">
        <v>9540</v>
      </c>
      <c r="D131" s="91">
        <v>9510</v>
      </c>
      <c r="E131" s="91">
        <v>9790</v>
      </c>
      <c r="F131" s="127"/>
    </row>
    <row r="132" spans="1:6" s="113" customFormat="1" ht="14.25" customHeight="1">
      <c r="A132" s="87" t="s">
        <v>276</v>
      </c>
      <c r="B132" s="91" t="s">
        <v>2339</v>
      </c>
      <c r="C132" s="91">
        <v>9320</v>
      </c>
      <c r="D132" s="91">
        <v>9290</v>
      </c>
      <c r="E132" s="91">
        <v>9570</v>
      </c>
      <c r="F132" s="127"/>
    </row>
    <row r="133" spans="1:6" s="113" customFormat="1" ht="14.25" customHeight="1">
      <c r="A133" s="87" t="s">
        <v>276</v>
      </c>
      <c r="B133" s="91" t="s">
        <v>2346</v>
      </c>
      <c r="C133" s="91">
        <v>10310</v>
      </c>
      <c r="D133" s="91">
        <v>10280</v>
      </c>
      <c r="E133" s="91">
        <v>10530</v>
      </c>
      <c r="F133" s="127"/>
    </row>
    <row r="134" spans="1:6" s="113" customFormat="1" ht="14.25" customHeight="1">
      <c r="A134" s="87" t="s">
        <v>276</v>
      </c>
      <c r="B134" s="91" t="s">
        <v>2353</v>
      </c>
      <c r="C134" s="91">
        <v>10370</v>
      </c>
      <c r="D134" s="91">
        <v>10310</v>
      </c>
      <c r="E134" s="91">
        <v>10240</v>
      </c>
      <c r="F134" s="124">
        <v>2060</v>
      </c>
    </row>
    <row r="135" spans="1:6" s="113" customFormat="1" ht="14.25" customHeight="1">
      <c r="A135" s="87" t="s">
        <v>276</v>
      </c>
      <c r="B135" s="91" t="s">
        <v>2360</v>
      </c>
      <c r="C135" s="91">
        <v>9300</v>
      </c>
      <c r="D135" s="91">
        <v>9270</v>
      </c>
      <c r="E135" s="91">
        <v>9350</v>
      </c>
      <c r="F135" s="127"/>
    </row>
    <row r="136" spans="1:6" s="113" customFormat="1" ht="14.25" customHeight="1">
      <c r="A136" s="87" t="s">
        <v>276</v>
      </c>
      <c r="B136" s="91" t="s">
        <v>2367</v>
      </c>
      <c r="C136" s="91">
        <v>10160</v>
      </c>
      <c r="D136" s="91">
        <v>10110</v>
      </c>
      <c r="E136" s="91">
        <v>10080</v>
      </c>
      <c r="F136" s="127"/>
    </row>
    <row r="137" spans="1:6" s="113" customFormat="1" ht="14.25" customHeight="1">
      <c r="A137" s="87" t="s">
        <v>276</v>
      </c>
      <c r="B137" s="91" t="s">
        <v>2372</v>
      </c>
      <c r="C137" s="91">
        <v>9200</v>
      </c>
      <c r="D137" s="91">
        <v>9170</v>
      </c>
      <c r="E137" s="91">
        <v>9450</v>
      </c>
      <c r="F137" s="127"/>
    </row>
    <row r="138" spans="1:6" s="113" customFormat="1" ht="14.25" customHeight="1">
      <c r="A138" s="87" t="s">
        <v>276</v>
      </c>
      <c r="B138" s="91" t="s">
        <v>2377</v>
      </c>
      <c r="C138" s="91">
        <v>9690</v>
      </c>
      <c r="D138" s="91">
        <v>9660</v>
      </c>
      <c r="E138" s="91">
        <v>9840</v>
      </c>
      <c r="F138" s="127"/>
    </row>
    <row r="139" spans="1:6" s="113" customFormat="1" ht="14.25" customHeight="1">
      <c r="A139" s="87" t="s">
        <v>276</v>
      </c>
      <c r="B139" s="91" t="s">
        <v>2382</v>
      </c>
      <c r="C139" s="91">
        <v>10290</v>
      </c>
      <c r="D139" s="91">
        <v>10260</v>
      </c>
      <c r="E139" s="91">
        <v>10550</v>
      </c>
      <c r="F139" s="124">
        <v>1700</v>
      </c>
    </row>
    <row r="140" spans="1:6" s="113" customFormat="1" ht="14.25" customHeight="1">
      <c r="A140" s="87" t="s">
        <v>276</v>
      </c>
      <c r="B140" s="91" t="s">
        <v>2387</v>
      </c>
      <c r="C140" s="91">
        <v>9740</v>
      </c>
      <c r="D140" s="91">
        <v>9710</v>
      </c>
      <c r="E140" s="91">
        <v>10000</v>
      </c>
      <c r="F140" s="124">
        <v>2000</v>
      </c>
    </row>
    <row r="141" spans="1:6" s="113" customFormat="1" ht="14.25" customHeight="1">
      <c r="A141" s="87" t="s">
        <v>276</v>
      </c>
      <c r="B141" s="91" t="s">
        <v>2392</v>
      </c>
      <c r="C141" s="91">
        <v>9810</v>
      </c>
      <c r="D141" s="91">
        <v>9770</v>
      </c>
      <c r="E141" s="91">
        <v>10060</v>
      </c>
      <c r="F141" s="127"/>
    </row>
    <row r="142" spans="1:6" s="113" customFormat="1" ht="14.25" customHeight="1">
      <c r="A142" s="87" t="s">
        <v>276</v>
      </c>
      <c r="B142" s="91" t="s">
        <v>2397</v>
      </c>
      <c r="C142" s="91">
        <v>9300</v>
      </c>
      <c r="D142" s="91">
        <v>9270</v>
      </c>
      <c r="E142" s="91">
        <v>9530</v>
      </c>
      <c r="F142" s="127"/>
    </row>
    <row r="143" spans="1:6" s="113" customFormat="1" ht="14.25" customHeight="1">
      <c r="A143" s="87" t="s">
        <v>276</v>
      </c>
      <c r="B143" s="91" t="s">
        <v>2402</v>
      </c>
      <c r="C143" s="91">
        <v>10080</v>
      </c>
      <c r="D143" s="91">
        <v>10050</v>
      </c>
      <c r="E143" s="91">
        <v>10340</v>
      </c>
      <c r="F143" s="127"/>
    </row>
    <row r="144" spans="1:6" s="113" customFormat="1" ht="14.25" customHeight="1">
      <c r="A144" s="87" t="s">
        <v>276</v>
      </c>
      <c r="B144" s="91" t="s">
        <v>2406</v>
      </c>
      <c r="C144" s="91">
        <v>9820</v>
      </c>
      <c r="D144" s="91">
        <v>9750</v>
      </c>
      <c r="E144" s="91">
        <v>9900</v>
      </c>
      <c r="F144" s="127"/>
    </row>
    <row r="145" spans="1:6" s="113" customFormat="1" ht="14.25" customHeight="1">
      <c r="A145" s="87" t="s">
        <v>276</v>
      </c>
      <c r="B145" s="91" t="s">
        <v>2410</v>
      </c>
      <c r="C145" s="91"/>
      <c r="D145" s="91"/>
      <c r="E145" s="91"/>
      <c r="F145" s="124">
        <v>1740</v>
      </c>
    </row>
    <row r="146" spans="1:6" s="113" customFormat="1" ht="14.25" customHeight="1">
      <c r="A146" s="87" t="s">
        <v>276</v>
      </c>
      <c r="B146" s="91" t="s">
        <v>2414</v>
      </c>
      <c r="C146" s="91"/>
      <c r="D146" s="91"/>
      <c r="E146" s="91"/>
      <c r="F146" s="124">
        <v>1740</v>
      </c>
    </row>
    <row r="147" spans="1:6" s="113" customFormat="1" ht="14.25" customHeight="1">
      <c r="A147" s="87" t="s">
        <v>276</v>
      </c>
      <c r="B147" s="91" t="s">
        <v>2418</v>
      </c>
      <c r="C147" s="91"/>
      <c r="D147" s="91"/>
      <c r="E147" s="91"/>
      <c r="F147" s="124">
        <v>1740</v>
      </c>
    </row>
    <row r="148" spans="1:6" s="113" customFormat="1" ht="14.25" customHeight="1">
      <c r="A148" s="87" t="s">
        <v>276</v>
      </c>
      <c r="B148" s="91" t="s">
        <v>2422</v>
      </c>
      <c r="C148" s="91"/>
      <c r="D148" s="91"/>
      <c r="E148" s="91"/>
      <c r="F148" s="124">
        <v>1740</v>
      </c>
    </row>
    <row r="149" spans="1:6" s="113" customFormat="1" ht="14.25" customHeight="1">
      <c r="A149" s="87" t="s">
        <v>276</v>
      </c>
      <c r="B149" s="91" t="s">
        <v>2426</v>
      </c>
      <c r="C149" s="91"/>
      <c r="D149" s="91"/>
      <c r="E149" s="91"/>
      <c r="F149" s="124">
        <v>1740</v>
      </c>
    </row>
    <row r="150" spans="1:6" s="113" customFormat="1" ht="14.25" customHeight="1">
      <c r="A150" s="87" t="s">
        <v>276</v>
      </c>
      <c r="B150" s="91" t="s">
        <v>2429</v>
      </c>
      <c r="C150" s="91"/>
      <c r="D150" s="91"/>
      <c r="E150" s="91"/>
      <c r="F150" s="124">
        <v>1610</v>
      </c>
    </row>
    <row r="151" spans="1:6" s="113" customFormat="1" ht="14.25" customHeight="1">
      <c r="A151" s="87" t="s">
        <v>276</v>
      </c>
      <c r="B151" s="91" t="s">
        <v>2432</v>
      </c>
      <c r="C151" s="91"/>
      <c r="D151" s="91"/>
      <c r="E151" s="91"/>
      <c r="F151" s="124">
        <v>1610</v>
      </c>
    </row>
    <row r="152" spans="1:6" s="113" customFormat="1" ht="14.25" customHeight="1">
      <c r="A152" s="87" t="s">
        <v>276</v>
      </c>
      <c r="B152" s="91" t="s">
        <v>2435</v>
      </c>
      <c r="C152" s="91"/>
      <c r="D152" s="91"/>
      <c r="E152" s="91"/>
      <c r="F152" s="124">
        <v>1610</v>
      </c>
    </row>
    <row r="153" spans="1:6" s="113" customFormat="1" ht="14.25" customHeight="1">
      <c r="A153" s="87" t="s">
        <v>276</v>
      </c>
      <c r="B153" s="91" t="s">
        <v>2438</v>
      </c>
      <c r="C153" s="91"/>
      <c r="D153" s="91"/>
      <c r="E153" s="91"/>
      <c r="F153" s="124">
        <v>1610</v>
      </c>
    </row>
    <row r="154" spans="1:6" s="113" customFormat="1" ht="14.25" customHeight="1">
      <c r="A154" s="87" t="s">
        <v>276</v>
      </c>
      <c r="B154" s="91" t="s">
        <v>2441</v>
      </c>
      <c r="C154" s="91"/>
      <c r="D154" s="91"/>
      <c r="E154" s="91"/>
      <c r="F154" s="124">
        <v>1610</v>
      </c>
    </row>
    <row r="155" spans="1:6" s="113" customFormat="1" ht="14.25" customHeight="1">
      <c r="A155" s="87" t="s">
        <v>276</v>
      </c>
      <c r="B155" s="91" t="s">
        <v>2444</v>
      </c>
      <c r="C155" s="91"/>
      <c r="D155" s="91"/>
      <c r="E155" s="91"/>
      <c r="F155" s="124">
        <v>1800</v>
      </c>
    </row>
    <row r="156" spans="1:6" s="113" customFormat="1" ht="14.25" customHeight="1">
      <c r="A156" s="87" t="s">
        <v>276</v>
      </c>
      <c r="B156" s="91" t="s">
        <v>2446</v>
      </c>
      <c r="C156" s="91"/>
      <c r="D156" s="91"/>
      <c r="E156" s="91"/>
      <c r="F156" s="124">
        <v>1910</v>
      </c>
    </row>
    <row r="157" spans="1:6" s="113" customFormat="1" ht="14.25" customHeight="1">
      <c r="A157" s="87" t="s">
        <v>276</v>
      </c>
      <c r="B157" s="102" t="s">
        <v>2448</v>
      </c>
      <c r="C157" s="102"/>
      <c r="D157" s="102"/>
      <c r="E157" s="102"/>
      <c r="F157" s="126">
        <v>1500</v>
      </c>
    </row>
    <row r="158" spans="1:6" s="113" customFormat="1" ht="14.25" customHeight="1">
      <c r="A158" s="87" t="s">
        <v>281</v>
      </c>
      <c r="B158" s="88" t="s">
        <v>2114</v>
      </c>
      <c r="C158" s="88">
        <v>8170</v>
      </c>
      <c r="D158" s="88">
        <v>8140</v>
      </c>
      <c r="E158" s="88">
        <v>8590</v>
      </c>
      <c r="F158" s="121">
        <v>1450</v>
      </c>
    </row>
    <row r="159" spans="1:6" s="113" customFormat="1" ht="14.25" customHeight="1">
      <c r="A159" s="87" t="s">
        <v>281</v>
      </c>
      <c r="B159" s="91" t="s">
        <v>2127</v>
      </c>
      <c r="C159" s="91">
        <v>7410</v>
      </c>
      <c r="D159" s="91">
        <v>7370</v>
      </c>
      <c r="E159" s="91">
        <v>8030</v>
      </c>
      <c r="F159" s="124">
        <v>1510</v>
      </c>
    </row>
    <row r="160" spans="1:6" s="113" customFormat="1" ht="14.25" customHeight="1">
      <c r="A160" s="87" t="s">
        <v>281</v>
      </c>
      <c r="B160" s="91" t="s">
        <v>2141</v>
      </c>
      <c r="C160" s="91">
        <v>7240</v>
      </c>
      <c r="D160" s="91">
        <v>7210</v>
      </c>
      <c r="E160" s="91">
        <v>7860</v>
      </c>
      <c r="F160" s="124">
        <v>1370</v>
      </c>
    </row>
    <row r="161" spans="1:6" s="113" customFormat="1" ht="14.25" customHeight="1">
      <c r="A161" s="87" t="s">
        <v>281</v>
      </c>
      <c r="B161" s="91" t="s">
        <v>2153</v>
      </c>
      <c r="C161" s="91">
        <v>7720</v>
      </c>
      <c r="D161" s="91">
        <v>7690</v>
      </c>
      <c r="E161" s="91">
        <v>8200</v>
      </c>
      <c r="F161" s="124">
        <v>1190</v>
      </c>
    </row>
    <row r="162" spans="1:6" s="113" customFormat="1" ht="14.25" customHeight="1">
      <c r="A162" s="87" t="s">
        <v>281</v>
      </c>
      <c r="B162" s="91" t="s">
        <v>2165</v>
      </c>
      <c r="C162" s="91">
        <v>6900</v>
      </c>
      <c r="D162" s="91">
        <v>6870</v>
      </c>
      <c r="E162" s="91">
        <v>7500</v>
      </c>
      <c r="F162" s="124">
        <v>1390</v>
      </c>
    </row>
    <row r="163" spans="1:6" s="113" customFormat="1" ht="14.25" customHeight="1">
      <c r="A163" s="87" t="s">
        <v>281</v>
      </c>
      <c r="B163" s="91" t="s">
        <v>2176</v>
      </c>
      <c r="C163" s="91">
        <v>7120</v>
      </c>
      <c r="D163" s="91">
        <v>7090</v>
      </c>
      <c r="E163" s="91">
        <v>7690</v>
      </c>
      <c r="F163" s="124">
        <v>1230</v>
      </c>
    </row>
    <row r="164" spans="1:6" s="113" customFormat="1" ht="14.25" customHeight="1">
      <c r="A164" s="87" t="s">
        <v>281</v>
      </c>
      <c r="B164" s="91" t="s">
        <v>2187</v>
      </c>
      <c r="C164" s="91">
        <v>6560</v>
      </c>
      <c r="D164" s="91">
        <v>6530</v>
      </c>
      <c r="E164" s="91">
        <v>7110</v>
      </c>
      <c r="F164" s="124">
        <v>1340</v>
      </c>
    </row>
    <row r="165" spans="1:6" s="113" customFormat="1" ht="14.25" customHeight="1">
      <c r="A165" s="87" t="s">
        <v>281</v>
      </c>
      <c r="B165" s="91" t="s">
        <v>2198</v>
      </c>
      <c r="C165" s="91">
        <v>7450</v>
      </c>
      <c r="D165" s="91">
        <v>7430</v>
      </c>
      <c r="E165" s="91">
        <v>8110</v>
      </c>
      <c r="F165" s="124">
        <v>1290</v>
      </c>
    </row>
    <row r="166" spans="1:6" s="113" customFormat="1" ht="14.25" customHeight="1">
      <c r="A166" s="87" t="s">
        <v>281</v>
      </c>
      <c r="B166" s="91" t="s">
        <v>2208</v>
      </c>
      <c r="C166" s="91">
        <v>7490</v>
      </c>
      <c r="D166" s="91">
        <v>7460</v>
      </c>
      <c r="E166" s="91">
        <v>8150</v>
      </c>
      <c r="F166" s="124">
        <v>1350</v>
      </c>
    </row>
    <row r="167" spans="1:6" s="113" customFormat="1" ht="14.25" customHeight="1">
      <c r="A167" s="87" t="s">
        <v>281</v>
      </c>
      <c r="B167" s="91" t="s">
        <v>2218</v>
      </c>
      <c r="C167" s="91">
        <v>7540</v>
      </c>
      <c r="D167" s="91">
        <v>7510</v>
      </c>
      <c r="E167" s="91">
        <v>8030</v>
      </c>
      <c r="F167" s="127"/>
    </row>
    <row r="168" spans="1:6" s="113" customFormat="1" ht="14.25" customHeight="1">
      <c r="A168" s="87" t="s">
        <v>281</v>
      </c>
      <c r="B168" s="91" t="s">
        <v>2228</v>
      </c>
      <c r="C168" s="91">
        <v>7210</v>
      </c>
      <c r="D168" s="91">
        <v>7180</v>
      </c>
      <c r="E168" s="91">
        <v>7830</v>
      </c>
      <c r="F168" s="127"/>
    </row>
    <row r="169" spans="1:6" s="113" customFormat="1" ht="14.25" customHeight="1">
      <c r="A169" s="87" t="s">
        <v>281</v>
      </c>
      <c r="B169" s="91" t="s">
        <v>2238</v>
      </c>
      <c r="C169" s="91">
        <v>7040</v>
      </c>
      <c r="D169" s="91">
        <v>7020</v>
      </c>
      <c r="E169" s="91">
        <v>7670</v>
      </c>
      <c r="F169" s="127"/>
    </row>
    <row r="170" spans="1:6" s="113" customFormat="1" ht="14.25" customHeight="1">
      <c r="A170" s="87" t="s">
        <v>281</v>
      </c>
      <c r="B170" s="91" t="s">
        <v>2248</v>
      </c>
      <c r="C170" s="91">
        <v>8040</v>
      </c>
      <c r="D170" s="91">
        <v>7190</v>
      </c>
      <c r="E170" s="91">
        <v>7850</v>
      </c>
      <c r="F170" s="127"/>
    </row>
    <row r="171" spans="1:6" s="113" customFormat="1" ht="14.25" customHeight="1">
      <c r="A171" s="87" t="s">
        <v>281</v>
      </c>
      <c r="B171" s="91" t="s">
        <v>2258</v>
      </c>
      <c r="C171" s="91">
        <v>7860</v>
      </c>
      <c r="D171" s="91">
        <v>7720</v>
      </c>
      <c r="E171" s="91">
        <v>8150</v>
      </c>
      <c r="F171" s="124">
        <v>1110</v>
      </c>
    </row>
    <row r="172" spans="1:6" s="113" customFormat="1" ht="14.25" customHeight="1">
      <c r="A172" s="87" t="s">
        <v>281</v>
      </c>
      <c r="B172" s="91" t="s">
        <v>2268</v>
      </c>
      <c r="C172" s="91">
        <v>7210</v>
      </c>
      <c r="D172" s="91">
        <v>7170</v>
      </c>
      <c r="E172" s="91">
        <v>7320</v>
      </c>
      <c r="F172" s="127"/>
    </row>
    <row r="173" spans="1:6" s="113" customFormat="1" ht="14.25" customHeight="1">
      <c r="A173" s="87" t="s">
        <v>281</v>
      </c>
      <c r="B173" s="91" t="s">
        <v>2278</v>
      </c>
      <c r="C173" s="91">
        <v>6860</v>
      </c>
      <c r="D173" s="91">
        <v>6810</v>
      </c>
      <c r="E173" s="91">
        <v>7440</v>
      </c>
      <c r="F173" s="127"/>
    </row>
    <row r="174" spans="1:6" s="113" customFormat="1" ht="14.25" customHeight="1">
      <c r="A174" s="87" t="s">
        <v>281</v>
      </c>
      <c r="B174" s="91" t="s">
        <v>2288</v>
      </c>
      <c r="C174" s="91">
        <v>7120</v>
      </c>
      <c r="D174" s="91">
        <v>7090</v>
      </c>
      <c r="E174" s="91">
        <v>7500</v>
      </c>
      <c r="F174" s="124">
        <v>1490</v>
      </c>
    </row>
    <row r="175" spans="1:6" s="113" customFormat="1" ht="14.25" customHeight="1">
      <c r="A175" s="87" t="s">
        <v>281</v>
      </c>
      <c r="B175" s="91" t="s">
        <v>2298</v>
      </c>
      <c r="C175" s="91">
        <v>7850</v>
      </c>
      <c r="D175" s="91">
        <v>7820</v>
      </c>
      <c r="E175" s="91">
        <v>8120</v>
      </c>
      <c r="F175" s="124">
        <v>1530</v>
      </c>
    </row>
    <row r="176" spans="1:6" s="113" customFormat="1" ht="14.25" customHeight="1">
      <c r="A176" s="87" t="s">
        <v>281</v>
      </c>
      <c r="B176" s="91" t="s">
        <v>2308</v>
      </c>
      <c r="C176" s="91">
        <v>7620</v>
      </c>
      <c r="D176" s="91">
        <v>7570</v>
      </c>
      <c r="E176" s="91">
        <v>7990</v>
      </c>
      <c r="F176" s="124">
        <v>1480</v>
      </c>
    </row>
    <row r="177" spans="1:6" s="113" customFormat="1" ht="14.25" customHeight="1">
      <c r="A177" s="87" t="s">
        <v>281</v>
      </c>
      <c r="B177" s="91" t="s">
        <v>2317</v>
      </c>
      <c r="C177" s="91">
        <v>8590</v>
      </c>
      <c r="D177" s="91">
        <v>8570</v>
      </c>
      <c r="E177" s="91">
        <v>8740</v>
      </c>
      <c r="F177" s="124">
        <v>1540</v>
      </c>
    </row>
    <row r="178" spans="1:6" s="113" customFormat="1" ht="14.25" customHeight="1">
      <c r="A178" s="87" t="s">
        <v>281</v>
      </c>
      <c r="B178" s="91" t="s">
        <v>2325</v>
      </c>
      <c r="C178" s="91">
        <v>7510</v>
      </c>
      <c r="D178" s="91">
        <v>7470</v>
      </c>
      <c r="E178" s="91">
        <v>8090</v>
      </c>
      <c r="F178" s="124">
        <v>1320</v>
      </c>
    </row>
    <row r="179" spans="1:6" s="113" customFormat="1" ht="14.25" customHeight="1">
      <c r="A179" s="87" t="s">
        <v>281</v>
      </c>
      <c r="B179" s="91" t="s">
        <v>2333</v>
      </c>
      <c r="C179" s="91">
        <v>6380</v>
      </c>
      <c r="D179" s="91">
        <v>6340</v>
      </c>
      <c r="E179" s="91">
        <v>6810</v>
      </c>
      <c r="F179" s="127"/>
    </row>
    <row r="180" spans="1:6" s="113" customFormat="1" ht="14.25" customHeight="1">
      <c r="A180" s="87" t="s">
        <v>281</v>
      </c>
      <c r="B180" s="91" t="s">
        <v>2340</v>
      </c>
      <c r="C180" s="91">
        <v>7830</v>
      </c>
      <c r="D180" s="91">
        <v>7800</v>
      </c>
      <c r="E180" s="91">
        <v>7780</v>
      </c>
      <c r="F180" s="124">
        <v>1440</v>
      </c>
    </row>
    <row r="181" spans="1:6" s="113" customFormat="1" ht="14.25" customHeight="1">
      <c r="A181" s="87" t="s">
        <v>281</v>
      </c>
      <c r="B181" s="91" t="s">
        <v>2347</v>
      </c>
      <c r="C181" s="91">
        <v>7110</v>
      </c>
      <c r="D181" s="91">
        <v>7080</v>
      </c>
      <c r="E181" s="91">
        <v>7730</v>
      </c>
      <c r="F181" s="124">
        <v>1350</v>
      </c>
    </row>
    <row r="182" spans="1:6" s="113" customFormat="1" ht="14.25" customHeight="1">
      <c r="A182" s="87" t="s">
        <v>281</v>
      </c>
      <c r="B182" s="91" t="s">
        <v>2354</v>
      </c>
      <c r="C182" s="91">
        <v>7310</v>
      </c>
      <c r="D182" s="91">
        <v>7280</v>
      </c>
      <c r="E182" s="91">
        <v>7950</v>
      </c>
      <c r="F182" s="124">
        <v>1220</v>
      </c>
    </row>
    <row r="183" spans="1:6" s="113" customFormat="1" ht="14.25" customHeight="1">
      <c r="A183" s="87" t="s">
        <v>281</v>
      </c>
      <c r="B183" s="91" t="s">
        <v>2361</v>
      </c>
      <c r="C183" s="91">
        <v>7470</v>
      </c>
      <c r="D183" s="91">
        <v>7440</v>
      </c>
      <c r="E183" s="91">
        <v>7880</v>
      </c>
      <c r="F183" s="127"/>
    </row>
    <row r="184" spans="1:6" s="113" customFormat="1" ht="14.25" customHeight="1">
      <c r="A184" s="87" t="s">
        <v>281</v>
      </c>
      <c r="B184" s="91" t="s">
        <v>2368</v>
      </c>
      <c r="C184" s="91">
        <v>6960</v>
      </c>
      <c r="D184" s="91">
        <v>6930</v>
      </c>
      <c r="E184" s="91">
        <v>7570</v>
      </c>
      <c r="F184" s="127"/>
    </row>
    <row r="185" spans="1:6" s="113" customFormat="1" ht="14.25" customHeight="1">
      <c r="A185" s="87" t="s">
        <v>281</v>
      </c>
      <c r="B185" s="91" t="s">
        <v>2373</v>
      </c>
      <c r="C185" s="91">
        <v>7260</v>
      </c>
      <c r="D185" s="91">
        <v>7230</v>
      </c>
      <c r="E185" s="91">
        <v>7710</v>
      </c>
      <c r="F185" s="124">
        <v>1360</v>
      </c>
    </row>
    <row r="186" spans="1:6" s="113" customFormat="1" ht="14.25" customHeight="1">
      <c r="A186" s="87" t="s">
        <v>281</v>
      </c>
      <c r="B186" s="91" t="s">
        <v>2378</v>
      </c>
      <c r="C186" s="91"/>
      <c r="D186" s="91"/>
      <c r="E186" s="91"/>
      <c r="F186" s="124">
        <v>1560</v>
      </c>
    </row>
    <row r="187" spans="1:6" s="113" customFormat="1" ht="14.25" customHeight="1">
      <c r="A187" s="87" t="s">
        <v>281</v>
      </c>
      <c r="B187" s="91" t="s">
        <v>2383</v>
      </c>
      <c r="C187" s="91"/>
      <c r="D187" s="91"/>
      <c r="E187" s="91"/>
      <c r="F187" s="124">
        <v>1560</v>
      </c>
    </row>
    <row r="188" spans="1:6" s="113" customFormat="1" ht="14.25" customHeight="1">
      <c r="A188" s="87" t="s">
        <v>281</v>
      </c>
      <c r="B188" s="91" t="s">
        <v>2388</v>
      </c>
      <c r="C188" s="91"/>
      <c r="D188" s="91"/>
      <c r="E188" s="91"/>
      <c r="F188" s="124">
        <v>1560</v>
      </c>
    </row>
    <row r="189" spans="1:6" s="113" customFormat="1" ht="14.25" customHeight="1">
      <c r="A189" s="87" t="s">
        <v>281</v>
      </c>
      <c r="B189" s="91" t="s">
        <v>2393</v>
      </c>
      <c r="C189" s="91"/>
      <c r="D189" s="91"/>
      <c r="E189" s="91"/>
      <c r="F189" s="124">
        <v>1320</v>
      </c>
    </row>
    <row r="190" spans="1:6" s="113" customFormat="1" ht="14.25" customHeight="1">
      <c r="A190" s="87" t="s">
        <v>281</v>
      </c>
      <c r="B190" s="91" t="s">
        <v>2398</v>
      </c>
      <c r="C190" s="91"/>
      <c r="D190" s="91"/>
      <c r="E190" s="91"/>
      <c r="F190" s="124">
        <v>1320</v>
      </c>
    </row>
    <row r="191" spans="1:6" s="113" customFormat="1" ht="14.25" customHeight="1">
      <c r="A191" s="87" t="s">
        <v>281</v>
      </c>
      <c r="B191" s="91" t="s">
        <v>2403</v>
      </c>
      <c r="C191" s="91"/>
      <c r="D191" s="91"/>
      <c r="E191" s="91"/>
      <c r="F191" s="124">
        <v>1320</v>
      </c>
    </row>
    <row r="192" spans="1:6" s="113" customFormat="1" ht="14.25" customHeight="1">
      <c r="A192" s="87" t="s">
        <v>281</v>
      </c>
      <c r="B192" s="91" t="s">
        <v>2407</v>
      </c>
      <c r="C192" s="91"/>
      <c r="D192" s="91"/>
      <c r="E192" s="91"/>
      <c r="F192" s="124">
        <v>1100</v>
      </c>
    </row>
    <row r="193" spans="1:6" s="113" customFormat="1" ht="14.25" customHeight="1">
      <c r="A193" s="87" t="s">
        <v>281</v>
      </c>
      <c r="B193" s="91" t="s">
        <v>2411</v>
      </c>
      <c r="C193" s="91"/>
      <c r="D193" s="91"/>
      <c r="E193" s="91"/>
      <c r="F193" s="124">
        <v>1100</v>
      </c>
    </row>
    <row r="194" spans="1:6" s="113" customFormat="1" ht="14.25" customHeight="1">
      <c r="A194" s="87" t="s">
        <v>281</v>
      </c>
      <c r="B194" s="91" t="s">
        <v>2415</v>
      </c>
      <c r="C194" s="91"/>
      <c r="D194" s="91"/>
      <c r="E194" s="91"/>
      <c r="F194" s="124">
        <v>1080</v>
      </c>
    </row>
    <row r="195" spans="1:6" s="113" customFormat="1" ht="14.25" customHeight="1">
      <c r="A195" s="87" t="s">
        <v>281</v>
      </c>
      <c r="B195" s="91" t="s">
        <v>2419</v>
      </c>
      <c r="C195" s="91"/>
      <c r="D195" s="91"/>
      <c r="E195" s="91"/>
      <c r="F195" s="124">
        <v>1270</v>
      </c>
    </row>
    <row r="196" spans="1:6" s="113" customFormat="1" ht="14.25" customHeight="1">
      <c r="A196" s="87" t="s">
        <v>281</v>
      </c>
      <c r="B196" s="91" t="s">
        <v>2423</v>
      </c>
      <c r="C196" s="91"/>
      <c r="D196" s="91"/>
      <c r="E196" s="91"/>
      <c r="F196" s="124">
        <v>1150</v>
      </c>
    </row>
    <row r="197" spans="1:6" s="113" customFormat="1" ht="14.25" customHeight="1">
      <c r="A197" s="87" t="s">
        <v>281</v>
      </c>
      <c r="B197" s="91" t="s">
        <v>2427</v>
      </c>
      <c r="C197" s="91"/>
      <c r="D197" s="91"/>
      <c r="E197" s="91"/>
      <c r="F197" s="124">
        <v>1330</v>
      </c>
    </row>
    <row r="198" spans="1:6" s="113" customFormat="1" ht="14.25" customHeight="1">
      <c r="A198" s="87" t="s">
        <v>281</v>
      </c>
      <c r="B198" s="91" t="s">
        <v>2430</v>
      </c>
      <c r="C198" s="91"/>
      <c r="D198" s="91"/>
      <c r="E198" s="91"/>
      <c r="F198" s="124">
        <v>1170</v>
      </c>
    </row>
    <row r="199" spans="1:6" s="113" customFormat="1" ht="14.25" customHeight="1">
      <c r="A199" s="87" t="s">
        <v>281</v>
      </c>
      <c r="B199" s="91" t="s">
        <v>2433</v>
      </c>
      <c r="C199" s="91"/>
      <c r="D199" s="91"/>
      <c r="E199" s="91"/>
      <c r="F199" s="124">
        <v>1120</v>
      </c>
    </row>
    <row r="200" spans="1:6" s="113" customFormat="1" ht="14.25" customHeight="1">
      <c r="A200" s="87" t="s">
        <v>281</v>
      </c>
      <c r="B200" s="91" t="s">
        <v>2436</v>
      </c>
      <c r="C200" s="91"/>
      <c r="D200" s="91"/>
      <c r="E200" s="91"/>
      <c r="F200" s="124">
        <v>1120</v>
      </c>
    </row>
    <row r="201" spans="1:6" s="113" customFormat="1" ht="14.25" customHeight="1">
      <c r="A201" s="87" t="s">
        <v>281</v>
      </c>
      <c r="B201" s="91" t="s">
        <v>2439</v>
      </c>
      <c r="C201" s="91"/>
      <c r="D201" s="91"/>
      <c r="E201" s="91"/>
      <c r="F201" s="124">
        <v>1540</v>
      </c>
    </row>
    <row r="202" spans="1:6" s="113" customFormat="1" ht="14.25" customHeight="1">
      <c r="A202" s="87" t="s">
        <v>281</v>
      </c>
      <c r="B202" s="91" t="s">
        <v>2442</v>
      </c>
      <c r="C202" s="91"/>
      <c r="D202" s="91"/>
      <c r="E202" s="91"/>
      <c r="F202" s="124">
        <v>1310</v>
      </c>
    </row>
    <row r="203" spans="1:6" s="113" customFormat="1" ht="14.25" customHeight="1">
      <c r="A203" s="87" t="s">
        <v>281</v>
      </c>
      <c r="B203" s="91" t="s">
        <v>2445</v>
      </c>
      <c r="C203" s="91"/>
      <c r="D203" s="91"/>
      <c r="E203" s="91"/>
      <c r="F203" s="124">
        <v>1310</v>
      </c>
    </row>
    <row r="204" spans="1:6" s="113" customFormat="1" ht="14.25" customHeight="1">
      <c r="A204" s="87" t="s">
        <v>281</v>
      </c>
      <c r="B204" s="91" t="s">
        <v>2447</v>
      </c>
      <c r="C204" s="91"/>
      <c r="D204" s="91"/>
      <c r="E204" s="91"/>
      <c r="F204" s="124">
        <v>1080</v>
      </c>
    </row>
    <row r="205" spans="1:6" s="113" customFormat="1" ht="14.25" customHeight="1">
      <c r="A205" s="87" t="s">
        <v>281</v>
      </c>
      <c r="B205" s="91" t="s">
        <v>2449</v>
      </c>
      <c r="C205" s="91"/>
      <c r="D205" s="91"/>
      <c r="E205" s="91"/>
      <c r="F205" s="124">
        <v>1080</v>
      </c>
    </row>
    <row r="206" spans="1:6" s="113" customFormat="1" ht="14.25" customHeight="1">
      <c r="A206" s="87" t="s">
        <v>286</v>
      </c>
      <c r="B206" s="88" t="s">
        <v>2115</v>
      </c>
      <c r="C206" s="88">
        <v>5450</v>
      </c>
      <c r="D206" s="88">
        <v>5430</v>
      </c>
      <c r="E206" s="88">
        <v>5700</v>
      </c>
      <c r="F206" s="121">
        <v>1020</v>
      </c>
    </row>
    <row r="207" spans="1:6" s="113" customFormat="1" ht="14.25" customHeight="1">
      <c r="A207" s="87" t="s">
        <v>286</v>
      </c>
      <c r="B207" s="91" t="s">
        <v>2128</v>
      </c>
      <c r="C207" s="91">
        <v>5860</v>
      </c>
      <c r="D207" s="91">
        <v>5820</v>
      </c>
      <c r="E207" s="91">
        <v>6050</v>
      </c>
      <c r="F207" s="124">
        <v>1080</v>
      </c>
    </row>
    <row r="208" spans="1:6" s="113" customFormat="1" ht="14.25" customHeight="1">
      <c r="A208" s="87" t="s">
        <v>286</v>
      </c>
      <c r="B208" s="91" t="s">
        <v>2142</v>
      </c>
      <c r="C208" s="91">
        <v>4630</v>
      </c>
      <c r="D208" s="91">
        <v>4600</v>
      </c>
      <c r="E208" s="91">
        <v>4840</v>
      </c>
      <c r="F208" s="124">
        <v>900</v>
      </c>
    </row>
    <row r="209" spans="1:6" s="113" customFormat="1" ht="14.25" customHeight="1">
      <c r="A209" s="87" t="s">
        <v>286</v>
      </c>
      <c r="B209" s="91" t="s">
        <v>2154</v>
      </c>
      <c r="C209" s="91">
        <v>5320</v>
      </c>
      <c r="D209" s="91">
        <v>5270</v>
      </c>
      <c r="E209" s="91">
        <v>5540</v>
      </c>
      <c r="F209" s="124">
        <v>980</v>
      </c>
    </row>
    <row r="210" spans="1:6" s="113" customFormat="1" ht="14.25" customHeight="1">
      <c r="A210" s="87" t="s">
        <v>286</v>
      </c>
      <c r="B210" s="91" t="s">
        <v>2166</v>
      </c>
      <c r="C210" s="91">
        <v>5760</v>
      </c>
      <c r="D210" s="91">
        <v>5710</v>
      </c>
      <c r="E210" s="91">
        <v>6010</v>
      </c>
      <c r="F210" s="124">
        <v>870</v>
      </c>
    </row>
    <row r="211" spans="1:6" s="113" customFormat="1" ht="14.25" customHeight="1">
      <c r="A211" s="87" t="s">
        <v>286</v>
      </c>
      <c r="B211" s="91" t="s">
        <v>2177</v>
      </c>
      <c r="C211" s="91">
        <v>4160</v>
      </c>
      <c r="D211" s="91">
        <v>4100</v>
      </c>
      <c r="E211" s="91">
        <v>4270</v>
      </c>
      <c r="F211" s="124">
        <v>790</v>
      </c>
    </row>
    <row r="212" spans="1:6" s="113" customFormat="1" ht="14.25" customHeight="1">
      <c r="A212" s="87" t="s">
        <v>286</v>
      </c>
      <c r="B212" s="91" t="s">
        <v>2188</v>
      </c>
      <c r="C212" s="91">
        <v>4880</v>
      </c>
      <c r="D212" s="91">
        <v>4850</v>
      </c>
      <c r="E212" s="91">
        <v>5110</v>
      </c>
      <c r="F212" s="124">
        <v>940</v>
      </c>
    </row>
    <row r="213" spans="1:6" s="113" customFormat="1" ht="14.25" customHeight="1">
      <c r="A213" s="87" t="s">
        <v>286</v>
      </c>
      <c r="B213" s="91" t="s">
        <v>2199</v>
      </c>
      <c r="C213" s="91">
        <v>4640</v>
      </c>
      <c r="D213" s="91">
        <v>4590</v>
      </c>
      <c r="E213" s="91">
        <v>4700</v>
      </c>
      <c r="F213" s="124">
        <v>1030</v>
      </c>
    </row>
    <row r="214" spans="1:6" s="113" customFormat="1" ht="14.25" customHeight="1">
      <c r="A214" s="87" t="s">
        <v>286</v>
      </c>
      <c r="B214" s="91" t="s">
        <v>2209</v>
      </c>
      <c r="C214" s="91">
        <v>4540</v>
      </c>
      <c r="D214" s="91">
        <v>4490</v>
      </c>
      <c r="E214" s="91">
        <v>4610</v>
      </c>
      <c r="F214" s="127"/>
    </row>
    <row r="215" spans="1:6" s="113" customFormat="1" ht="14.25" customHeight="1">
      <c r="A215" s="87" t="s">
        <v>286</v>
      </c>
      <c r="B215" s="91" t="s">
        <v>2219</v>
      </c>
      <c r="C215" s="91">
        <v>5280</v>
      </c>
      <c r="D215" s="91">
        <v>5250</v>
      </c>
      <c r="E215" s="91">
        <v>5520</v>
      </c>
      <c r="F215" s="124">
        <v>1000</v>
      </c>
    </row>
    <row r="216" spans="1:6" s="113" customFormat="1" ht="14.25" customHeight="1">
      <c r="A216" s="87" t="s">
        <v>286</v>
      </c>
      <c r="B216" s="91" t="s">
        <v>2229</v>
      </c>
      <c r="C216" s="91">
        <v>5100</v>
      </c>
      <c r="D216" s="91">
        <v>5050</v>
      </c>
      <c r="E216" s="91">
        <v>5300</v>
      </c>
      <c r="F216" s="124">
        <v>950</v>
      </c>
    </row>
    <row r="217" spans="1:6" s="113" customFormat="1" ht="14.25" customHeight="1">
      <c r="A217" s="87" t="s">
        <v>286</v>
      </c>
      <c r="B217" s="91" t="s">
        <v>2239</v>
      </c>
      <c r="C217" s="91">
        <v>5370</v>
      </c>
      <c r="D217" s="91">
        <v>5320</v>
      </c>
      <c r="E217" s="91">
        <v>5410</v>
      </c>
      <c r="F217" s="124">
        <v>950</v>
      </c>
    </row>
    <row r="218" spans="1:6" s="113" customFormat="1" ht="14.25" customHeight="1">
      <c r="A218" s="87" t="s">
        <v>286</v>
      </c>
      <c r="B218" s="91" t="s">
        <v>2249</v>
      </c>
      <c r="C218" s="91">
        <v>5540</v>
      </c>
      <c r="D218" s="91">
        <v>5480</v>
      </c>
      <c r="E218" s="91">
        <v>5740</v>
      </c>
      <c r="F218" s="124">
        <v>1020</v>
      </c>
    </row>
    <row r="219" spans="1:6" s="113" customFormat="1" ht="14.25" customHeight="1">
      <c r="A219" s="87" t="s">
        <v>286</v>
      </c>
      <c r="B219" s="91" t="s">
        <v>2259</v>
      </c>
      <c r="C219" s="91">
        <v>5140</v>
      </c>
      <c r="D219" s="91">
        <v>5100</v>
      </c>
      <c r="E219" s="91">
        <v>5350</v>
      </c>
      <c r="F219" s="124">
        <v>1120</v>
      </c>
    </row>
    <row r="220" spans="1:6" s="113" customFormat="1" ht="14.25" customHeight="1">
      <c r="A220" s="87" t="s">
        <v>286</v>
      </c>
      <c r="B220" s="91" t="s">
        <v>2269</v>
      </c>
      <c r="C220" s="91">
        <v>5040</v>
      </c>
      <c r="D220" s="91">
        <v>5000</v>
      </c>
      <c r="E220" s="91">
        <v>5240</v>
      </c>
      <c r="F220" s="124">
        <v>980</v>
      </c>
    </row>
    <row r="221" spans="1:6" s="113" customFormat="1" ht="14.25" customHeight="1">
      <c r="A221" s="87" t="s">
        <v>286</v>
      </c>
      <c r="B221" s="91" t="s">
        <v>2279</v>
      </c>
      <c r="C221" s="130"/>
      <c r="D221" s="130"/>
      <c r="E221" s="130"/>
      <c r="F221" s="124">
        <v>1070</v>
      </c>
    </row>
    <row r="222" spans="1:6" s="113" customFormat="1" ht="14.25" customHeight="1">
      <c r="A222" s="87" t="s">
        <v>286</v>
      </c>
      <c r="B222" s="91" t="s">
        <v>2289</v>
      </c>
      <c r="C222" s="130"/>
      <c r="D222" s="130"/>
      <c r="E222" s="130"/>
      <c r="F222" s="124">
        <v>870</v>
      </c>
    </row>
    <row r="223" spans="1:6" s="113" customFormat="1" ht="14.25" customHeight="1">
      <c r="A223" s="87" t="s">
        <v>286</v>
      </c>
      <c r="B223" s="91" t="s">
        <v>2299</v>
      </c>
      <c r="C223" s="130"/>
      <c r="D223" s="130"/>
      <c r="E223" s="130"/>
      <c r="F223" s="124">
        <v>940</v>
      </c>
    </row>
    <row r="224" spans="1:6" s="113" customFormat="1" ht="14.25" customHeight="1">
      <c r="A224" s="87" t="s">
        <v>286</v>
      </c>
      <c r="B224" s="91" t="s">
        <v>2309</v>
      </c>
      <c r="C224" s="130"/>
      <c r="D224" s="130"/>
      <c r="E224" s="130"/>
      <c r="F224" s="124">
        <v>990</v>
      </c>
    </row>
    <row r="225" spans="1:6" s="113" customFormat="1" ht="14.25" customHeight="1">
      <c r="A225" s="87" t="s">
        <v>286</v>
      </c>
      <c r="B225" s="91" t="s">
        <v>2318</v>
      </c>
      <c r="C225" s="91">
        <v>5730</v>
      </c>
      <c r="D225" s="91">
        <v>5680</v>
      </c>
      <c r="E225" s="91">
        <v>6020</v>
      </c>
      <c r="F225" s="124">
        <v>1000</v>
      </c>
    </row>
    <row r="226" spans="1:6" s="113" customFormat="1" ht="14.25" customHeight="1">
      <c r="A226" s="87" t="s">
        <v>286</v>
      </c>
      <c r="B226" s="91" t="s">
        <v>2326</v>
      </c>
      <c r="C226" s="91">
        <v>4970</v>
      </c>
      <c r="D226" s="91">
        <v>4940</v>
      </c>
      <c r="E226" s="91">
        <v>5180</v>
      </c>
      <c r="F226" s="124">
        <v>960</v>
      </c>
    </row>
    <row r="227" spans="1:6" s="113" customFormat="1" ht="14.25" customHeight="1">
      <c r="A227" s="87" t="s">
        <v>286</v>
      </c>
      <c r="B227" s="91" t="s">
        <v>2334</v>
      </c>
      <c r="C227" s="91">
        <v>5550</v>
      </c>
      <c r="D227" s="91">
        <v>5500</v>
      </c>
      <c r="E227" s="91">
        <v>5780</v>
      </c>
      <c r="F227" s="124">
        <v>940</v>
      </c>
    </row>
    <row r="228" spans="1:6" s="113" customFormat="1" ht="14.25" customHeight="1">
      <c r="A228" s="87" t="s">
        <v>286</v>
      </c>
      <c r="B228" s="91" t="s">
        <v>2341</v>
      </c>
      <c r="C228" s="91">
        <v>5460</v>
      </c>
      <c r="D228" s="91">
        <v>5420</v>
      </c>
      <c r="E228" s="91">
        <v>5690</v>
      </c>
      <c r="F228" s="124">
        <v>910</v>
      </c>
    </row>
    <row r="229" spans="1:6" s="113" customFormat="1" ht="14.25" customHeight="1">
      <c r="A229" s="87" t="s">
        <v>286</v>
      </c>
      <c r="B229" s="91" t="s">
        <v>2348</v>
      </c>
      <c r="C229" s="91">
        <v>5310</v>
      </c>
      <c r="D229" s="91">
        <v>5270</v>
      </c>
      <c r="E229" s="91">
        <v>5510</v>
      </c>
      <c r="F229" s="127"/>
    </row>
    <row r="230" spans="1:6" s="113" customFormat="1" ht="14.25" customHeight="1">
      <c r="A230" s="87" t="s">
        <v>286</v>
      </c>
      <c r="B230" s="91" t="s">
        <v>2355</v>
      </c>
      <c r="C230" s="91">
        <v>4540</v>
      </c>
      <c r="D230" s="91">
        <v>4500</v>
      </c>
      <c r="E230" s="91">
        <v>4730</v>
      </c>
      <c r="F230" s="127"/>
    </row>
    <row r="231" spans="1:6" s="113" customFormat="1" ht="14.25" customHeight="1">
      <c r="A231" s="87" t="s">
        <v>286</v>
      </c>
      <c r="B231" s="91" t="s">
        <v>2362</v>
      </c>
      <c r="C231" s="91">
        <v>4480</v>
      </c>
      <c r="D231" s="91">
        <v>4410</v>
      </c>
      <c r="E231" s="91">
        <v>4640</v>
      </c>
      <c r="F231" s="127"/>
    </row>
    <row r="232" spans="1:6" s="113" customFormat="1" ht="14.25" customHeight="1">
      <c r="A232" s="87" t="s">
        <v>286</v>
      </c>
      <c r="B232" s="91" t="s">
        <v>2369</v>
      </c>
      <c r="C232" s="91">
        <v>5670</v>
      </c>
      <c r="D232" s="91">
        <v>5600</v>
      </c>
      <c r="E232" s="91">
        <v>5890</v>
      </c>
      <c r="F232" s="124">
        <v>1150</v>
      </c>
    </row>
    <row r="233" spans="1:6" s="113" customFormat="1" ht="14.25" customHeight="1">
      <c r="A233" s="87" t="s">
        <v>286</v>
      </c>
      <c r="B233" s="91" t="s">
        <v>2374</v>
      </c>
      <c r="C233" s="91">
        <v>4590</v>
      </c>
      <c r="D233" s="91">
        <v>4500</v>
      </c>
      <c r="E233" s="91">
        <v>4600</v>
      </c>
      <c r="F233" s="127"/>
    </row>
    <row r="234" spans="1:6" s="113" customFormat="1" ht="14.25" customHeight="1">
      <c r="A234" s="87" t="s">
        <v>286</v>
      </c>
      <c r="B234" s="91" t="s">
        <v>2379</v>
      </c>
      <c r="C234" s="91">
        <v>3990</v>
      </c>
      <c r="D234" s="91">
        <v>3950</v>
      </c>
      <c r="E234" s="91">
        <v>4180</v>
      </c>
      <c r="F234" s="127"/>
    </row>
    <row r="235" spans="1:6" s="113" customFormat="1" ht="14.25" customHeight="1">
      <c r="A235" s="87" t="s">
        <v>286</v>
      </c>
      <c r="B235" s="91" t="s">
        <v>2384</v>
      </c>
      <c r="C235" s="91">
        <v>5590</v>
      </c>
      <c r="D235" s="91">
        <v>5540</v>
      </c>
      <c r="E235" s="91">
        <v>5810</v>
      </c>
      <c r="F235" s="124">
        <v>970</v>
      </c>
    </row>
    <row r="236" spans="1:6" s="113" customFormat="1" ht="14.25" customHeight="1">
      <c r="A236" s="87" t="s">
        <v>286</v>
      </c>
      <c r="B236" s="91" t="s">
        <v>2389</v>
      </c>
      <c r="C236" s="91"/>
      <c r="D236" s="91"/>
      <c r="E236" s="91"/>
      <c r="F236" s="124">
        <v>1020</v>
      </c>
    </row>
    <row r="237" spans="1:6" s="113" customFormat="1" ht="14.25" customHeight="1">
      <c r="A237" s="87" t="s">
        <v>286</v>
      </c>
      <c r="B237" s="91" t="s">
        <v>2394</v>
      </c>
      <c r="C237" s="91"/>
      <c r="D237" s="91"/>
      <c r="E237" s="91"/>
      <c r="F237" s="124">
        <v>960</v>
      </c>
    </row>
    <row r="238" spans="1:6" s="113" customFormat="1" ht="14.25" customHeight="1">
      <c r="A238" s="87" t="s">
        <v>286</v>
      </c>
      <c r="B238" s="91" t="s">
        <v>2399</v>
      </c>
      <c r="C238" s="91"/>
      <c r="D238" s="91"/>
      <c r="E238" s="91"/>
      <c r="F238" s="124">
        <v>960</v>
      </c>
    </row>
    <row r="239" spans="1:6" s="113" customFormat="1" ht="14.25" customHeight="1">
      <c r="A239" s="87" t="s">
        <v>286</v>
      </c>
      <c r="B239" s="91" t="s">
        <v>2404</v>
      </c>
      <c r="C239" s="91"/>
      <c r="D239" s="91"/>
      <c r="E239" s="91"/>
      <c r="F239" s="124">
        <v>960</v>
      </c>
    </row>
    <row r="240" spans="1:6" s="113" customFormat="1" ht="14.25" customHeight="1">
      <c r="A240" s="87" t="s">
        <v>286</v>
      </c>
      <c r="B240" s="91" t="s">
        <v>2408</v>
      </c>
      <c r="C240" s="91"/>
      <c r="D240" s="91"/>
      <c r="E240" s="91"/>
      <c r="F240" s="124">
        <v>990</v>
      </c>
    </row>
    <row r="241" spans="1:6" s="113" customFormat="1" ht="14.25" customHeight="1">
      <c r="A241" s="87" t="s">
        <v>286</v>
      </c>
      <c r="B241" s="91" t="s">
        <v>2412</v>
      </c>
      <c r="C241" s="91"/>
      <c r="D241" s="91"/>
      <c r="E241" s="91"/>
      <c r="F241" s="124">
        <v>1000</v>
      </c>
    </row>
    <row r="242" spans="1:6" s="113" customFormat="1" ht="14.25" customHeight="1">
      <c r="A242" s="87" t="s">
        <v>286</v>
      </c>
      <c r="B242" s="91" t="s">
        <v>2416</v>
      </c>
      <c r="C242" s="91"/>
      <c r="D242" s="91"/>
      <c r="E242" s="91"/>
      <c r="F242" s="124">
        <v>980</v>
      </c>
    </row>
    <row r="243" spans="1:6" s="113" customFormat="1" ht="14.25" customHeight="1">
      <c r="A243" s="87" t="s">
        <v>286</v>
      </c>
      <c r="B243" s="91" t="s">
        <v>2420</v>
      </c>
      <c r="C243" s="91"/>
      <c r="D243" s="91"/>
      <c r="E243" s="91"/>
      <c r="F243" s="124">
        <v>970</v>
      </c>
    </row>
    <row r="244" spans="1:6" s="113" customFormat="1" ht="14.25" customHeight="1">
      <c r="A244" s="87" t="s">
        <v>286</v>
      </c>
      <c r="B244" s="102" t="s">
        <v>2424</v>
      </c>
      <c r="C244" s="102"/>
      <c r="D244" s="102"/>
      <c r="E244" s="102"/>
      <c r="F244" s="126">
        <v>970</v>
      </c>
    </row>
    <row r="245" spans="1:6" s="113" customFormat="1" ht="14.25" customHeight="1">
      <c r="A245" s="87" t="s">
        <v>289</v>
      </c>
      <c r="B245" s="88" t="s">
        <v>2116</v>
      </c>
      <c r="C245" s="88">
        <v>4050</v>
      </c>
      <c r="D245" s="88">
        <v>4020</v>
      </c>
      <c r="E245" s="88">
        <v>4160</v>
      </c>
      <c r="F245" s="121">
        <v>840</v>
      </c>
    </row>
    <row r="246" spans="1:6" s="113" customFormat="1" ht="14.25" customHeight="1">
      <c r="A246" s="87" t="s">
        <v>289</v>
      </c>
      <c r="B246" s="91" t="s">
        <v>2129</v>
      </c>
      <c r="C246" s="91">
        <v>4010</v>
      </c>
      <c r="D246" s="91">
        <v>3960</v>
      </c>
      <c r="E246" s="91">
        <v>4130</v>
      </c>
      <c r="F246" s="124">
        <v>840</v>
      </c>
    </row>
    <row r="247" spans="1:6" s="113" customFormat="1" ht="14.25" customHeight="1">
      <c r="A247" s="87" t="s">
        <v>289</v>
      </c>
      <c r="B247" s="91" t="s">
        <v>2143</v>
      </c>
      <c r="C247" s="91">
        <v>3170</v>
      </c>
      <c r="D247" s="91">
        <v>3140</v>
      </c>
      <c r="E247" s="91">
        <v>3270</v>
      </c>
      <c r="F247" s="124">
        <v>640</v>
      </c>
    </row>
    <row r="248" spans="1:6" s="113" customFormat="1" ht="14.25" customHeight="1">
      <c r="A248" s="87" t="s">
        <v>289</v>
      </c>
      <c r="B248" s="91" t="s">
        <v>2155</v>
      </c>
      <c r="C248" s="91">
        <v>3140</v>
      </c>
      <c r="D248" s="91">
        <v>3120</v>
      </c>
      <c r="E248" s="91">
        <v>3240</v>
      </c>
      <c r="F248" s="124">
        <v>620</v>
      </c>
    </row>
    <row r="249" spans="1:6" s="113" customFormat="1" ht="14.25" customHeight="1">
      <c r="A249" s="87" t="s">
        <v>289</v>
      </c>
      <c r="B249" s="91" t="s">
        <v>2167</v>
      </c>
      <c r="C249" s="91">
        <v>3200</v>
      </c>
      <c r="D249" s="91">
        <v>3100</v>
      </c>
      <c r="E249" s="91">
        <v>3230</v>
      </c>
      <c r="F249" s="124">
        <v>750</v>
      </c>
    </row>
    <row r="250" spans="1:6" s="113" customFormat="1" ht="14.25" customHeight="1">
      <c r="A250" s="87" t="s">
        <v>289</v>
      </c>
      <c r="B250" s="91" t="s">
        <v>2178</v>
      </c>
      <c r="C250" s="91">
        <v>4060</v>
      </c>
      <c r="D250" s="91">
        <v>4000</v>
      </c>
      <c r="E250" s="91">
        <v>4140</v>
      </c>
      <c r="F250" s="124">
        <v>790</v>
      </c>
    </row>
    <row r="251" spans="1:6" s="113" customFormat="1" ht="14.25" customHeight="1">
      <c r="A251" s="87" t="s">
        <v>289</v>
      </c>
      <c r="B251" s="91" t="s">
        <v>2189</v>
      </c>
      <c r="C251" s="91">
        <v>3990</v>
      </c>
      <c r="D251" s="91">
        <v>3970</v>
      </c>
      <c r="E251" s="91">
        <v>4110</v>
      </c>
      <c r="F251" s="124">
        <v>730</v>
      </c>
    </row>
    <row r="252" spans="1:6" s="113" customFormat="1" ht="14.25" customHeight="1">
      <c r="A252" s="87" t="s">
        <v>289</v>
      </c>
      <c r="B252" s="91" t="s">
        <v>2200</v>
      </c>
      <c r="C252" s="91">
        <v>3560</v>
      </c>
      <c r="D252" s="91">
        <v>3530</v>
      </c>
      <c r="E252" s="91">
        <v>3650</v>
      </c>
      <c r="F252" s="124">
        <v>750</v>
      </c>
    </row>
    <row r="253" spans="1:6" s="113" customFormat="1" ht="14.25" customHeight="1">
      <c r="A253" s="87" t="s">
        <v>289</v>
      </c>
      <c r="B253" s="91" t="s">
        <v>2210</v>
      </c>
      <c r="C253" s="91">
        <v>3780</v>
      </c>
      <c r="D253" s="91">
        <v>3750</v>
      </c>
      <c r="E253" s="91">
        <v>3870</v>
      </c>
      <c r="F253" s="124">
        <v>770</v>
      </c>
    </row>
    <row r="254" spans="1:6" s="113" customFormat="1" ht="14.25" customHeight="1">
      <c r="A254" s="87" t="s">
        <v>289</v>
      </c>
      <c r="B254" s="91" t="s">
        <v>2220</v>
      </c>
      <c r="C254" s="130"/>
      <c r="D254" s="130"/>
      <c r="E254" s="130"/>
      <c r="F254" s="124">
        <v>740</v>
      </c>
    </row>
    <row r="255" spans="1:6" s="113" customFormat="1" ht="14.25" customHeight="1">
      <c r="A255" s="87" t="s">
        <v>289</v>
      </c>
      <c r="B255" s="91" t="s">
        <v>2230</v>
      </c>
      <c r="C255" s="130"/>
      <c r="D255" s="130"/>
      <c r="E255" s="130"/>
      <c r="F255" s="124">
        <v>760</v>
      </c>
    </row>
    <row r="256" spans="1:6" s="113" customFormat="1" ht="14.25" customHeight="1">
      <c r="A256" s="87" t="s">
        <v>289</v>
      </c>
      <c r="B256" s="91" t="s">
        <v>2240</v>
      </c>
      <c r="C256" s="91">
        <v>3760</v>
      </c>
      <c r="D256" s="91">
        <v>3730</v>
      </c>
      <c r="E256" s="91">
        <v>3870</v>
      </c>
      <c r="F256" s="124">
        <v>830</v>
      </c>
    </row>
    <row r="257" spans="1:6" s="113" customFormat="1" ht="14.25" customHeight="1">
      <c r="A257" s="87" t="s">
        <v>289</v>
      </c>
      <c r="B257" s="91" t="s">
        <v>2250</v>
      </c>
      <c r="C257" s="91">
        <v>3570</v>
      </c>
      <c r="D257" s="91">
        <v>3540</v>
      </c>
      <c r="E257" s="91">
        <v>3650</v>
      </c>
      <c r="F257" s="124">
        <v>790</v>
      </c>
    </row>
    <row r="258" spans="1:6" s="113" customFormat="1" ht="14.25" customHeight="1">
      <c r="A258" s="87" t="s">
        <v>289</v>
      </c>
      <c r="B258" s="91" t="s">
        <v>2260</v>
      </c>
      <c r="C258" s="91">
        <v>3410</v>
      </c>
      <c r="D258" s="91">
        <v>3380</v>
      </c>
      <c r="E258" s="91">
        <v>3500</v>
      </c>
      <c r="F258" s="124">
        <v>830</v>
      </c>
    </row>
    <row r="259" spans="1:6" s="113" customFormat="1" ht="14.25" customHeight="1">
      <c r="A259" s="87" t="s">
        <v>289</v>
      </c>
      <c r="B259" s="91" t="s">
        <v>2270</v>
      </c>
      <c r="C259" s="91">
        <v>3870</v>
      </c>
      <c r="D259" s="91">
        <v>3840</v>
      </c>
      <c r="E259" s="91">
        <v>3970</v>
      </c>
      <c r="F259" s="124">
        <v>830</v>
      </c>
    </row>
    <row r="260" spans="1:6" s="113" customFormat="1" ht="14.25" customHeight="1">
      <c r="A260" s="87" t="s">
        <v>289</v>
      </c>
      <c r="B260" s="91" t="s">
        <v>2280</v>
      </c>
      <c r="C260" s="91">
        <v>3700</v>
      </c>
      <c r="D260" s="91">
        <v>3660</v>
      </c>
      <c r="E260" s="91">
        <v>3810</v>
      </c>
      <c r="F260" s="124">
        <v>790</v>
      </c>
    </row>
    <row r="261" spans="1:6" s="113" customFormat="1" ht="14.25" customHeight="1">
      <c r="A261" s="87" t="s">
        <v>289</v>
      </c>
      <c r="B261" s="91" t="s">
        <v>2290</v>
      </c>
      <c r="C261" s="91">
        <v>3470</v>
      </c>
      <c r="D261" s="91">
        <v>3430</v>
      </c>
      <c r="E261" s="91">
        <v>3640</v>
      </c>
      <c r="F261" s="124">
        <v>760</v>
      </c>
    </row>
    <row r="262" spans="1:6" s="113" customFormat="1" ht="14.25" customHeight="1">
      <c r="A262" s="87" t="s">
        <v>289</v>
      </c>
      <c r="B262" s="91" t="s">
        <v>2300</v>
      </c>
      <c r="C262" s="91">
        <v>3510</v>
      </c>
      <c r="D262" s="91">
        <v>3470</v>
      </c>
      <c r="E262" s="91">
        <v>3680</v>
      </c>
      <c r="F262" s="127"/>
    </row>
    <row r="263" spans="1:6" s="113" customFormat="1" ht="14.25" customHeight="1">
      <c r="A263" s="87" t="s">
        <v>289</v>
      </c>
      <c r="B263" s="91" t="s">
        <v>2310</v>
      </c>
      <c r="C263" s="91">
        <v>3960</v>
      </c>
      <c r="D263" s="91">
        <v>3930</v>
      </c>
      <c r="E263" s="91">
        <v>4070</v>
      </c>
      <c r="F263" s="124">
        <v>830</v>
      </c>
    </row>
    <row r="264" spans="1:6" s="113" customFormat="1" ht="14.25" customHeight="1">
      <c r="A264" s="87" t="s">
        <v>289</v>
      </c>
      <c r="B264" s="91" t="s">
        <v>2319</v>
      </c>
      <c r="C264" s="91">
        <v>4010</v>
      </c>
      <c r="D264" s="91">
        <v>3980</v>
      </c>
      <c r="E264" s="91">
        <v>4150</v>
      </c>
      <c r="F264" s="124">
        <v>760</v>
      </c>
    </row>
    <row r="265" spans="1:6" s="113" customFormat="1" ht="14.25" customHeight="1">
      <c r="A265" s="87" t="s">
        <v>289</v>
      </c>
      <c r="B265" s="91" t="s">
        <v>2327</v>
      </c>
      <c r="C265" s="91">
        <v>3910</v>
      </c>
      <c r="D265" s="91">
        <v>3890</v>
      </c>
      <c r="E265" s="91">
        <v>4040</v>
      </c>
      <c r="F265" s="124">
        <v>780</v>
      </c>
    </row>
    <row r="266" spans="1:6" s="113" customFormat="1" ht="14.25" customHeight="1">
      <c r="A266" s="87" t="s">
        <v>289</v>
      </c>
      <c r="B266" s="91" t="s">
        <v>2335</v>
      </c>
      <c r="C266" s="91">
        <v>3930</v>
      </c>
      <c r="D266" s="91">
        <v>3900</v>
      </c>
      <c r="E266" s="91">
        <v>4080</v>
      </c>
      <c r="F266" s="124">
        <v>770</v>
      </c>
    </row>
    <row r="267" spans="1:6" s="113" customFormat="1" ht="14.25" customHeight="1">
      <c r="A267" s="87" t="s">
        <v>289</v>
      </c>
      <c r="B267" s="91" t="s">
        <v>2342</v>
      </c>
      <c r="C267" s="91">
        <v>3800</v>
      </c>
      <c r="D267" s="91">
        <v>3780</v>
      </c>
      <c r="E267" s="91">
        <v>3930</v>
      </c>
      <c r="F267" s="127"/>
    </row>
    <row r="268" spans="1:6" s="113" customFormat="1" ht="14.25" customHeight="1">
      <c r="A268" s="87" t="s">
        <v>289</v>
      </c>
      <c r="B268" s="91" t="s">
        <v>2349</v>
      </c>
      <c r="C268" s="91">
        <v>3460</v>
      </c>
      <c r="D268" s="91">
        <v>3430</v>
      </c>
      <c r="E268" s="91">
        <v>3560</v>
      </c>
      <c r="F268" s="124">
        <v>840</v>
      </c>
    </row>
    <row r="269" spans="1:6" s="113" customFormat="1" ht="14.25" customHeight="1">
      <c r="A269" s="87" t="s">
        <v>289</v>
      </c>
      <c r="B269" s="91" t="s">
        <v>2356</v>
      </c>
      <c r="C269" s="91">
        <v>3210</v>
      </c>
      <c r="D269" s="91">
        <v>3190</v>
      </c>
      <c r="E269" s="91">
        <v>3310</v>
      </c>
      <c r="F269" s="124">
        <v>730</v>
      </c>
    </row>
    <row r="270" spans="1:6" s="113" customFormat="1" ht="14.25" customHeight="1">
      <c r="A270" s="87" t="s">
        <v>289</v>
      </c>
      <c r="B270" s="91" t="s">
        <v>2363</v>
      </c>
      <c r="C270" s="91">
        <v>3240</v>
      </c>
      <c r="D270" s="91">
        <v>3210</v>
      </c>
      <c r="E270" s="91">
        <v>3390</v>
      </c>
      <c r="F270" s="124">
        <v>820</v>
      </c>
    </row>
    <row r="271" spans="1:6" s="113" customFormat="1" ht="14.25" customHeight="1">
      <c r="A271" s="87" t="s">
        <v>289</v>
      </c>
      <c r="B271" s="91" t="s">
        <v>2370</v>
      </c>
      <c r="C271" s="91">
        <v>3300</v>
      </c>
      <c r="D271" s="91">
        <v>3270</v>
      </c>
      <c r="E271" s="91">
        <v>3380</v>
      </c>
      <c r="F271" s="124">
        <v>750</v>
      </c>
    </row>
    <row r="272" spans="1:6" s="113" customFormat="1" ht="14.25" customHeight="1">
      <c r="A272" s="87" t="s">
        <v>289</v>
      </c>
      <c r="B272" s="91" t="s">
        <v>2375</v>
      </c>
      <c r="C272" s="130"/>
      <c r="D272" s="130"/>
      <c r="E272" s="130"/>
      <c r="F272" s="124">
        <v>740</v>
      </c>
    </row>
    <row r="273" spans="1:6" s="113" customFormat="1" ht="14.25" customHeight="1">
      <c r="A273" s="87" t="s">
        <v>289</v>
      </c>
      <c r="B273" s="91" t="s">
        <v>2380</v>
      </c>
      <c r="C273" s="91">
        <v>3130</v>
      </c>
      <c r="D273" s="91">
        <v>3100</v>
      </c>
      <c r="E273" s="91">
        <v>3230</v>
      </c>
      <c r="F273" s="124">
        <v>700</v>
      </c>
    </row>
    <row r="274" spans="1:6" s="113" customFormat="1" ht="14.25" customHeight="1">
      <c r="A274" s="87" t="s">
        <v>289</v>
      </c>
      <c r="B274" s="91" t="s">
        <v>2385</v>
      </c>
      <c r="C274" s="91">
        <v>3460</v>
      </c>
      <c r="D274" s="91">
        <v>3430</v>
      </c>
      <c r="E274" s="91">
        <v>3560</v>
      </c>
      <c r="F274" s="124">
        <v>690</v>
      </c>
    </row>
    <row r="275" spans="1:6" s="113" customFormat="1" ht="14.25" customHeight="1">
      <c r="A275" s="87" t="s">
        <v>289</v>
      </c>
      <c r="B275" s="91" t="s">
        <v>2390</v>
      </c>
      <c r="C275" s="91">
        <v>4040</v>
      </c>
      <c r="D275" s="91">
        <v>4020</v>
      </c>
      <c r="E275" s="91">
        <v>4160</v>
      </c>
      <c r="F275" s="124">
        <v>820</v>
      </c>
    </row>
    <row r="276" spans="1:6" s="113" customFormat="1" ht="14.25" customHeight="1">
      <c r="A276" s="87" t="s">
        <v>289</v>
      </c>
      <c r="B276" s="91" t="s">
        <v>2395</v>
      </c>
      <c r="C276" s="91">
        <v>3270</v>
      </c>
      <c r="D276" s="91">
        <v>3240</v>
      </c>
      <c r="E276" s="91">
        <v>3350</v>
      </c>
      <c r="F276" s="124">
        <v>680</v>
      </c>
    </row>
    <row r="277" spans="1:6" s="113" customFormat="1" ht="14.25" customHeight="1">
      <c r="A277" s="87" t="s">
        <v>289</v>
      </c>
      <c r="B277" s="91" t="s">
        <v>2400</v>
      </c>
      <c r="C277" s="91">
        <v>2930</v>
      </c>
      <c r="D277" s="91">
        <v>2900</v>
      </c>
      <c r="E277" s="91">
        <v>3000</v>
      </c>
      <c r="F277" s="124">
        <v>640</v>
      </c>
    </row>
    <row r="278" spans="1:6" s="113" customFormat="1" ht="14.25" customHeight="1">
      <c r="A278" s="87" t="s">
        <v>289</v>
      </c>
      <c r="B278" s="91" t="s">
        <v>2405</v>
      </c>
      <c r="C278" s="91">
        <v>4080</v>
      </c>
      <c r="D278" s="91">
        <v>4030</v>
      </c>
      <c r="E278" s="91">
        <v>4140</v>
      </c>
      <c r="F278" s="124">
        <v>850</v>
      </c>
    </row>
    <row r="279" spans="1:6" s="113" customFormat="1" ht="14.25" customHeight="1">
      <c r="A279" s="87" t="s">
        <v>289</v>
      </c>
      <c r="B279" s="91" t="s">
        <v>2409</v>
      </c>
      <c r="C279" s="91"/>
      <c r="D279" s="91"/>
      <c r="E279" s="91"/>
      <c r="F279" s="124">
        <v>760</v>
      </c>
    </row>
    <row r="280" spans="1:6" s="113" customFormat="1" ht="14.25" customHeight="1">
      <c r="A280" s="87" t="s">
        <v>289</v>
      </c>
      <c r="B280" s="91" t="s">
        <v>2413</v>
      </c>
      <c r="C280" s="91"/>
      <c r="D280" s="91"/>
      <c r="E280" s="91"/>
      <c r="F280" s="124">
        <v>760</v>
      </c>
    </row>
    <row r="281" spans="1:6" s="113" customFormat="1" ht="14.25" customHeight="1">
      <c r="A281" s="87" t="s">
        <v>289</v>
      </c>
      <c r="B281" s="91" t="s">
        <v>2417</v>
      </c>
      <c r="C281" s="91"/>
      <c r="D281" s="91"/>
      <c r="E281" s="91"/>
      <c r="F281" s="124">
        <v>780</v>
      </c>
    </row>
    <row r="282" spans="1:6" s="113" customFormat="1" ht="14.25" customHeight="1">
      <c r="A282" s="87" t="s">
        <v>289</v>
      </c>
      <c r="B282" s="91" t="s">
        <v>2421</v>
      </c>
      <c r="C282" s="91"/>
      <c r="D282" s="91"/>
      <c r="E282" s="91"/>
      <c r="F282" s="124">
        <v>730</v>
      </c>
    </row>
    <row r="283" spans="1:6" s="113" customFormat="1" ht="14.25" customHeight="1">
      <c r="A283" s="87" t="s">
        <v>289</v>
      </c>
      <c r="B283" s="91" t="s">
        <v>2425</v>
      </c>
      <c r="C283" s="91"/>
      <c r="D283" s="91"/>
      <c r="E283" s="91"/>
      <c r="F283" s="124">
        <v>770</v>
      </c>
    </row>
    <row r="284" spans="1:6" s="113" customFormat="1" ht="14.25" customHeight="1">
      <c r="A284" s="87" t="s">
        <v>289</v>
      </c>
      <c r="B284" s="91" t="s">
        <v>2428</v>
      </c>
      <c r="C284" s="91"/>
      <c r="D284" s="91"/>
      <c r="E284" s="91"/>
      <c r="F284" s="124">
        <v>640</v>
      </c>
    </row>
    <row r="285" spans="1:6" s="113" customFormat="1" ht="14.25" customHeight="1">
      <c r="A285" s="87" t="s">
        <v>289</v>
      </c>
      <c r="B285" s="91" t="s">
        <v>2431</v>
      </c>
      <c r="C285" s="91"/>
      <c r="D285" s="91"/>
      <c r="E285" s="91"/>
      <c r="F285" s="124">
        <v>640</v>
      </c>
    </row>
    <row r="286" spans="1:6" s="113" customFormat="1" ht="14.25" customHeight="1">
      <c r="A286" s="87" t="s">
        <v>289</v>
      </c>
      <c r="B286" s="91" t="s">
        <v>2434</v>
      </c>
      <c r="C286" s="91"/>
      <c r="D286" s="91"/>
      <c r="E286" s="91"/>
      <c r="F286" s="124">
        <v>850</v>
      </c>
    </row>
    <row r="287" spans="1:6" s="113" customFormat="1" ht="14.25" customHeight="1">
      <c r="A287" s="87" t="s">
        <v>289</v>
      </c>
      <c r="B287" s="91" t="s">
        <v>2437</v>
      </c>
      <c r="C287" s="91"/>
      <c r="D287" s="91"/>
      <c r="E287" s="91"/>
      <c r="F287" s="124">
        <v>760</v>
      </c>
    </row>
    <row r="288" spans="1:6" s="113" customFormat="1" ht="14.25" customHeight="1">
      <c r="A288" s="87" t="s">
        <v>289</v>
      </c>
      <c r="B288" s="91" t="s">
        <v>2440</v>
      </c>
      <c r="C288" s="91"/>
      <c r="D288" s="91"/>
      <c r="E288" s="91"/>
      <c r="F288" s="124">
        <v>830</v>
      </c>
    </row>
    <row r="289" spans="1:6" s="113" customFormat="1" ht="14.25" customHeight="1">
      <c r="A289" s="87" t="s">
        <v>289</v>
      </c>
      <c r="B289" s="102" t="s">
        <v>2443</v>
      </c>
      <c r="C289" s="102"/>
      <c r="D289" s="102"/>
      <c r="E289" s="102"/>
      <c r="F289" s="126">
        <v>680</v>
      </c>
    </row>
    <row r="290" spans="1:6" s="113" customFormat="1" ht="14.25" customHeight="1">
      <c r="A290" s="87" t="s">
        <v>292</v>
      </c>
      <c r="B290" s="88" t="s">
        <v>2117</v>
      </c>
      <c r="C290" s="88">
        <v>2770</v>
      </c>
      <c r="D290" s="88">
        <v>2740</v>
      </c>
      <c r="E290" s="88">
        <v>2720</v>
      </c>
      <c r="F290" s="131"/>
    </row>
    <row r="291" spans="1:6" s="113" customFormat="1" ht="14.25" customHeight="1">
      <c r="A291" s="87" t="s">
        <v>292</v>
      </c>
      <c r="B291" s="91" t="s">
        <v>2130</v>
      </c>
      <c r="C291" s="91">
        <v>2670</v>
      </c>
      <c r="D291" s="91">
        <v>2640</v>
      </c>
      <c r="E291" s="91">
        <v>2620</v>
      </c>
      <c r="F291" s="127"/>
    </row>
    <row r="292" spans="1:6" s="113" customFormat="1" ht="14.25" customHeight="1">
      <c r="A292" s="87" t="s">
        <v>292</v>
      </c>
      <c r="B292" s="91" t="s">
        <v>2144</v>
      </c>
      <c r="C292" s="91">
        <v>2180</v>
      </c>
      <c r="D292" s="91">
        <v>2140</v>
      </c>
      <c r="E292" s="91">
        <v>2120</v>
      </c>
      <c r="F292" s="124">
        <v>490</v>
      </c>
    </row>
    <row r="293" spans="1:6" s="113" customFormat="1" ht="14.25" customHeight="1">
      <c r="A293" s="87" t="s">
        <v>292</v>
      </c>
      <c r="B293" s="91" t="s">
        <v>2450</v>
      </c>
      <c r="C293" s="91"/>
      <c r="D293" s="91"/>
      <c r="E293" s="91"/>
      <c r="F293" s="124">
        <v>470</v>
      </c>
    </row>
    <row r="294" spans="1:6" s="113" customFormat="1" ht="14.25" customHeight="1">
      <c r="A294" s="87" t="s">
        <v>292</v>
      </c>
      <c r="B294" s="91" t="s">
        <v>2156</v>
      </c>
      <c r="C294" s="91">
        <v>2730</v>
      </c>
      <c r="D294" s="91">
        <v>2700</v>
      </c>
      <c r="E294" s="91">
        <v>2680</v>
      </c>
      <c r="F294" s="124">
        <v>490</v>
      </c>
    </row>
    <row r="295" spans="1:6" s="113" customFormat="1" ht="14.25" customHeight="1">
      <c r="A295" s="87" t="s">
        <v>292</v>
      </c>
      <c r="B295" s="91" t="s">
        <v>2168</v>
      </c>
      <c r="C295" s="91">
        <v>2380</v>
      </c>
      <c r="D295" s="91">
        <v>2350</v>
      </c>
      <c r="E295" s="91">
        <v>2330</v>
      </c>
      <c r="F295" s="124">
        <v>530</v>
      </c>
    </row>
    <row r="296" spans="1:6" s="113" customFormat="1" ht="14.25" customHeight="1">
      <c r="A296" s="87" t="s">
        <v>292</v>
      </c>
      <c r="B296" s="91" t="s">
        <v>2179</v>
      </c>
      <c r="C296" s="91">
        <v>2650</v>
      </c>
      <c r="D296" s="91">
        <v>2620</v>
      </c>
      <c r="E296" s="91">
        <v>2590</v>
      </c>
      <c r="F296" s="124">
        <v>590</v>
      </c>
    </row>
    <row r="297" spans="1:6" s="113" customFormat="1" ht="14.25" customHeight="1">
      <c r="A297" s="87" t="s">
        <v>292</v>
      </c>
      <c r="B297" s="91" t="s">
        <v>2190</v>
      </c>
      <c r="C297" s="91">
        <v>2700</v>
      </c>
      <c r="D297" s="91">
        <v>2670</v>
      </c>
      <c r="E297" s="91">
        <v>2650</v>
      </c>
      <c r="F297" s="124">
        <v>630</v>
      </c>
    </row>
    <row r="298" spans="1:6" s="113" customFormat="1" ht="14.25" customHeight="1">
      <c r="A298" s="87" t="s">
        <v>292</v>
      </c>
      <c r="B298" s="91" t="s">
        <v>2201</v>
      </c>
      <c r="C298" s="91">
        <v>2650</v>
      </c>
      <c r="D298" s="91">
        <v>2620</v>
      </c>
      <c r="E298" s="91">
        <v>2590</v>
      </c>
      <c r="F298" s="124">
        <v>640</v>
      </c>
    </row>
    <row r="299" spans="1:6" s="113" customFormat="1" ht="14.25" customHeight="1">
      <c r="A299" s="87" t="s">
        <v>292</v>
      </c>
      <c r="B299" s="91" t="s">
        <v>2211</v>
      </c>
      <c r="C299" s="91">
        <v>2500</v>
      </c>
      <c r="D299" s="91">
        <v>2480</v>
      </c>
      <c r="E299" s="91">
        <v>2460</v>
      </c>
      <c r="F299" s="127"/>
    </row>
    <row r="300" spans="1:6" s="113" customFormat="1" ht="14.25" customHeight="1">
      <c r="A300" s="87" t="s">
        <v>292</v>
      </c>
      <c r="B300" s="91" t="s">
        <v>2221</v>
      </c>
      <c r="C300" s="91">
        <v>2760</v>
      </c>
      <c r="D300" s="91">
        <v>2730</v>
      </c>
      <c r="E300" s="91">
        <v>2700</v>
      </c>
      <c r="F300" s="124">
        <v>630</v>
      </c>
    </row>
    <row r="301" spans="1:6" s="113" customFormat="1" ht="14.25" customHeight="1">
      <c r="A301" s="87" t="s">
        <v>292</v>
      </c>
      <c r="B301" s="91" t="s">
        <v>2231</v>
      </c>
      <c r="C301" s="91">
        <v>2510</v>
      </c>
      <c r="D301" s="91">
        <v>2480</v>
      </c>
      <c r="E301" s="91">
        <v>2460</v>
      </c>
      <c r="F301" s="127"/>
    </row>
    <row r="302" spans="1:6" s="113" customFormat="1" ht="14.25" customHeight="1">
      <c r="A302" s="87" t="s">
        <v>292</v>
      </c>
      <c r="B302" s="91" t="s">
        <v>2241</v>
      </c>
      <c r="C302" s="91">
        <v>2480</v>
      </c>
      <c r="D302" s="91">
        <v>2450</v>
      </c>
      <c r="E302" s="91">
        <v>2420</v>
      </c>
      <c r="F302" s="124">
        <v>600</v>
      </c>
    </row>
    <row r="303" spans="1:6" s="113" customFormat="1" ht="14.25" customHeight="1">
      <c r="A303" s="87" t="s">
        <v>292</v>
      </c>
      <c r="B303" s="91" t="s">
        <v>2251</v>
      </c>
      <c r="C303" s="91">
        <v>2270</v>
      </c>
      <c r="D303" s="91">
        <v>2240</v>
      </c>
      <c r="E303" s="91">
        <v>2210</v>
      </c>
      <c r="F303" s="124">
        <v>540</v>
      </c>
    </row>
    <row r="304" spans="1:6" s="113" customFormat="1" ht="14.25" customHeight="1">
      <c r="A304" s="87" t="s">
        <v>292</v>
      </c>
      <c r="B304" s="91" t="s">
        <v>2261</v>
      </c>
      <c r="C304" s="91">
        <v>2310</v>
      </c>
      <c r="D304" s="91">
        <v>2290</v>
      </c>
      <c r="E304" s="91">
        <v>2270</v>
      </c>
      <c r="F304" s="127"/>
    </row>
    <row r="305" spans="1:6" s="113" customFormat="1" ht="14.25" customHeight="1">
      <c r="A305" s="87" t="s">
        <v>292</v>
      </c>
      <c r="B305" s="91" t="s">
        <v>2271</v>
      </c>
      <c r="C305" s="91">
        <v>2490</v>
      </c>
      <c r="D305" s="91">
        <v>2470</v>
      </c>
      <c r="E305" s="91">
        <v>2440</v>
      </c>
      <c r="F305" s="124">
        <v>560</v>
      </c>
    </row>
    <row r="306" spans="1:6" s="113" customFormat="1" ht="14.25" customHeight="1">
      <c r="A306" s="87" t="s">
        <v>292</v>
      </c>
      <c r="B306" s="91" t="s">
        <v>2281</v>
      </c>
      <c r="C306" s="91">
        <v>2420</v>
      </c>
      <c r="D306" s="91">
        <v>2400</v>
      </c>
      <c r="E306" s="91">
        <v>2380</v>
      </c>
      <c r="F306" s="127"/>
    </row>
    <row r="307" spans="1:6" s="113" customFormat="1" ht="14.25" customHeight="1">
      <c r="A307" s="87" t="s">
        <v>292</v>
      </c>
      <c r="B307" s="91" t="s">
        <v>2291</v>
      </c>
      <c r="C307" s="91">
        <v>2770</v>
      </c>
      <c r="D307" s="91">
        <v>2740</v>
      </c>
      <c r="E307" s="91">
        <v>2710</v>
      </c>
      <c r="F307" s="124">
        <v>650</v>
      </c>
    </row>
    <row r="308" spans="1:6" s="113" customFormat="1" ht="14.25" customHeight="1">
      <c r="A308" s="87" t="s">
        <v>292</v>
      </c>
      <c r="B308" s="91" t="s">
        <v>2301</v>
      </c>
      <c r="C308" s="91">
        <v>2610</v>
      </c>
      <c r="D308" s="91">
        <v>2580</v>
      </c>
      <c r="E308" s="91">
        <v>2550</v>
      </c>
      <c r="F308" s="124">
        <v>580</v>
      </c>
    </row>
    <row r="309" spans="1:6" s="113" customFormat="1" ht="14.25" customHeight="1">
      <c r="A309" s="87" t="s">
        <v>292</v>
      </c>
      <c r="B309" s="91" t="s">
        <v>2311</v>
      </c>
      <c r="C309" s="91">
        <v>2690</v>
      </c>
      <c r="D309" s="91">
        <v>2670</v>
      </c>
      <c r="E309" s="91">
        <v>2650</v>
      </c>
      <c r="F309" s="127"/>
    </row>
    <row r="310" spans="1:6" s="113" customFormat="1" ht="14.25" customHeight="1">
      <c r="A310" s="87" t="s">
        <v>292</v>
      </c>
      <c r="B310" s="91" t="s">
        <v>2320</v>
      </c>
      <c r="C310" s="91">
        <v>2360</v>
      </c>
      <c r="D310" s="91">
        <v>2330</v>
      </c>
      <c r="E310" s="91">
        <v>2310</v>
      </c>
      <c r="F310" s="124">
        <v>560</v>
      </c>
    </row>
    <row r="311" spans="1:6" s="113" customFormat="1" ht="14.25" customHeight="1">
      <c r="A311" s="87" t="s">
        <v>292</v>
      </c>
      <c r="B311" s="91" t="s">
        <v>2328</v>
      </c>
      <c r="C311" s="91">
        <v>1970</v>
      </c>
      <c r="D311" s="91">
        <v>1950</v>
      </c>
      <c r="E311" s="91">
        <v>1920</v>
      </c>
      <c r="F311" s="124">
        <v>470</v>
      </c>
    </row>
    <row r="312" spans="1:6" s="113" customFormat="1" ht="14.25" customHeight="1">
      <c r="A312" s="87" t="s">
        <v>292</v>
      </c>
      <c r="B312" s="91" t="s">
        <v>2336</v>
      </c>
      <c r="C312" s="91">
        <v>2230</v>
      </c>
      <c r="D312" s="91">
        <v>2200</v>
      </c>
      <c r="E312" s="91">
        <v>2170</v>
      </c>
      <c r="F312" s="124">
        <v>460</v>
      </c>
    </row>
    <row r="313" spans="1:6" s="113" customFormat="1" ht="14.25" customHeight="1">
      <c r="A313" s="87" t="s">
        <v>292</v>
      </c>
      <c r="B313" s="91" t="s">
        <v>2343</v>
      </c>
      <c r="C313" s="91">
        <v>2770</v>
      </c>
      <c r="D313" s="91">
        <v>2740</v>
      </c>
      <c r="E313" s="91">
        <v>2710</v>
      </c>
      <c r="F313" s="124">
        <v>610</v>
      </c>
    </row>
    <row r="314" spans="1:6" s="113" customFormat="1" ht="14.25" customHeight="1">
      <c r="A314" s="87" t="s">
        <v>292</v>
      </c>
      <c r="B314" s="91" t="s">
        <v>2350</v>
      </c>
      <c r="C314" s="91"/>
      <c r="D314" s="91"/>
      <c r="E314" s="91"/>
      <c r="F314" s="124">
        <v>490</v>
      </c>
    </row>
    <row r="315" spans="1:6" s="113" customFormat="1" ht="14.25" customHeight="1">
      <c r="A315" s="87" t="s">
        <v>292</v>
      </c>
      <c r="B315" s="91" t="s">
        <v>2357</v>
      </c>
      <c r="C315" s="91"/>
      <c r="D315" s="91"/>
      <c r="E315" s="91"/>
      <c r="F315" s="124">
        <v>520</v>
      </c>
    </row>
    <row r="316" spans="1:6" s="113" customFormat="1" ht="14.25" customHeight="1">
      <c r="A316" s="87" t="s">
        <v>292</v>
      </c>
      <c r="B316" s="102" t="s">
        <v>2364</v>
      </c>
      <c r="C316" s="102"/>
      <c r="D316" s="102"/>
      <c r="E316" s="102"/>
      <c r="F316" s="126">
        <v>460</v>
      </c>
    </row>
    <row r="317" spans="1:6" s="113" customFormat="1" ht="14.25" customHeight="1">
      <c r="A317" s="87" t="s">
        <v>295</v>
      </c>
      <c r="B317" s="88" t="s">
        <v>2118</v>
      </c>
      <c r="C317" s="88">
        <v>1200</v>
      </c>
      <c r="D317" s="88">
        <v>1180</v>
      </c>
      <c r="E317" s="88">
        <v>1160</v>
      </c>
      <c r="F317" s="121">
        <v>370</v>
      </c>
    </row>
    <row r="318" spans="1:6" s="113" customFormat="1" ht="14.25" customHeight="1">
      <c r="A318" s="87" t="s">
        <v>295</v>
      </c>
      <c r="B318" s="91" t="s">
        <v>2131</v>
      </c>
      <c r="C318" s="91">
        <v>1090</v>
      </c>
      <c r="D318" s="91">
        <v>1060</v>
      </c>
      <c r="E318" s="91">
        <v>1040</v>
      </c>
      <c r="F318" s="127"/>
    </row>
    <row r="319" spans="1:6" s="113" customFormat="1" ht="14.25" customHeight="1">
      <c r="A319" s="87" t="s">
        <v>295</v>
      </c>
      <c r="B319" s="91" t="s">
        <v>2145</v>
      </c>
      <c r="C319" s="91">
        <v>1520</v>
      </c>
      <c r="D319" s="91">
        <v>1470</v>
      </c>
      <c r="E319" s="91">
        <v>1440</v>
      </c>
      <c r="F319" s="124">
        <v>370</v>
      </c>
    </row>
    <row r="320" spans="1:6" s="113" customFormat="1" ht="14.25" customHeight="1">
      <c r="A320" s="87" t="s">
        <v>295</v>
      </c>
      <c r="B320" s="91" t="s">
        <v>2157</v>
      </c>
      <c r="C320" s="91">
        <v>1360</v>
      </c>
      <c r="D320" s="91">
        <v>1300</v>
      </c>
      <c r="E320" s="91">
        <v>1270</v>
      </c>
      <c r="F320" s="127"/>
    </row>
    <row r="321" spans="1:6" s="113" customFormat="1" ht="14.25" customHeight="1">
      <c r="A321" s="87" t="s">
        <v>295</v>
      </c>
      <c r="B321" s="91" t="s">
        <v>2169</v>
      </c>
      <c r="C321" s="91">
        <v>1750</v>
      </c>
      <c r="D321" s="91">
        <v>1690</v>
      </c>
      <c r="E321" s="91">
        <v>1660</v>
      </c>
      <c r="F321" s="127"/>
    </row>
    <row r="322" spans="1:6" s="113" customFormat="1" ht="14.25" customHeight="1">
      <c r="A322" s="87" t="s">
        <v>295</v>
      </c>
      <c r="B322" s="91" t="s">
        <v>2180</v>
      </c>
      <c r="C322" s="91">
        <v>1650</v>
      </c>
      <c r="D322" s="91">
        <v>1610</v>
      </c>
      <c r="E322" s="91">
        <v>1580</v>
      </c>
      <c r="F322" s="124">
        <v>500</v>
      </c>
    </row>
    <row r="323" spans="1:6" s="113" customFormat="1" ht="14.25" customHeight="1">
      <c r="A323" s="87" t="s">
        <v>295</v>
      </c>
      <c r="B323" s="91" t="s">
        <v>2191</v>
      </c>
      <c r="C323" s="91">
        <v>1780</v>
      </c>
      <c r="D323" s="91">
        <v>1740</v>
      </c>
      <c r="E323" s="91">
        <v>1720</v>
      </c>
      <c r="F323" s="127"/>
    </row>
    <row r="324" spans="1:6" s="113" customFormat="1" ht="14.25" customHeight="1">
      <c r="A324" s="87" t="s">
        <v>295</v>
      </c>
      <c r="B324" s="91" t="s">
        <v>2202</v>
      </c>
      <c r="C324" s="91">
        <v>1650</v>
      </c>
      <c r="D324" s="91">
        <v>1610</v>
      </c>
      <c r="E324" s="91">
        <v>1580</v>
      </c>
      <c r="F324" s="127"/>
    </row>
    <row r="325" spans="1:6" s="113" customFormat="1" ht="14.25" customHeight="1">
      <c r="A325" s="87" t="s">
        <v>295</v>
      </c>
      <c r="B325" s="91" t="s">
        <v>2212</v>
      </c>
      <c r="C325" s="91">
        <v>1330</v>
      </c>
      <c r="D325" s="91">
        <v>1270</v>
      </c>
      <c r="E325" s="91">
        <v>1240</v>
      </c>
      <c r="F325" s="124">
        <v>430</v>
      </c>
    </row>
    <row r="326" spans="1:6" s="113" customFormat="1" ht="14.25" customHeight="1">
      <c r="A326" s="87" t="s">
        <v>295</v>
      </c>
      <c r="B326" s="91" t="s">
        <v>2222</v>
      </c>
      <c r="C326" s="91">
        <v>1470</v>
      </c>
      <c r="D326" s="91">
        <v>1430</v>
      </c>
      <c r="E326" s="91">
        <v>1400</v>
      </c>
      <c r="F326" s="127"/>
    </row>
    <row r="327" spans="1:6" s="113" customFormat="1" ht="14.25" customHeight="1">
      <c r="A327" s="87" t="s">
        <v>295</v>
      </c>
      <c r="B327" s="91" t="s">
        <v>2232</v>
      </c>
      <c r="C327" s="91">
        <v>1420</v>
      </c>
      <c r="D327" s="91">
        <v>1380</v>
      </c>
      <c r="E327" s="91">
        <v>1360</v>
      </c>
      <c r="F327" s="124">
        <v>420</v>
      </c>
    </row>
    <row r="328" spans="1:6" s="113" customFormat="1" ht="14.25" customHeight="1">
      <c r="A328" s="87" t="s">
        <v>295</v>
      </c>
      <c r="B328" s="91" t="s">
        <v>2242</v>
      </c>
      <c r="C328" s="91">
        <v>1400</v>
      </c>
      <c r="D328" s="91">
        <v>1360</v>
      </c>
      <c r="E328" s="91">
        <v>1330</v>
      </c>
      <c r="F328" s="124">
        <v>460</v>
      </c>
    </row>
    <row r="329" spans="1:6" s="113" customFormat="1" ht="14.25" customHeight="1">
      <c r="A329" s="87" t="s">
        <v>295</v>
      </c>
      <c r="B329" s="91" t="s">
        <v>2252</v>
      </c>
      <c r="C329" s="91">
        <v>1640</v>
      </c>
      <c r="D329" s="91">
        <v>1610</v>
      </c>
      <c r="E329" s="91">
        <v>1580</v>
      </c>
      <c r="F329" s="124">
        <v>410</v>
      </c>
    </row>
    <row r="330" spans="1:6" s="113" customFormat="1" ht="14.25" customHeight="1">
      <c r="A330" s="87" t="s">
        <v>295</v>
      </c>
      <c r="B330" s="91" t="s">
        <v>2262</v>
      </c>
      <c r="C330" s="91">
        <v>1260</v>
      </c>
      <c r="D330" s="91">
        <v>1220</v>
      </c>
      <c r="E330" s="91">
        <v>1200</v>
      </c>
      <c r="F330" s="127"/>
    </row>
    <row r="331" spans="1:6" s="113" customFormat="1" ht="14.25" customHeight="1">
      <c r="A331" s="87" t="s">
        <v>295</v>
      </c>
      <c r="B331" s="91" t="s">
        <v>2272</v>
      </c>
      <c r="C331" s="91">
        <v>1620</v>
      </c>
      <c r="D331" s="91">
        <v>1560</v>
      </c>
      <c r="E331" s="91">
        <v>1530</v>
      </c>
      <c r="F331" s="124">
        <v>490</v>
      </c>
    </row>
    <row r="332" spans="1:6" s="113" customFormat="1" ht="14.25" customHeight="1">
      <c r="A332" s="87" t="s">
        <v>295</v>
      </c>
      <c r="B332" s="91" t="s">
        <v>2282</v>
      </c>
      <c r="C332" s="91">
        <v>1520</v>
      </c>
      <c r="D332" s="91">
        <v>1470</v>
      </c>
      <c r="E332" s="91">
        <v>1440</v>
      </c>
      <c r="F332" s="124">
        <v>440</v>
      </c>
    </row>
    <row r="333" spans="1:6" s="113" customFormat="1" ht="14.25" customHeight="1">
      <c r="A333" s="87" t="s">
        <v>295</v>
      </c>
      <c r="B333" s="91" t="s">
        <v>2292</v>
      </c>
      <c r="C333" s="91">
        <v>1370</v>
      </c>
      <c r="D333" s="91">
        <v>1320</v>
      </c>
      <c r="E333" s="91">
        <v>1300</v>
      </c>
      <c r="F333" s="124">
        <v>460</v>
      </c>
    </row>
    <row r="334" spans="1:6" s="113" customFormat="1" ht="14.25" customHeight="1">
      <c r="A334" s="87" t="s">
        <v>295</v>
      </c>
      <c r="B334" s="91" t="s">
        <v>2302</v>
      </c>
      <c r="C334" s="91">
        <v>1410</v>
      </c>
      <c r="D334" s="91">
        <v>1340</v>
      </c>
      <c r="E334" s="91">
        <v>1310</v>
      </c>
      <c r="F334" s="124">
        <v>410</v>
      </c>
    </row>
    <row r="335" spans="1:6" s="113" customFormat="1" ht="14.25" customHeight="1">
      <c r="A335" s="87" t="s">
        <v>295</v>
      </c>
      <c r="B335" s="91" t="s">
        <v>2312</v>
      </c>
      <c r="C335" s="91">
        <v>1260</v>
      </c>
      <c r="D335" s="91">
        <v>1220</v>
      </c>
      <c r="E335" s="91">
        <v>1200</v>
      </c>
      <c r="F335" s="127"/>
    </row>
    <row r="336" spans="1:6" s="113" customFormat="1" ht="14.25" customHeight="1">
      <c r="A336" s="87" t="s">
        <v>295</v>
      </c>
      <c r="B336" s="91" t="s">
        <v>2321</v>
      </c>
      <c r="C336" s="91">
        <v>1160</v>
      </c>
      <c r="D336" s="91">
        <v>1140</v>
      </c>
      <c r="E336" s="91">
        <v>1120</v>
      </c>
      <c r="F336" s="124">
        <v>430</v>
      </c>
    </row>
    <row r="337" spans="1:6" s="113" customFormat="1" ht="14.25" customHeight="1">
      <c r="A337" s="87" t="s">
        <v>295</v>
      </c>
      <c r="B337" s="102" t="s">
        <v>2329</v>
      </c>
      <c r="C337" s="102"/>
      <c r="D337" s="102"/>
      <c r="E337" s="102"/>
      <c r="F337" s="126">
        <v>380</v>
      </c>
    </row>
    <row r="338" spans="1:6" s="113" customFormat="1" ht="14.25" customHeight="1">
      <c r="A338" s="87" t="s">
        <v>298</v>
      </c>
      <c r="B338" s="88" t="s">
        <v>2119</v>
      </c>
      <c r="C338" s="88">
        <v>880</v>
      </c>
      <c r="D338" s="88">
        <v>850</v>
      </c>
      <c r="E338" s="88">
        <v>830</v>
      </c>
      <c r="F338" s="131"/>
    </row>
    <row r="339" spans="1:6" s="113" customFormat="1" ht="14.25" customHeight="1">
      <c r="A339" s="87" t="s">
        <v>298</v>
      </c>
      <c r="B339" s="91" t="s">
        <v>2132</v>
      </c>
      <c r="C339" s="91">
        <v>830</v>
      </c>
      <c r="D339" s="91">
        <v>800</v>
      </c>
      <c r="E339" s="91">
        <v>780</v>
      </c>
      <c r="F339" s="127"/>
    </row>
    <row r="340" spans="1:6" s="113" customFormat="1" ht="14.25" customHeight="1">
      <c r="A340" s="87" t="s">
        <v>298</v>
      </c>
      <c r="B340" s="91" t="s">
        <v>2146</v>
      </c>
      <c r="C340" s="91">
        <v>980</v>
      </c>
      <c r="D340" s="91">
        <v>950</v>
      </c>
      <c r="E340" s="91">
        <v>920</v>
      </c>
      <c r="F340" s="127"/>
    </row>
    <row r="341" spans="1:6" s="113" customFormat="1" ht="14.25" customHeight="1">
      <c r="A341" s="87" t="s">
        <v>298</v>
      </c>
      <c r="B341" s="91" t="s">
        <v>2158</v>
      </c>
      <c r="C341" s="91">
        <v>760</v>
      </c>
      <c r="D341" s="91">
        <v>720</v>
      </c>
      <c r="E341" s="91">
        <v>690</v>
      </c>
      <c r="F341" s="124">
        <v>350</v>
      </c>
    </row>
    <row r="342" spans="1:6" s="113" customFormat="1" ht="14.25" customHeight="1">
      <c r="A342" s="87" t="s">
        <v>298</v>
      </c>
      <c r="B342" s="91" t="s">
        <v>2170</v>
      </c>
      <c r="C342" s="91">
        <v>910</v>
      </c>
      <c r="D342" s="91">
        <v>870</v>
      </c>
      <c r="E342" s="91">
        <v>850</v>
      </c>
      <c r="F342" s="124">
        <v>370</v>
      </c>
    </row>
    <row r="343" spans="1:6" s="113" customFormat="1" ht="14.25" customHeight="1">
      <c r="A343" s="87" t="s">
        <v>298</v>
      </c>
      <c r="B343" s="91" t="s">
        <v>2181</v>
      </c>
      <c r="C343" s="91">
        <v>800</v>
      </c>
      <c r="D343" s="91">
        <v>760</v>
      </c>
      <c r="E343" s="91">
        <v>730</v>
      </c>
      <c r="F343" s="124">
        <v>340</v>
      </c>
    </row>
    <row r="344" spans="1:6" s="113" customFormat="1" ht="14.25" customHeight="1">
      <c r="A344" s="87" t="s">
        <v>298</v>
      </c>
      <c r="B344" s="102" t="s">
        <v>2192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11" t="s">
        <v>2451</v>
      </c>
      <c r="B1" s="3311"/>
    </row>
    <row r="2" spans="1:6">
      <c r="A2" s="83"/>
      <c r="B2" s="83"/>
    </row>
    <row r="3" spans="1:6">
      <c r="A3" s="83"/>
      <c r="B3" s="83"/>
      <c r="C3" s="84" t="s">
        <v>1707</v>
      </c>
      <c r="D3" s="84" t="s">
        <v>1708</v>
      </c>
      <c r="E3" s="84" t="s">
        <v>357</v>
      </c>
      <c r="F3" s="84" t="s">
        <v>1709</v>
      </c>
    </row>
    <row r="4" spans="1:6">
      <c r="A4" s="85" t="s">
        <v>2120</v>
      </c>
      <c r="B4" s="86" t="s">
        <v>2133</v>
      </c>
      <c r="C4" s="84"/>
      <c r="D4" s="84"/>
      <c r="E4" s="84"/>
      <c r="F4" s="84"/>
    </row>
    <row r="5" spans="1:6">
      <c r="A5" s="87" t="s">
        <v>233</v>
      </c>
      <c r="B5" s="88" t="s">
        <v>2108</v>
      </c>
      <c r="C5" s="89">
        <v>8.8999999999999996E-2</v>
      </c>
      <c r="D5" s="89">
        <v>7.3999999999999996E-2</v>
      </c>
      <c r="E5" s="89">
        <v>7.4999999999999997E-2</v>
      </c>
      <c r="F5" s="90">
        <v>0.1</v>
      </c>
    </row>
    <row r="6" spans="1:6">
      <c r="A6" s="87" t="s">
        <v>233</v>
      </c>
      <c r="B6" s="91" t="s">
        <v>2121</v>
      </c>
      <c r="C6" s="92">
        <v>0.1</v>
      </c>
      <c r="D6" s="92">
        <v>9.0999999999999998E-2</v>
      </c>
      <c r="E6" s="92">
        <v>9.0999999999999998E-2</v>
      </c>
      <c r="F6" s="93">
        <v>0.1</v>
      </c>
    </row>
    <row r="7" spans="1:6">
      <c r="A7" s="87" t="s">
        <v>233</v>
      </c>
      <c r="B7" s="94" t="s">
        <v>2135</v>
      </c>
      <c r="C7" s="92">
        <v>8.5999999999999993E-2</v>
      </c>
      <c r="D7" s="92">
        <v>9.6000000000000002E-2</v>
      </c>
      <c r="E7" s="92">
        <v>7.5999999999999998E-2</v>
      </c>
      <c r="F7" s="93">
        <v>0.1</v>
      </c>
    </row>
    <row r="8" spans="1:6">
      <c r="A8" s="87" t="s">
        <v>233</v>
      </c>
      <c r="B8" s="91" t="s">
        <v>2147</v>
      </c>
      <c r="C8" s="92">
        <v>9.9000000000000005E-2</v>
      </c>
      <c r="D8" s="92">
        <v>9.8000000000000004E-2</v>
      </c>
      <c r="E8" s="92">
        <v>9.8000000000000004E-2</v>
      </c>
      <c r="F8" s="93">
        <v>0.1</v>
      </c>
    </row>
    <row r="9" spans="1:6">
      <c r="A9" s="95" t="s">
        <v>233</v>
      </c>
      <c r="B9" s="96" t="s">
        <v>2159</v>
      </c>
      <c r="C9" s="97">
        <v>0.05</v>
      </c>
      <c r="D9" s="98"/>
      <c r="E9" s="98"/>
      <c r="F9" s="99"/>
    </row>
    <row r="10" spans="1:6">
      <c r="A10" s="87" t="s">
        <v>244</v>
      </c>
      <c r="B10" s="88" t="s">
        <v>2109</v>
      </c>
      <c r="C10" s="89">
        <v>8.8999999999999996E-2</v>
      </c>
      <c r="D10" s="89">
        <v>7.2999999999999995E-2</v>
      </c>
      <c r="E10" s="89">
        <v>8.2000000000000003E-2</v>
      </c>
      <c r="F10" s="90">
        <v>0.1</v>
      </c>
    </row>
    <row r="11" spans="1:6">
      <c r="A11" s="87" t="s">
        <v>244</v>
      </c>
      <c r="B11" s="94" t="s">
        <v>2122</v>
      </c>
      <c r="C11" s="92">
        <v>8.8999999999999996E-2</v>
      </c>
      <c r="D11" s="92">
        <v>7.2999999999999995E-2</v>
      </c>
      <c r="E11" s="92">
        <v>8.2000000000000003E-2</v>
      </c>
      <c r="F11" s="93">
        <v>0.1</v>
      </c>
    </row>
    <row r="12" spans="1:6">
      <c r="A12" s="87" t="s">
        <v>244</v>
      </c>
      <c r="B12" s="94" t="s">
        <v>2136</v>
      </c>
      <c r="C12" s="92">
        <v>6.0999999999999999E-2</v>
      </c>
      <c r="D12" s="92">
        <v>7.0999999999999994E-2</v>
      </c>
      <c r="E12" s="92">
        <v>9.6000000000000002E-2</v>
      </c>
      <c r="F12" s="93">
        <v>0.1</v>
      </c>
    </row>
    <row r="13" spans="1:6">
      <c r="A13" s="87" t="s">
        <v>244</v>
      </c>
      <c r="B13" s="94" t="s">
        <v>2148</v>
      </c>
      <c r="C13" s="92">
        <v>6.9000000000000006E-2</v>
      </c>
      <c r="D13" s="92">
        <v>6.5000000000000002E-2</v>
      </c>
      <c r="E13" s="92">
        <v>6.6000000000000003E-2</v>
      </c>
      <c r="F13" s="93">
        <v>0.1</v>
      </c>
    </row>
    <row r="14" spans="1:6">
      <c r="A14" s="87" t="s">
        <v>244</v>
      </c>
      <c r="B14" s="94" t="s">
        <v>2160</v>
      </c>
      <c r="C14" s="92">
        <v>0.1</v>
      </c>
      <c r="D14" s="92">
        <v>6.5000000000000002E-2</v>
      </c>
      <c r="E14" s="92">
        <v>7.0000000000000007E-2</v>
      </c>
      <c r="F14" s="93">
        <v>0.1</v>
      </c>
    </row>
    <row r="15" spans="1:6">
      <c r="A15" s="87" t="s">
        <v>244</v>
      </c>
      <c r="B15" s="94" t="s">
        <v>2171</v>
      </c>
      <c r="C15" s="92">
        <v>9.8000000000000004E-2</v>
      </c>
      <c r="D15" s="92">
        <v>8.8999999999999996E-2</v>
      </c>
      <c r="E15" s="92">
        <v>8.8999999999999996E-2</v>
      </c>
      <c r="F15" s="93">
        <v>0.1</v>
      </c>
    </row>
    <row r="16" spans="1:6">
      <c r="A16" s="87" t="s">
        <v>244</v>
      </c>
      <c r="B16" s="94" t="s">
        <v>2182</v>
      </c>
      <c r="C16" s="92">
        <v>7.0000000000000007E-2</v>
      </c>
      <c r="D16" s="92">
        <v>9.2999999999999999E-2</v>
      </c>
      <c r="E16" s="92">
        <v>9.6000000000000002E-2</v>
      </c>
      <c r="F16" s="93">
        <v>0.1</v>
      </c>
    </row>
    <row r="17" spans="1:6">
      <c r="A17" s="87" t="s">
        <v>244</v>
      </c>
      <c r="B17" s="94" t="s">
        <v>2193</v>
      </c>
      <c r="C17" s="92">
        <v>9.5000000000000001E-2</v>
      </c>
      <c r="D17" s="92">
        <v>0.1</v>
      </c>
      <c r="E17" s="92">
        <v>0.1</v>
      </c>
      <c r="F17" s="100"/>
    </row>
    <row r="18" spans="1:6">
      <c r="A18" s="87" t="s">
        <v>244</v>
      </c>
      <c r="B18" s="94" t="s">
        <v>2203</v>
      </c>
      <c r="C18" s="92">
        <v>7.3999999999999996E-2</v>
      </c>
      <c r="D18" s="92">
        <v>9.9000000000000005E-2</v>
      </c>
      <c r="E18" s="92">
        <v>0.1</v>
      </c>
      <c r="F18" s="100"/>
    </row>
    <row r="19" spans="1:6">
      <c r="A19" s="87" t="s">
        <v>244</v>
      </c>
      <c r="B19" s="94" t="s">
        <v>2213</v>
      </c>
      <c r="C19" s="92">
        <v>9.9000000000000005E-2</v>
      </c>
      <c r="D19" s="92">
        <v>7.5999999999999998E-2</v>
      </c>
      <c r="E19" s="92">
        <v>8.6999999999999994E-2</v>
      </c>
      <c r="F19" s="100"/>
    </row>
    <row r="20" spans="1:6">
      <c r="A20" s="87" t="s">
        <v>244</v>
      </c>
      <c r="B20" s="94" t="s">
        <v>2223</v>
      </c>
      <c r="C20" s="92">
        <v>9.8000000000000004E-2</v>
      </c>
      <c r="D20" s="92">
        <v>8.5000000000000006E-2</v>
      </c>
      <c r="E20" s="92">
        <v>8.2000000000000003E-2</v>
      </c>
      <c r="F20" s="100"/>
    </row>
    <row r="21" spans="1:6">
      <c r="A21" s="87" t="s">
        <v>244</v>
      </c>
      <c r="B21" s="94" t="s">
        <v>2233</v>
      </c>
      <c r="C21" s="92">
        <v>6.6000000000000003E-2</v>
      </c>
      <c r="D21" s="92">
        <v>6.4000000000000001E-2</v>
      </c>
      <c r="E21" s="92">
        <v>6.5000000000000002E-2</v>
      </c>
      <c r="F21" s="100"/>
    </row>
    <row r="22" spans="1:6">
      <c r="A22" s="87" t="s">
        <v>244</v>
      </c>
      <c r="B22" s="94" t="s">
        <v>2243</v>
      </c>
      <c r="C22" s="92">
        <v>0.08</v>
      </c>
      <c r="D22" s="92">
        <v>9.8000000000000004E-2</v>
      </c>
      <c r="E22" s="92">
        <v>9.8000000000000004E-2</v>
      </c>
      <c r="F22" s="100"/>
    </row>
    <row r="23" spans="1:6">
      <c r="A23" s="87" t="s">
        <v>244</v>
      </c>
      <c r="B23" s="94" t="s">
        <v>2253</v>
      </c>
      <c r="C23" s="92">
        <v>9.9000000000000005E-2</v>
      </c>
      <c r="D23" s="92">
        <v>9.8000000000000004E-2</v>
      </c>
      <c r="E23" s="92">
        <v>9.0999999999999998E-2</v>
      </c>
      <c r="F23" s="100"/>
    </row>
    <row r="24" spans="1:6">
      <c r="A24" s="87" t="s">
        <v>244</v>
      </c>
      <c r="B24" s="94" t="s">
        <v>2263</v>
      </c>
      <c r="C24" s="92">
        <v>8.8999999999999996E-2</v>
      </c>
      <c r="D24" s="92">
        <v>9.7000000000000003E-2</v>
      </c>
      <c r="E24" s="92">
        <v>7.0000000000000007E-2</v>
      </c>
      <c r="F24" s="100"/>
    </row>
    <row r="25" spans="1:6">
      <c r="A25" s="87" t="s">
        <v>244</v>
      </c>
      <c r="B25" s="94" t="s">
        <v>2273</v>
      </c>
      <c r="C25" s="92">
        <v>8.8999999999999996E-2</v>
      </c>
      <c r="D25" s="92">
        <v>0.1</v>
      </c>
      <c r="E25" s="92">
        <v>8.1000000000000003E-2</v>
      </c>
      <c r="F25" s="100"/>
    </row>
    <row r="26" spans="1:6">
      <c r="A26" s="87" t="s">
        <v>244</v>
      </c>
      <c r="B26" s="94" t="s">
        <v>2283</v>
      </c>
      <c r="C26" s="101"/>
      <c r="D26" s="92">
        <v>9.6000000000000002E-2</v>
      </c>
      <c r="E26" s="92">
        <v>9.2999999999999999E-2</v>
      </c>
      <c r="F26" s="100"/>
    </row>
    <row r="27" spans="1:6">
      <c r="A27" s="87" t="s">
        <v>244</v>
      </c>
      <c r="B27" s="94" t="s">
        <v>2293</v>
      </c>
      <c r="C27" s="101"/>
      <c r="D27" s="92">
        <v>7.5999999999999998E-2</v>
      </c>
      <c r="E27" s="92">
        <v>9.1999999999999998E-2</v>
      </c>
      <c r="F27" s="100"/>
    </row>
    <row r="28" spans="1:6">
      <c r="A28" s="95" t="s">
        <v>244</v>
      </c>
      <c r="B28" s="96" t="s">
        <v>2303</v>
      </c>
      <c r="C28" s="98"/>
      <c r="D28" s="97">
        <v>7.5999999999999998E-2</v>
      </c>
      <c r="E28" s="97">
        <v>9.1999999999999998E-2</v>
      </c>
      <c r="F28" s="99"/>
    </row>
    <row r="29" spans="1:6">
      <c r="A29" s="87" t="s">
        <v>254</v>
      </c>
      <c r="B29" s="88" t="s">
        <v>2110</v>
      </c>
      <c r="C29" s="89">
        <v>6.4000000000000001E-2</v>
      </c>
      <c r="D29" s="89">
        <v>6.5000000000000002E-2</v>
      </c>
      <c r="E29" s="89">
        <v>6.9000000000000006E-2</v>
      </c>
      <c r="F29" s="90">
        <v>0.1</v>
      </c>
    </row>
    <row r="30" spans="1:6">
      <c r="A30" s="87" t="s">
        <v>254</v>
      </c>
      <c r="B30" s="94" t="s">
        <v>2123</v>
      </c>
      <c r="C30" s="92">
        <v>6.4000000000000001E-2</v>
      </c>
      <c r="D30" s="92">
        <v>9.9000000000000005E-2</v>
      </c>
      <c r="E30" s="92">
        <v>0.1</v>
      </c>
      <c r="F30" s="93">
        <v>0.1</v>
      </c>
    </row>
    <row r="31" spans="1:6">
      <c r="A31" s="87" t="s">
        <v>254</v>
      </c>
      <c r="B31" s="94" t="s">
        <v>2137</v>
      </c>
      <c r="C31" s="92">
        <v>0.1</v>
      </c>
      <c r="D31" s="92">
        <v>9.5000000000000001E-2</v>
      </c>
      <c r="E31" s="92">
        <v>8.8999999999999996E-2</v>
      </c>
      <c r="F31" s="93">
        <v>0.1</v>
      </c>
    </row>
    <row r="32" spans="1:6">
      <c r="A32" s="87" t="s">
        <v>254</v>
      </c>
      <c r="B32" s="94" t="s">
        <v>2149</v>
      </c>
      <c r="C32" s="92">
        <v>0.05</v>
      </c>
      <c r="D32" s="92">
        <v>0.05</v>
      </c>
      <c r="E32" s="92">
        <v>8.7999999999999995E-2</v>
      </c>
      <c r="F32" s="93">
        <v>0.1</v>
      </c>
    </row>
    <row r="33" spans="1:6">
      <c r="A33" s="87" t="s">
        <v>254</v>
      </c>
      <c r="B33" s="94" t="s">
        <v>2161</v>
      </c>
      <c r="C33" s="92">
        <v>7.4999999999999997E-2</v>
      </c>
      <c r="D33" s="92">
        <v>9.4E-2</v>
      </c>
      <c r="E33" s="92">
        <v>9.7000000000000003E-2</v>
      </c>
      <c r="F33" s="93">
        <v>0.1</v>
      </c>
    </row>
    <row r="34" spans="1:6">
      <c r="A34" s="87" t="s">
        <v>254</v>
      </c>
      <c r="B34" s="94" t="s">
        <v>2172</v>
      </c>
      <c r="C34" s="92">
        <v>9.8000000000000004E-2</v>
      </c>
      <c r="D34" s="92">
        <v>8.5999999999999993E-2</v>
      </c>
      <c r="E34" s="92">
        <v>9.7000000000000003E-2</v>
      </c>
      <c r="F34" s="93">
        <v>0.1</v>
      </c>
    </row>
    <row r="35" spans="1:6">
      <c r="A35" s="87" t="s">
        <v>254</v>
      </c>
      <c r="B35" s="94" t="s">
        <v>2183</v>
      </c>
      <c r="C35" s="92">
        <v>5.8999999999999997E-2</v>
      </c>
      <c r="D35" s="92">
        <v>6.5000000000000002E-2</v>
      </c>
      <c r="E35" s="92">
        <v>7.0000000000000007E-2</v>
      </c>
      <c r="F35" s="93">
        <v>0.1</v>
      </c>
    </row>
    <row r="36" spans="1:6">
      <c r="A36" s="87" t="s">
        <v>254</v>
      </c>
      <c r="B36" s="94" t="s">
        <v>2194</v>
      </c>
      <c r="C36" s="92">
        <v>6.3E-2</v>
      </c>
      <c r="D36" s="92">
        <v>0.1</v>
      </c>
      <c r="E36" s="92">
        <v>0.1</v>
      </c>
      <c r="F36" s="93">
        <v>0.1</v>
      </c>
    </row>
    <row r="37" spans="1:6">
      <c r="A37" s="87" t="s">
        <v>254</v>
      </c>
      <c r="B37" s="94" t="s">
        <v>2204</v>
      </c>
      <c r="C37" s="92">
        <v>7.3999999999999996E-2</v>
      </c>
      <c r="D37" s="92">
        <v>0.1</v>
      </c>
      <c r="E37" s="92">
        <v>0.1</v>
      </c>
      <c r="F37" s="93">
        <v>0.1</v>
      </c>
    </row>
    <row r="38" spans="1:6">
      <c r="A38" s="87" t="s">
        <v>254</v>
      </c>
      <c r="B38" s="94" t="s">
        <v>2214</v>
      </c>
      <c r="C38" s="92">
        <v>0.1</v>
      </c>
      <c r="D38" s="92">
        <v>9.6000000000000002E-2</v>
      </c>
      <c r="E38" s="92">
        <v>9.6000000000000002E-2</v>
      </c>
      <c r="F38" s="100"/>
    </row>
    <row r="39" spans="1:6">
      <c r="A39" s="87" t="s">
        <v>254</v>
      </c>
      <c r="B39" s="94" t="s">
        <v>2224</v>
      </c>
      <c r="C39" s="92">
        <v>0.1</v>
      </c>
      <c r="D39" s="92">
        <v>9.6000000000000002E-2</v>
      </c>
      <c r="E39" s="92">
        <v>9.6000000000000002E-2</v>
      </c>
      <c r="F39" s="100"/>
    </row>
    <row r="40" spans="1:6">
      <c r="A40" s="87" t="s">
        <v>254</v>
      </c>
      <c r="B40" s="94" t="s">
        <v>2234</v>
      </c>
      <c r="C40" s="92">
        <v>9.6000000000000002E-2</v>
      </c>
      <c r="D40" s="92">
        <v>0.1</v>
      </c>
      <c r="E40" s="92">
        <v>9.9000000000000005E-2</v>
      </c>
      <c r="F40" s="100"/>
    </row>
    <row r="41" spans="1:6">
      <c r="A41" s="87" t="s">
        <v>254</v>
      </c>
      <c r="B41" s="94" t="s">
        <v>2244</v>
      </c>
      <c r="C41" s="92">
        <v>9.6000000000000002E-2</v>
      </c>
      <c r="D41" s="92">
        <v>9.8000000000000004E-2</v>
      </c>
      <c r="E41" s="92">
        <v>9.8000000000000004E-2</v>
      </c>
      <c r="F41" s="100"/>
    </row>
    <row r="42" spans="1:6">
      <c r="A42" s="87" t="s">
        <v>254</v>
      </c>
      <c r="B42" s="94" t="s">
        <v>2254</v>
      </c>
      <c r="C42" s="92">
        <v>0.1</v>
      </c>
      <c r="D42" s="92">
        <v>8.7999999999999995E-2</v>
      </c>
      <c r="E42" s="92">
        <v>0.1</v>
      </c>
      <c r="F42" s="100"/>
    </row>
    <row r="43" spans="1:6">
      <c r="A43" s="87" t="s">
        <v>254</v>
      </c>
      <c r="B43" s="94" t="s">
        <v>2264</v>
      </c>
      <c r="C43" s="92">
        <v>9.8000000000000004E-2</v>
      </c>
      <c r="D43" s="92">
        <v>9.7000000000000003E-2</v>
      </c>
      <c r="E43" s="92">
        <v>9.6000000000000002E-2</v>
      </c>
      <c r="F43" s="100"/>
    </row>
    <row r="44" spans="1:6">
      <c r="A44" s="87" t="s">
        <v>254</v>
      </c>
      <c r="B44" s="94" t="s">
        <v>2274</v>
      </c>
      <c r="C44" s="92">
        <v>8.5999999999999993E-2</v>
      </c>
      <c r="D44" s="92">
        <v>7.9000000000000001E-2</v>
      </c>
      <c r="E44" s="92">
        <v>7.0999999999999994E-2</v>
      </c>
      <c r="F44" s="100"/>
    </row>
    <row r="45" spans="1:6">
      <c r="A45" s="87" t="s">
        <v>254</v>
      </c>
      <c r="B45" s="94" t="s">
        <v>2284</v>
      </c>
      <c r="C45" s="92">
        <v>9.8000000000000004E-2</v>
      </c>
      <c r="D45" s="92">
        <v>9.6000000000000002E-2</v>
      </c>
      <c r="E45" s="92">
        <v>9.6000000000000002E-2</v>
      </c>
      <c r="F45" s="100"/>
    </row>
    <row r="46" spans="1:6">
      <c r="A46" s="87" t="s">
        <v>254</v>
      </c>
      <c r="B46" s="94" t="s">
        <v>2294</v>
      </c>
      <c r="C46" s="92">
        <v>8.5999999999999993E-2</v>
      </c>
      <c r="D46" s="92">
        <v>9.8000000000000004E-2</v>
      </c>
      <c r="E46" s="92">
        <v>8.7999999999999995E-2</v>
      </c>
      <c r="F46" s="100"/>
    </row>
    <row r="47" spans="1:6">
      <c r="A47" s="87" t="s">
        <v>254</v>
      </c>
      <c r="B47" s="94" t="s">
        <v>2304</v>
      </c>
      <c r="C47" s="92">
        <v>9.6000000000000002E-2</v>
      </c>
      <c r="D47" s="101"/>
      <c r="E47" s="92">
        <v>6.9000000000000006E-2</v>
      </c>
      <c r="F47" s="100"/>
    </row>
    <row r="48" spans="1:6">
      <c r="A48" s="95" t="s">
        <v>254</v>
      </c>
      <c r="B48" s="96" t="s">
        <v>2313</v>
      </c>
      <c r="C48" s="97">
        <v>9.8000000000000004E-2</v>
      </c>
      <c r="D48" s="98"/>
      <c r="E48" s="97">
        <v>9.5000000000000001E-2</v>
      </c>
      <c r="F48" s="99"/>
    </row>
    <row r="49" spans="1:6">
      <c r="A49" s="87" t="s">
        <v>262</v>
      </c>
      <c r="B49" s="88" t="s">
        <v>2111</v>
      </c>
      <c r="C49" s="89">
        <v>9.7000000000000003E-2</v>
      </c>
      <c r="D49" s="89">
        <v>9.5000000000000001E-2</v>
      </c>
      <c r="E49" s="89">
        <v>9.7000000000000003E-2</v>
      </c>
      <c r="F49" s="90">
        <v>0.1</v>
      </c>
    </row>
    <row r="50" spans="1:6">
      <c r="A50" s="87" t="s">
        <v>262</v>
      </c>
      <c r="B50" s="91" t="s">
        <v>2124</v>
      </c>
      <c r="C50" s="92">
        <v>7.4999999999999997E-2</v>
      </c>
      <c r="D50" s="92">
        <v>9.5000000000000001E-2</v>
      </c>
      <c r="E50" s="92">
        <v>0.1</v>
      </c>
      <c r="F50" s="93">
        <v>0.1</v>
      </c>
    </row>
    <row r="51" spans="1:6">
      <c r="A51" s="87" t="s">
        <v>262</v>
      </c>
      <c r="B51" s="91" t="s">
        <v>2138</v>
      </c>
      <c r="C51" s="92">
        <v>9.8000000000000004E-2</v>
      </c>
      <c r="D51" s="92">
        <v>8.8999999999999996E-2</v>
      </c>
      <c r="E51" s="92">
        <v>0.1</v>
      </c>
      <c r="F51" s="93">
        <v>0.1</v>
      </c>
    </row>
    <row r="52" spans="1:6">
      <c r="A52" s="87" t="s">
        <v>262</v>
      </c>
      <c r="B52" s="91" t="s">
        <v>2150</v>
      </c>
      <c r="C52" s="92">
        <v>9.8000000000000004E-2</v>
      </c>
      <c r="D52" s="92">
        <v>9.7000000000000003E-2</v>
      </c>
      <c r="E52" s="92">
        <v>8.1000000000000003E-2</v>
      </c>
      <c r="F52" s="93">
        <v>0.1</v>
      </c>
    </row>
    <row r="53" spans="1:6">
      <c r="A53" s="87" t="s">
        <v>262</v>
      </c>
      <c r="B53" s="91" t="s">
        <v>2162</v>
      </c>
      <c r="C53" s="92">
        <v>9.7000000000000003E-2</v>
      </c>
      <c r="D53" s="92">
        <v>7.5999999999999998E-2</v>
      </c>
      <c r="E53" s="92">
        <v>7.0999999999999994E-2</v>
      </c>
      <c r="F53" s="93">
        <v>0.1</v>
      </c>
    </row>
    <row r="54" spans="1:6">
      <c r="A54" s="87" t="s">
        <v>262</v>
      </c>
      <c r="B54" s="91" t="s">
        <v>2173</v>
      </c>
      <c r="C54" s="92">
        <v>7.5999999999999998E-2</v>
      </c>
      <c r="D54" s="92">
        <v>0.1</v>
      </c>
      <c r="E54" s="92">
        <v>9.9000000000000005E-2</v>
      </c>
      <c r="F54" s="93">
        <v>0.1</v>
      </c>
    </row>
    <row r="55" spans="1:6">
      <c r="A55" s="87" t="s">
        <v>262</v>
      </c>
      <c r="B55" s="91" t="s">
        <v>2184</v>
      </c>
      <c r="C55" s="92">
        <v>0.1</v>
      </c>
      <c r="D55" s="92">
        <v>0.1</v>
      </c>
      <c r="E55" s="92">
        <v>9.6000000000000002E-2</v>
      </c>
      <c r="F55" s="93">
        <v>0.1</v>
      </c>
    </row>
    <row r="56" spans="1:6">
      <c r="A56" s="87" t="s">
        <v>262</v>
      </c>
      <c r="B56" s="91" t="s">
        <v>2195</v>
      </c>
      <c r="C56" s="92">
        <v>0.1</v>
      </c>
      <c r="D56" s="92">
        <v>9.6000000000000002E-2</v>
      </c>
      <c r="E56" s="92">
        <v>5.1999999999999998E-2</v>
      </c>
      <c r="F56" s="93">
        <v>0.1</v>
      </c>
    </row>
    <row r="57" spans="1:6">
      <c r="A57" s="87" t="s">
        <v>262</v>
      </c>
      <c r="B57" s="91" t="s">
        <v>2205</v>
      </c>
      <c r="C57" s="92">
        <v>9.7000000000000003E-2</v>
      </c>
      <c r="D57" s="92">
        <v>9.6000000000000002E-2</v>
      </c>
      <c r="E57" s="92">
        <v>9.6000000000000002E-2</v>
      </c>
      <c r="F57" s="93">
        <v>0.1</v>
      </c>
    </row>
    <row r="58" spans="1:6">
      <c r="A58" s="87" t="s">
        <v>262</v>
      </c>
      <c r="B58" s="91" t="s">
        <v>2215</v>
      </c>
      <c r="C58" s="92">
        <v>9.6000000000000002E-2</v>
      </c>
      <c r="D58" s="92">
        <v>9.9000000000000005E-2</v>
      </c>
      <c r="E58" s="92">
        <v>9.6000000000000002E-2</v>
      </c>
      <c r="F58" s="93">
        <v>0.1</v>
      </c>
    </row>
    <row r="59" spans="1:6">
      <c r="A59" s="87" t="s">
        <v>262</v>
      </c>
      <c r="B59" s="91" t="s">
        <v>2225</v>
      </c>
      <c r="C59" s="92">
        <v>7.1999999999999995E-2</v>
      </c>
      <c r="D59" s="92">
        <v>9.6000000000000002E-2</v>
      </c>
      <c r="E59" s="92">
        <v>7.0999999999999994E-2</v>
      </c>
      <c r="F59" s="93">
        <v>0.1</v>
      </c>
    </row>
    <row r="60" spans="1:6">
      <c r="A60" s="87" t="s">
        <v>262</v>
      </c>
      <c r="B60" s="91" t="s">
        <v>2235</v>
      </c>
      <c r="C60" s="92">
        <v>9.6000000000000002E-2</v>
      </c>
      <c r="D60" s="92">
        <v>8.8999999999999996E-2</v>
      </c>
      <c r="E60" s="92">
        <v>9.6000000000000002E-2</v>
      </c>
      <c r="F60" s="93">
        <v>0.1</v>
      </c>
    </row>
    <row r="61" spans="1:6">
      <c r="A61" s="87" t="s">
        <v>262</v>
      </c>
      <c r="B61" s="91" t="s">
        <v>2245</v>
      </c>
      <c r="C61" s="92">
        <v>8.8999999999999996E-2</v>
      </c>
      <c r="D61" s="92">
        <v>9.8000000000000004E-2</v>
      </c>
      <c r="E61" s="92">
        <v>8.7999999999999995E-2</v>
      </c>
      <c r="F61" s="100"/>
    </row>
    <row r="62" spans="1:6">
      <c r="A62" s="87" t="s">
        <v>262</v>
      </c>
      <c r="B62" s="91" t="s">
        <v>2255</v>
      </c>
      <c r="C62" s="92">
        <v>9.8000000000000004E-2</v>
      </c>
      <c r="D62" s="92">
        <v>9.2999999999999999E-2</v>
      </c>
      <c r="E62" s="92">
        <v>9.7000000000000003E-2</v>
      </c>
      <c r="F62" s="100"/>
    </row>
    <row r="63" spans="1:6">
      <c r="A63" s="87" t="s">
        <v>262</v>
      </c>
      <c r="B63" s="91" t="s">
        <v>2265</v>
      </c>
      <c r="C63" s="92">
        <v>9.6000000000000002E-2</v>
      </c>
      <c r="D63" s="92">
        <v>9.8000000000000004E-2</v>
      </c>
      <c r="E63" s="92">
        <v>0.09</v>
      </c>
      <c r="F63" s="100"/>
    </row>
    <row r="64" spans="1:6">
      <c r="A64" s="87" t="s">
        <v>262</v>
      </c>
      <c r="B64" s="91" t="s">
        <v>2275</v>
      </c>
      <c r="C64" s="92">
        <v>9.9000000000000005E-2</v>
      </c>
      <c r="D64" s="92">
        <v>9.7000000000000003E-2</v>
      </c>
      <c r="E64" s="92">
        <v>9.9000000000000005E-2</v>
      </c>
      <c r="F64" s="100"/>
    </row>
    <row r="65" spans="1:6">
      <c r="A65" s="87" t="s">
        <v>262</v>
      </c>
      <c r="B65" s="91" t="s">
        <v>2285</v>
      </c>
      <c r="C65" s="92">
        <v>9.8000000000000004E-2</v>
      </c>
      <c r="D65" s="92">
        <v>9.6000000000000002E-2</v>
      </c>
      <c r="E65" s="92">
        <v>9.6000000000000002E-2</v>
      </c>
      <c r="F65" s="100"/>
    </row>
    <row r="66" spans="1:6">
      <c r="A66" s="87" t="s">
        <v>262</v>
      </c>
      <c r="B66" s="91" t="s">
        <v>2295</v>
      </c>
      <c r="C66" s="92">
        <v>9.6000000000000002E-2</v>
      </c>
      <c r="D66" s="92">
        <v>9.1999999999999998E-2</v>
      </c>
      <c r="E66" s="92">
        <v>9.6000000000000002E-2</v>
      </c>
      <c r="F66" s="100"/>
    </row>
    <row r="67" spans="1:6">
      <c r="A67" s="87" t="s">
        <v>262</v>
      </c>
      <c r="B67" s="91" t="s">
        <v>2305</v>
      </c>
      <c r="C67" s="92">
        <v>9.4E-2</v>
      </c>
      <c r="D67" s="92">
        <v>0.1</v>
      </c>
      <c r="E67" s="92">
        <v>8.7999999999999995E-2</v>
      </c>
      <c r="F67" s="100"/>
    </row>
    <row r="68" spans="1:6">
      <c r="A68" s="87" t="s">
        <v>262</v>
      </c>
      <c r="B68" s="91" t="s">
        <v>2314</v>
      </c>
      <c r="C68" s="92">
        <v>0.1</v>
      </c>
      <c r="D68" s="92">
        <v>8.7999999999999995E-2</v>
      </c>
      <c r="E68" s="92">
        <v>9.7000000000000003E-2</v>
      </c>
      <c r="F68" s="100"/>
    </row>
    <row r="69" spans="1:6">
      <c r="A69" s="87" t="s">
        <v>262</v>
      </c>
      <c r="B69" s="91" t="s">
        <v>2322</v>
      </c>
      <c r="C69" s="92">
        <v>6.4000000000000001E-2</v>
      </c>
      <c r="D69" s="92">
        <v>0.1</v>
      </c>
      <c r="E69" s="92">
        <v>0.1</v>
      </c>
      <c r="F69" s="100"/>
    </row>
    <row r="70" spans="1:6">
      <c r="A70" s="87" t="s">
        <v>262</v>
      </c>
      <c r="B70" s="91" t="s">
        <v>2330</v>
      </c>
      <c r="C70" s="92">
        <v>9.0999999999999998E-2</v>
      </c>
      <c r="D70" s="101"/>
      <c r="E70" s="101"/>
      <c r="F70" s="100"/>
    </row>
    <row r="71" spans="1:6">
      <c r="A71" s="87" t="s">
        <v>262</v>
      </c>
      <c r="B71" s="91" t="s">
        <v>2337</v>
      </c>
      <c r="C71" s="92">
        <v>0.1</v>
      </c>
      <c r="D71" s="101"/>
      <c r="E71" s="101"/>
      <c r="F71" s="100"/>
    </row>
    <row r="72" spans="1:6">
      <c r="A72" s="87" t="s">
        <v>262</v>
      </c>
      <c r="B72" s="91" t="s">
        <v>2344</v>
      </c>
      <c r="C72" s="101"/>
      <c r="D72" s="101"/>
      <c r="E72" s="101"/>
      <c r="F72" s="93">
        <v>0.05</v>
      </c>
    </row>
    <row r="73" spans="1:6">
      <c r="A73" s="87" t="s">
        <v>262</v>
      </c>
      <c r="B73" s="91" t="s">
        <v>2351</v>
      </c>
      <c r="C73" s="101"/>
      <c r="D73" s="101"/>
      <c r="E73" s="101"/>
      <c r="F73" s="93">
        <v>0.05</v>
      </c>
    </row>
    <row r="74" spans="1:6">
      <c r="A74" s="87" t="s">
        <v>262</v>
      </c>
      <c r="B74" s="91" t="s">
        <v>2358</v>
      </c>
      <c r="C74" s="101"/>
      <c r="D74" s="101"/>
      <c r="E74" s="101"/>
      <c r="F74" s="93">
        <v>0.05</v>
      </c>
    </row>
    <row r="75" spans="1:6">
      <c r="A75" s="95" t="s">
        <v>262</v>
      </c>
      <c r="B75" s="102" t="s">
        <v>2365</v>
      </c>
      <c r="C75" s="98"/>
      <c r="D75" s="98"/>
      <c r="E75" s="98"/>
      <c r="F75" s="103">
        <v>0.05</v>
      </c>
    </row>
    <row r="76" spans="1:6">
      <c r="A76" s="87" t="s">
        <v>270</v>
      </c>
      <c r="B76" s="88" t="s">
        <v>2112</v>
      </c>
      <c r="C76" s="89">
        <v>0.1</v>
      </c>
      <c r="D76" s="89">
        <v>0.1</v>
      </c>
      <c r="E76" s="89">
        <v>0.1</v>
      </c>
      <c r="F76" s="90">
        <v>0.1</v>
      </c>
    </row>
    <row r="77" spans="1:6">
      <c r="A77" s="87" t="s">
        <v>270</v>
      </c>
      <c r="B77" s="91" t="s">
        <v>2125</v>
      </c>
      <c r="C77" s="92">
        <v>8.7999999999999995E-2</v>
      </c>
      <c r="D77" s="92">
        <v>8.6999999999999994E-2</v>
      </c>
      <c r="E77" s="92">
        <v>7.9000000000000001E-2</v>
      </c>
      <c r="F77" s="93">
        <v>0.1</v>
      </c>
    </row>
    <row r="78" spans="1:6">
      <c r="A78" s="87" t="s">
        <v>270</v>
      </c>
      <c r="B78" s="91" t="s">
        <v>2139</v>
      </c>
      <c r="C78" s="92">
        <v>8.6999999999999994E-2</v>
      </c>
      <c r="D78" s="92">
        <v>8.4000000000000005E-2</v>
      </c>
      <c r="E78" s="92">
        <v>9.6000000000000002E-2</v>
      </c>
      <c r="F78" s="93">
        <v>0.1</v>
      </c>
    </row>
    <row r="79" spans="1:6">
      <c r="A79" s="87" t="s">
        <v>270</v>
      </c>
      <c r="B79" s="91" t="s">
        <v>2151</v>
      </c>
      <c r="C79" s="92">
        <v>9.8000000000000004E-2</v>
      </c>
      <c r="D79" s="92">
        <v>9.8000000000000004E-2</v>
      </c>
      <c r="E79" s="92">
        <v>9.0999999999999998E-2</v>
      </c>
      <c r="F79" s="93">
        <v>0.1</v>
      </c>
    </row>
    <row r="80" spans="1:6">
      <c r="A80" s="87" t="s">
        <v>270</v>
      </c>
      <c r="B80" s="91" t="s">
        <v>2163</v>
      </c>
      <c r="C80" s="92">
        <v>9.6000000000000002E-2</v>
      </c>
      <c r="D80" s="92">
        <v>9.6000000000000002E-2</v>
      </c>
      <c r="E80" s="92">
        <v>0.1</v>
      </c>
      <c r="F80" s="93">
        <v>0.1</v>
      </c>
    </row>
    <row r="81" spans="1:6">
      <c r="A81" s="87" t="s">
        <v>270</v>
      </c>
      <c r="B81" s="91" t="s">
        <v>2174</v>
      </c>
      <c r="C81" s="92">
        <v>9.9000000000000005E-2</v>
      </c>
      <c r="D81" s="92">
        <v>9.9000000000000005E-2</v>
      </c>
      <c r="E81" s="92">
        <v>9.8000000000000004E-2</v>
      </c>
      <c r="F81" s="93">
        <v>0.1</v>
      </c>
    </row>
    <row r="82" spans="1:6">
      <c r="A82" s="87" t="s">
        <v>270</v>
      </c>
      <c r="B82" s="91" t="s">
        <v>2185</v>
      </c>
      <c r="C82" s="92">
        <v>9.9000000000000005E-2</v>
      </c>
      <c r="D82" s="92">
        <v>9.9000000000000005E-2</v>
      </c>
      <c r="E82" s="92">
        <v>9.7000000000000003E-2</v>
      </c>
      <c r="F82" s="93">
        <v>0.1</v>
      </c>
    </row>
    <row r="83" spans="1:6">
      <c r="A83" s="87" t="s">
        <v>270</v>
      </c>
      <c r="B83" s="91" t="s">
        <v>2196</v>
      </c>
      <c r="C83" s="92">
        <v>9.8000000000000004E-2</v>
      </c>
      <c r="D83" s="92">
        <v>9.8000000000000004E-2</v>
      </c>
      <c r="E83" s="92">
        <v>9.8000000000000004E-2</v>
      </c>
      <c r="F83" s="93">
        <v>0.1</v>
      </c>
    </row>
    <row r="84" spans="1:6">
      <c r="A84" s="87" t="s">
        <v>270</v>
      </c>
      <c r="B84" s="91" t="s">
        <v>2206</v>
      </c>
      <c r="C84" s="92">
        <v>9.9000000000000005E-2</v>
      </c>
      <c r="D84" s="92">
        <v>9.9000000000000005E-2</v>
      </c>
      <c r="E84" s="92">
        <v>9.9000000000000005E-2</v>
      </c>
      <c r="F84" s="93">
        <v>0.1</v>
      </c>
    </row>
    <row r="85" spans="1:6">
      <c r="A85" s="87" t="s">
        <v>270</v>
      </c>
      <c r="B85" s="91" t="s">
        <v>2216</v>
      </c>
      <c r="C85" s="92">
        <v>9.9000000000000005E-2</v>
      </c>
      <c r="D85" s="92">
        <v>9.9000000000000005E-2</v>
      </c>
      <c r="E85" s="92">
        <v>9.9000000000000005E-2</v>
      </c>
      <c r="F85" s="93">
        <v>0.1</v>
      </c>
    </row>
    <row r="86" spans="1:6">
      <c r="A86" s="87" t="s">
        <v>270</v>
      </c>
      <c r="B86" s="91" t="s">
        <v>2226</v>
      </c>
      <c r="C86" s="92">
        <v>0.1</v>
      </c>
      <c r="D86" s="92">
        <v>0.1</v>
      </c>
      <c r="E86" s="92">
        <v>7.6999999999999999E-2</v>
      </c>
      <c r="F86" s="93">
        <v>0.1</v>
      </c>
    </row>
    <row r="87" spans="1:6">
      <c r="A87" s="87" t="s">
        <v>270</v>
      </c>
      <c r="B87" s="91" t="s">
        <v>2236</v>
      </c>
      <c r="C87" s="92">
        <v>0.1</v>
      </c>
      <c r="D87" s="92">
        <v>0.1</v>
      </c>
      <c r="E87" s="92">
        <v>9.8000000000000004E-2</v>
      </c>
      <c r="F87" s="100"/>
    </row>
    <row r="88" spans="1:6">
      <c r="A88" s="87" t="s">
        <v>270</v>
      </c>
      <c r="B88" s="91" t="s">
        <v>2246</v>
      </c>
      <c r="C88" s="92">
        <v>9.1999999999999998E-2</v>
      </c>
      <c r="D88" s="92">
        <v>8.5000000000000006E-2</v>
      </c>
      <c r="E88" s="92">
        <v>9.6000000000000002E-2</v>
      </c>
      <c r="F88" s="100"/>
    </row>
    <row r="89" spans="1:6">
      <c r="A89" s="87" t="s">
        <v>270</v>
      </c>
      <c r="B89" s="91" t="s">
        <v>2256</v>
      </c>
      <c r="C89" s="92">
        <v>0.1</v>
      </c>
      <c r="D89" s="92">
        <v>0.1</v>
      </c>
      <c r="E89" s="92">
        <v>9.7000000000000003E-2</v>
      </c>
      <c r="F89" s="100"/>
    </row>
    <row r="90" spans="1:6">
      <c r="A90" s="87" t="s">
        <v>270</v>
      </c>
      <c r="B90" s="91" t="s">
        <v>2266</v>
      </c>
      <c r="C90" s="92">
        <v>9.8000000000000004E-2</v>
      </c>
      <c r="D90" s="92">
        <v>9.8000000000000004E-2</v>
      </c>
      <c r="E90" s="92">
        <v>8.7999999999999995E-2</v>
      </c>
      <c r="F90" s="100"/>
    </row>
    <row r="91" spans="1:6">
      <c r="A91" s="87" t="s">
        <v>270</v>
      </c>
      <c r="B91" s="91" t="s">
        <v>2276</v>
      </c>
      <c r="C91" s="92">
        <v>9.9000000000000005E-2</v>
      </c>
      <c r="D91" s="92">
        <v>9.9000000000000005E-2</v>
      </c>
      <c r="E91" s="92">
        <v>9.0999999999999998E-2</v>
      </c>
      <c r="F91" s="100"/>
    </row>
    <row r="92" spans="1:6">
      <c r="A92" s="87" t="s">
        <v>270</v>
      </c>
      <c r="B92" s="91" t="s">
        <v>2286</v>
      </c>
      <c r="C92" s="92">
        <v>9.6000000000000002E-2</v>
      </c>
      <c r="D92" s="92">
        <v>9.6000000000000002E-2</v>
      </c>
      <c r="E92" s="92">
        <v>7.2999999999999995E-2</v>
      </c>
      <c r="F92" s="100"/>
    </row>
    <row r="93" spans="1:6">
      <c r="A93" s="87" t="s">
        <v>270</v>
      </c>
      <c r="B93" s="91" t="s">
        <v>2296</v>
      </c>
      <c r="C93" s="92">
        <v>9.6000000000000002E-2</v>
      </c>
      <c r="D93" s="92">
        <v>9.6000000000000002E-2</v>
      </c>
      <c r="E93" s="92">
        <v>9.9000000000000005E-2</v>
      </c>
      <c r="F93" s="100"/>
    </row>
    <row r="94" spans="1:6">
      <c r="A94" s="87" t="s">
        <v>270</v>
      </c>
      <c r="B94" s="91" t="s">
        <v>2306</v>
      </c>
      <c r="C94" s="92">
        <v>7.5999999999999998E-2</v>
      </c>
      <c r="D94" s="92">
        <v>7.3999999999999996E-2</v>
      </c>
      <c r="E94" s="92">
        <v>9.7000000000000003E-2</v>
      </c>
      <c r="F94" s="100"/>
    </row>
    <row r="95" spans="1:6">
      <c r="A95" s="87" t="s">
        <v>270</v>
      </c>
      <c r="B95" s="91" t="s">
        <v>2315</v>
      </c>
      <c r="C95" s="92">
        <v>9.9000000000000005E-2</v>
      </c>
      <c r="D95" s="92">
        <v>9.4E-2</v>
      </c>
      <c r="E95" s="92">
        <v>9.6000000000000002E-2</v>
      </c>
      <c r="F95" s="100"/>
    </row>
    <row r="96" spans="1:6">
      <c r="A96" s="87" t="s">
        <v>270</v>
      </c>
      <c r="B96" s="91" t="s">
        <v>2323</v>
      </c>
      <c r="C96" s="92">
        <v>9.9000000000000005E-2</v>
      </c>
      <c r="D96" s="92">
        <v>9.9000000000000005E-2</v>
      </c>
      <c r="E96" s="92">
        <v>9.9000000000000005E-2</v>
      </c>
      <c r="F96" s="100"/>
    </row>
    <row r="97" spans="1:6">
      <c r="A97" s="87" t="s">
        <v>270</v>
      </c>
      <c r="B97" s="91" t="s">
        <v>2331</v>
      </c>
      <c r="C97" s="92">
        <v>9.8000000000000004E-2</v>
      </c>
      <c r="D97" s="92">
        <v>9.8000000000000004E-2</v>
      </c>
      <c r="E97" s="92">
        <v>9.7000000000000003E-2</v>
      </c>
      <c r="F97" s="100"/>
    </row>
    <row r="98" spans="1:6">
      <c r="A98" s="87" t="s">
        <v>270</v>
      </c>
      <c r="B98" s="91" t="s">
        <v>2338</v>
      </c>
      <c r="C98" s="92">
        <v>0.1</v>
      </c>
      <c r="D98" s="92">
        <v>0.1</v>
      </c>
      <c r="E98" s="92">
        <v>9.7000000000000003E-2</v>
      </c>
      <c r="F98" s="100"/>
    </row>
    <row r="99" spans="1:6">
      <c r="A99" s="87" t="s">
        <v>270</v>
      </c>
      <c r="B99" s="91" t="s">
        <v>2345</v>
      </c>
      <c r="C99" s="92">
        <v>0.1</v>
      </c>
      <c r="D99" s="92">
        <v>0.1</v>
      </c>
      <c r="E99" s="101"/>
      <c r="F99" s="100"/>
    </row>
    <row r="100" spans="1:6">
      <c r="A100" s="87" t="s">
        <v>270</v>
      </c>
      <c r="B100" s="91" t="s">
        <v>2352</v>
      </c>
      <c r="C100" s="92">
        <v>0.09</v>
      </c>
      <c r="D100" s="92">
        <v>8.8999999999999996E-2</v>
      </c>
      <c r="E100" s="101"/>
      <c r="F100" s="100"/>
    </row>
    <row r="101" spans="1:6">
      <c r="A101" s="87" t="s">
        <v>270</v>
      </c>
      <c r="B101" s="91" t="s">
        <v>2359</v>
      </c>
      <c r="C101" s="92">
        <v>9.8000000000000004E-2</v>
      </c>
      <c r="D101" s="92">
        <v>9.7000000000000003E-2</v>
      </c>
      <c r="E101" s="101"/>
      <c r="F101" s="100"/>
    </row>
    <row r="102" spans="1:6">
      <c r="A102" s="87" t="s">
        <v>270</v>
      </c>
      <c r="B102" s="91" t="s">
        <v>2366</v>
      </c>
      <c r="C102" s="101"/>
      <c r="D102" s="101"/>
      <c r="E102" s="101"/>
      <c r="F102" s="93">
        <v>0.05</v>
      </c>
    </row>
    <row r="103" spans="1:6" ht="24">
      <c r="A103" s="87" t="s">
        <v>270</v>
      </c>
      <c r="B103" s="91" t="s">
        <v>2371</v>
      </c>
      <c r="C103" s="101"/>
      <c r="D103" s="101"/>
      <c r="E103" s="101"/>
      <c r="F103" s="93">
        <v>0.05</v>
      </c>
    </row>
    <row r="104" spans="1:6">
      <c r="A104" s="87" t="s">
        <v>270</v>
      </c>
      <c r="B104" s="91" t="s">
        <v>2376</v>
      </c>
      <c r="C104" s="101"/>
      <c r="D104" s="101"/>
      <c r="E104" s="101"/>
      <c r="F104" s="93">
        <v>0.05</v>
      </c>
    </row>
    <row r="105" spans="1:6">
      <c r="A105" s="87" t="s">
        <v>270</v>
      </c>
      <c r="B105" s="91" t="s">
        <v>2381</v>
      </c>
      <c r="C105" s="101"/>
      <c r="D105" s="101"/>
      <c r="E105" s="101"/>
      <c r="F105" s="93">
        <v>0.05</v>
      </c>
    </row>
    <row r="106" spans="1:6">
      <c r="A106" s="87" t="s">
        <v>270</v>
      </c>
      <c r="B106" s="91" t="s">
        <v>2386</v>
      </c>
      <c r="C106" s="101"/>
      <c r="D106" s="101"/>
      <c r="E106" s="101"/>
      <c r="F106" s="93">
        <v>0.05</v>
      </c>
    </row>
    <row r="107" spans="1:6" ht="24">
      <c r="A107" s="87" t="s">
        <v>270</v>
      </c>
      <c r="B107" s="91" t="s">
        <v>2391</v>
      </c>
      <c r="C107" s="101"/>
      <c r="D107" s="101"/>
      <c r="E107" s="101"/>
      <c r="F107" s="93">
        <v>0.05</v>
      </c>
    </row>
    <row r="108" spans="1:6" ht="24">
      <c r="A108" s="87" t="s">
        <v>270</v>
      </c>
      <c r="B108" s="91" t="s">
        <v>2396</v>
      </c>
      <c r="C108" s="101"/>
      <c r="D108" s="101"/>
      <c r="E108" s="101"/>
      <c r="F108" s="93">
        <v>0.05</v>
      </c>
    </row>
    <row r="109" spans="1:6" ht="24">
      <c r="A109" s="95" t="s">
        <v>270</v>
      </c>
      <c r="B109" s="102" t="s">
        <v>2401</v>
      </c>
      <c r="C109" s="98"/>
      <c r="D109" s="98"/>
      <c r="E109" s="98"/>
      <c r="F109" s="103">
        <v>0.05</v>
      </c>
    </row>
    <row r="110" spans="1:6">
      <c r="A110" s="87" t="s">
        <v>276</v>
      </c>
      <c r="B110" s="88" t="s">
        <v>2113</v>
      </c>
      <c r="C110" s="89">
        <v>0.129</v>
      </c>
      <c r="D110" s="89">
        <v>0.129</v>
      </c>
      <c r="E110" s="89">
        <v>0.126</v>
      </c>
      <c r="F110" s="90">
        <v>0.13</v>
      </c>
    </row>
    <row r="111" spans="1:6">
      <c r="A111" s="87" t="s">
        <v>276</v>
      </c>
      <c r="B111" s="91" t="s">
        <v>2126</v>
      </c>
      <c r="C111" s="92">
        <v>0.11</v>
      </c>
      <c r="D111" s="92">
        <v>0.11</v>
      </c>
      <c r="E111" s="92">
        <v>9.9000000000000005E-2</v>
      </c>
      <c r="F111" s="93">
        <v>0.128</v>
      </c>
    </row>
    <row r="112" spans="1:6">
      <c r="A112" s="87" t="s">
        <v>276</v>
      </c>
      <c r="B112" s="91" t="s">
        <v>2140</v>
      </c>
      <c r="C112" s="92">
        <v>0.125</v>
      </c>
      <c r="D112" s="92">
        <v>0.125</v>
      </c>
      <c r="E112" s="92">
        <v>0.12</v>
      </c>
      <c r="F112" s="93">
        <v>0.125</v>
      </c>
    </row>
    <row r="113" spans="1:6">
      <c r="A113" s="87" t="s">
        <v>276</v>
      </c>
      <c r="B113" s="91" t="s">
        <v>2152</v>
      </c>
      <c r="C113" s="92">
        <v>0.13</v>
      </c>
      <c r="D113" s="92">
        <v>0.13</v>
      </c>
      <c r="E113" s="92">
        <v>0.13</v>
      </c>
      <c r="F113" s="93">
        <v>0.13</v>
      </c>
    </row>
    <row r="114" spans="1:6">
      <c r="A114" s="87" t="s">
        <v>276</v>
      </c>
      <c r="B114" s="91" t="s">
        <v>2164</v>
      </c>
      <c r="C114" s="92">
        <v>0.123</v>
      </c>
      <c r="D114" s="92">
        <v>0.123</v>
      </c>
      <c r="E114" s="92">
        <v>0.12</v>
      </c>
      <c r="F114" s="93">
        <v>0.13</v>
      </c>
    </row>
    <row r="115" spans="1:6">
      <c r="A115" s="87" t="s">
        <v>276</v>
      </c>
      <c r="B115" s="91" t="s">
        <v>2175</v>
      </c>
      <c r="C115" s="92">
        <v>0.125</v>
      </c>
      <c r="D115" s="92">
        <v>0.125</v>
      </c>
      <c r="E115" s="92">
        <v>0.11700000000000001</v>
      </c>
      <c r="F115" s="93">
        <v>0.13</v>
      </c>
    </row>
    <row r="116" spans="1:6">
      <c r="A116" s="87" t="s">
        <v>276</v>
      </c>
      <c r="B116" s="91" t="s">
        <v>2186</v>
      </c>
      <c r="C116" s="92">
        <v>0.11700000000000001</v>
      </c>
      <c r="D116" s="92">
        <v>0.11700000000000001</v>
      </c>
      <c r="E116" s="92">
        <v>8.7999999999999995E-2</v>
      </c>
      <c r="F116" s="93">
        <v>0.13</v>
      </c>
    </row>
    <row r="117" spans="1:6">
      <c r="A117" s="87" t="s">
        <v>276</v>
      </c>
      <c r="B117" s="91" t="s">
        <v>2197</v>
      </c>
      <c r="C117" s="92">
        <v>0.13</v>
      </c>
      <c r="D117" s="92">
        <v>0.13</v>
      </c>
      <c r="E117" s="92">
        <v>0.129</v>
      </c>
      <c r="F117" s="93">
        <v>0.13</v>
      </c>
    </row>
    <row r="118" spans="1:6">
      <c r="A118" s="87" t="s">
        <v>276</v>
      </c>
      <c r="B118" s="91" t="s">
        <v>2207</v>
      </c>
      <c r="C118" s="92">
        <v>0.123</v>
      </c>
      <c r="D118" s="92">
        <v>0.123</v>
      </c>
      <c r="E118" s="92">
        <v>0.11600000000000001</v>
      </c>
      <c r="F118" s="93">
        <v>0.13</v>
      </c>
    </row>
    <row r="119" spans="1:6">
      <c r="A119" s="87" t="s">
        <v>276</v>
      </c>
      <c r="B119" s="91" t="s">
        <v>2217</v>
      </c>
      <c r="C119" s="92">
        <v>0.127</v>
      </c>
      <c r="D119" s="92">
        <v>0.127</v>
      </c>
      <c r="E119" s="92">
        <v>0.124</v>
      </c>
      <c r="F119" s="93">
        <v>0.13</v>
      </c>
    </row>
    <row r="120" spans="1:6">
      <c r="A120" s="87" t="s">
        <v>276</v>
      </c>
      <c r="B120" s="91" t="s">
        <v>2227</v>
      </c>
      <c r="C120" s="92">
        <v>0.125</v>
      </c>
      <c r="D120" s="92">
        <v>0.125</v>
      </c>
      <c r="E120" s="92">
        <v>0.122</v>
      </c>
      <c r="F120" s="93">
        <v>0.13</v>
      </c>
    </row>
    <row r="121" spans="1:6">
      <c r="A121" s="87" t="s">
        <v>276</v>
      </c>
      <c r="B121" s="91" t="s">
        <v>2237</v>
      </c>
      <c r="C121" s="92">
        <v>0.13</v>
      </c>
      <c r="D121" s="92">
        <v>0.13</v>
      </c>
      <c r="E121" s="92">
        <v>0.13</v>
      </c>
      <c r="F121" s="93">
        <v>0.13</v>
      </c>
    </row>
    <row r="122" spans="1:6">
      <c r="A122" s="87" t="s">
        <v>276</v>
      </c>
      <c r="B122" s="91" t="s">
        <v>2247</v>
      </c>
      <c r="C122" s="92">
        <v>0.13</v>
      </c>
      <c r="D122" s="92">
        <v>0.13</v>
      </c>
      <c r="E122" s="92">
        <v>0.125</v>
      </c>
      <c r="F122" s="93">
        <v>0.13</v>
      </c>
    </row>
    <row r="123" spans="1:6">
      <c r="A123" s="87" t="s">
        <v>276</v>
      </c>
      <c r="B123" s="91" t="s">
        <v>2257</v>
      </c>
      <c r="C123" s="92">
        <v>0.129</v>
      </c>
      <c r="D123" s="92">
        <v>0.129</v>
      </c>
      <c r="E123" s="92">
        <v>0.123</v>
      </c>
      <c r="F123" s="93">
        <v>0.13</v>
      </c>
    </row>
    <row r="124" spans="1:6">
      <c r="A124" s="87" t="s">
        <v>276</v>
      </c>
      <c r="B124" s="91" t="s">
        <v>2267</v>
      </c>
      <c r="C124" s="92">
        <v>0.10199999999999999</v>
      </c>
      <c r="D124" s="92">
        <v>0.10100000000000001</v>
      </c>
      <c r="E124" s="92">
        <v>0.08</v>
      </c>
      <c r="F124" s="100"/>
    </row>
    <row r="125" spans="1:6">
      <c r="A125" s="87" t="s">
        <v>276</v>
      </c>
      <c r="B125" s="91" t="s">
        <v>2277</v>
      </c>
      <c r="C125" s="92">
        <v>0.13</v>
      </c>
      <c r="D125" s="92">
        <v>0.13</v>
      </c>
      <c r="E125" s="92">
        <v>0.129</v>
      </c>
      <c r="F125" s="100"/>
    </row>
    <row r="126" spans="1:6">
      <c r="A126" s="87" t="s">
        <v>276</v>
      </c>
      <c r="B126" s="91" t="s">
        <v>2287</v>
      </c>
      <c r="C126" s="92">
        <v>0.13</v>
      </c>
      <c r="D126" s="92">
        <v>0.13</v>
      </c>
      <c r="E126" s="92">
        <v>0.126</v>
      </c>
      <c r="F126" s="100"/>
    </row>
    <row r="127" spans="1:6">
      <c r="A127" s="87" t="s">
        <v>276</v>
      </c>
      <c r="B127" s="91" t="s">
        <v>2297</v>
      </c>
      <c r="C127" s="92">
        <v>0.125</v>
      </c>
      <c r="D127" s="92">
        <v>0.125</v>
      </c>
      <c r="E127" s="92">
        <v>0.121</v>
      </c>
      <c r="F127" s="100"/>
    </row>
    <row r="128" spans="1:6">
      <c r="A128" s="87" t="s">
        <v>276</v>
      </c>
      <c r="B128" s="91" t="s">
        <v>2307</v>
      </c>
      <c r="C128" s="92">
        <v>0.12</v>
      </c>
      <c r="D128" s="92">
        <v>0.12</v>
      </c>
      <c r="E128" s="92">
        <v>0.105</v>
      </c>
      <c r="F128" s="100"/>
    </row>
    <row r="129" spans="1:6">
      <c r="A129" s="87" t="s">
        <v>276</v>
      </c>
      <c r="B129" s="91" t="s">
        <v>2316</v>
      </c>
      <c r="C129" s="92">
        <v>0.13</v>
      </c>
      <c r="D129" s="92">
        <v>0.13</v>
      </c>
      <c r="E129" s="92">
        <v>0.126</v>
      </c>
      <c r="F129" s="100"/>
    </row>
    <row r="130" spans="1:6">
      <c r="A130" s="87" t="s">
        <v>276</v>
      </c>
      <c r="B130" s="91" t="s">
        <v>2324</v>
      </c>
      <c r="C130" s="92">
        <v>0.125</v>
      </c>
      <c r="D130" s="92">
        <v>0.125</v>
      </c>
      <c r="E130" s="92">
        <v>0.122</v>
      </c>
      <c r="F130" s="100"/>
    </row>
    <row r="131" spans="1:6">
      <c r="A131" s="87" t="s">
        <v>276</v>
      </c>
      <c r="B131" s="91" t="s">
        <v>2332</v>
      </c>
      <c r="C131" s="92">
        <v>0.127</v>
      </c>
      <c r="D131" s="92">
        <v>0.126</v>
      </c>
      <c r="E131" s="92">
        <v>0.123</v>
      </c>
      <c r="F131" s="100"/>
    </row>
    <row r="132" spans="1:6">
      <c r="A132" s="87" t="s">
        <v>276</v>
      </c>
      <c r="B132" s="91" t="s">
        <v>2339</v>
      </c>
      <c r="C132" s="92">
        <v>9.0999999999999998E-2</v>
      </c>
      <c r="D132" s="92">
        <v>0.121</v>
      </c>
      <c r="E132" s="92">
        <v>9.9000000000000005E-2</v>
      </c>
      <c r="F132" s="100"/>
    </row>
    <row r="133" spans="1:6">
      <c r="A133" s="87" t="s">
        <v>276</v>
      </c>
      <c r="B133" s="91" t="s">
        <v>2346</v>
      </c>
      <c r="C133" s="92">
        <v>0.13</v>
      </c>
      <c r="D133" s="92">
        <v>0.13</v>
      </c>
      <c r="E133" s="92">
        <v>0.129</v>
      </c>
      <c r="F133" s="100"/>
    </row>
    <row r="134" spans="1:6">
      <c r="A134" s="87" t="s">
        <v>276</v>
      </c>
      <c r="B134" s="91" t="s">
        <v>2353</v>
      </c>
      <c r="C134" s="92">
        <v>6.8000000000000005E-2</v>
      </c>
      <c r="D134" s="92">
        <v>6.5000000000000002E-2</v>
      </c>
      <c r="E134" s="92">
        <v>6.5000000000000002E-2</v>
      </c>
      <c r="F134" s="93">
        <v>0.13</v>
      </c>
    </row>
    <row r="135" spans="1:6">
      <c r="A135" s="87" t="s">
        <v>276</v>
      </c>
      <c r="B135" s="91" t="s">
        <v>2360</v>
      </c>
      <c r="C135" s="92">
        <v>0.123</v>
      </c>
      <c r="D135" s="92">
        <v>0.123</v>
      </c>
      <c r="E135" s="92">
        <v>0.11</v>
      </c>
      <c r="F135" s="100"/>
    </row>
    <row r="136" spans="1:6">
      <c r="A136" s="87" t="s">
        <v>276</v>
      </c>
      <c r="B136" s="91" t="s">
        <v>2367</v>
      </c>
      <c r="C136" s="92">
        <v>0.13</v>
      </c>
      <c r="D136" s="92">
        <v>0.13</v>
      </c>
      <c r="E136" s="92">
        <v>0.125</v>
      </c>
      <c r="F136" s="100"/>
    </row>
    <row r="137" spans="1:6">
      <c r="A137" s="87" t="s">
        <v>276</v>
      </c>
      <c r="B137" s="91" t="s">
        <v>2372</v>
      </c>
      <c r="C137" s="92">
        <v>0.121</v>
      </c>
      <c r="D137" s="92">
        <v>0.122</v>
      </c>
      <c r="E137" s="92">
        <v>0.115</v>
      </c>
      <c r="F137" s="100"/>
    </row>
    <row r="138" spans="1:6">
      <c r="A138" s="87" t="s">
        <v>276</v>
      </c>
      <c r="B138" s="91" t="s">
        <v>2377</v>
      </c>
      <c r="C138" s="92">
        <v>0.105</v>
      </c>
      <c r="D138" s="92">
        <v>0.125</v>
      </c>
      <c r="E138" s="92">
        <v>0.112</v>
      </c>
      <c r="F138" s="100"/>
    </row>
    <row r="139" spans="1:6">
      <c r="A139" s="87" t="s">
        <v>276</v>
      </c>
      <c r="B139" s="91" t="s">
        <v>2382</v>
      </c>
      <c r="C139" s="92">
        <v>0.127</v>
      </c>
      <c r="D139" s="92">
        <v>0.127</v>
      </c>
      <c r="E139" s="92">
        <v>0.122</v>
      </c>
      <c r="F139" s="93">
        <v>0.13</v>
      </c>
    </row>
    <row r="140" spans="1:6">
      <c r="A140" s="87" t="s">
        <v>276</v>
      </c>
      <c r="B140" s="91" t="s">
        <v>2387</v>
      </c>
      <c r="C140" s="92">
        <v>0.125</v>
      </c>
      <c r="D140" s="92">
        <v>0.125</v>
      </c>
      <c r="E140" s="92">
        <v>0.11899999999999999</v>
      </c>
      <c r="F140" s="93">
        <v>0.13</v>
      </c>
    </row>
    <row r="141" spans="1:6">
      <c r="A141" s="87" t="s">
        <v>276</v>
      </c>
      <c r="B141" s="91" t="s">
        <v>2392</v>
      </c>
      <c r="C141" s="92">
        <v>0.125</v>
      </c>
      <c r="D141" s="92">
        <v>0.125</v>
      </c>
      <c r="E141" s="92">
        <v>0.11700000000000001</v>
      </c>
      <c r="F141" s="100"/>
    </row>
    <row r="142" spans="1:6">
      <c r="A142" s="87" t="s">
        <v>276</v>
      </c>
      <c r="B142" s="91" t="s">
        <v>2397</v>
      </c>
      <c r="C142" s="92">
        <v>0.125</v>
      </c>
      <c r="D142" s="92">
        <v>0.125</v>
      </c>
      <c r="E142" s="92">
        <v>0.115</v>
      </c>
      <c r="F142" s="100"/>
    </row>
    <row r="143" spans="1:6">
      <c r="A143" s="87" t="s">
        <v>276</v>
      </c>
      <c r="B143" s="91" t="s">
        <v>2402</v>
      </c>
      <c r="C143" s="92">
        <v>0.121</v>
      </c>
      <c r="D143" s="92">
        <v>0.121</v>
      </c>
      <c r="E143" s="92">
        <v>0.108</v>
      </c>
      <c r="F143" s="100"/>
    </row>
    <row r="144" spans="1:6">
      <c r="A144" s="87" t="s">
        <v>276</v>
      </c>
      <c r="B144" s="104" t="s">
        <v>2406</v>
      </c>
      <c r="C144" s="105">
        <v>0.126</v>
      </c>
      <c r="D144" s="105">
        <v>0.126</v>
      </c>
      <c r="E144" s="105">
        <v>0.121</v>
      </c>
      <c r="F144" s="100"/>
    </row>
    <row r="145" spans="1:6">
      <c r="A145" s="95" t="s">
        <v>276</v>
      </c>
      <c r="B145" s="106" t="s">
        <v>2410</v>
      </c>
      <c r="C145" s="107"/>
      <c r="D145" s="107"/>
      <c r="E145" s="107"/>
      <c r="F145" s="108">
        <v>0.05</v>
      </c>
    </row>
    <row r="146" spans="1:6" ht="24">
      <c r="A146" s="109" t="s">
        <v>276</v>
      </c>
      <c r="B146" s="94" t="s">
        <v>2414</v>
      </c>
      <c r="C146" s="101"/>
      <c r="D146" s="101"/>
      <c r="E146" s="101"/>
      <c r="F146" s="110">
        <v>0.05</v>
      </c>
    </row>
    <row r="147" spans="1:6" ht="24">
      <c r="A147" s="87" t="s">
        <v>276</v>
      </c>
      <c r="B147" s="91" t="s">
        <v>2418</v>
      </c>
      <c r="C147" s="101"/>
      <c r="D147" s="101"/>
      <c r="E147" s="101"/>
      <c r="F147" s="93">
        <v>0.05</v>
      </c>
    </row>
    <row r="148" spans="1:6" ht="24">
      <c r="A148" s="87" t="s">
        <v>276</v>
      </c>
      <c r="B148" s="91" t="s">
        <v>2422</v>
      </c>
      <c r="C148" s="101"/>
      <c r="D148" s="101"/>
      <c r="E148" s="101"/>
      <c r="F148" s="93">
        <v>0.05</v>
      </c>
    </row>
    <row r="149" spans="1:6" ht="24">
      <c r="A149" s="87" t="s">
        <v>276</v>
      </c>
      <c r="B149" s="91" t="s">
        <v>2426</v>
      </c>
      <c r="C149" s="101"/>
      <c r="D149" s="101"/>
      <c r="E149" s="101"/>
      <c r="F149" s="93">
        <v>0.05</v>
      </c>
    </row>
    <row r="150" spans="1:6" ht="24">
      <c r="A150" s="87" t="s">
        <v>276</v>
      </c>
      <c r="B150" s="91" t="s">
        <v>2429</v>
      </c>
      <c r="C150" s="101"/>
      <c r="D150" s="101"/>
      <c r="E150" s="101"/>
      <c r="F150" s="93">
        <v>0.05</v>
      </c>
    </row>
    <row r="151" spans="1:6" ht="24">
      <c r="A151" s="87" t="s">
        <v>276</v>
      </c>
      <c r="B151" s="91" t="s">
        <v>2432</v>
      </c>
      <c r="C151" s="101"/>
      <c r="D151" s="101"/>
      <c r="E151" s="101"/>
      <c r="F151" s="93">
        <v>0.05</v>
      </c>
    </row>
    <row r="152" spans="1:6" ht="24">
      <c r="A152" s="87" t="s">
        <v>276</v>
      </c>
      <c r="B152" s="91" t="s">
        <v>2435</v>
      </c>
      <c r="C152" s="101"/>
      <c r="D152" s="101"/>
      <c r="E152" s="101"/>
      <c r="F152" s="93">
        <v>0.05</v>
      </c>
    </row>
    <row r="153" spans="1:6">
      <c r="A153" s="87" t="s">
        <v>276</v>
      </c>
      <c r="B153" s="91" t="s">
        <v>2438</v>
      </c>
      <c r="C153" s="101"/>
      <c r="D153" s="101"/>
      <c r="E153" s="101"/>
      <c r="F153" s="93">
        <v>0.05</v>
      </c>
    </row>
    <row r="154" spans="1:6">
      <c r="A154" s="87" t="s">
        <v>276</v>
      </c>
      <c r="B154" s="91" t="s">
        <v>2441</v>
      </c>
      <c r="C154" s="101"/>
      <c r="D154" s="101"/>
      <c r="E154" s="101"/>
      <c r="F154" s="93">
        <v>0.05</v>
      </c>
    </row>
    <row r="155" spans="1:6" ht="24">
      <c r="A155" s="87" t="s">
        <v>276</v>
      </c>
      <c r="B155" s="91" t="s">
        <v>2444</v>
      </c>
      <c r="C155" s="101"/>
      <c r="D155" s="101"/>
      <c r="E155" s="101"/>
      <c r="F155" s="93">
        <v>0.05</v>
      </c>
    </row>
    <row r="156" spans="1:6" ht="24">
      <c r="A156" s="87" t="s">
        <v>276</v>
      </c>
      <c r="B156" s="91" t="s">
        <v>2446</v>
      </c>
      <c r="C156" s="101"/>
      <c r="D156" s="101"/>
      <c r="E156" s="101"/>
      <c r="F156" s="93">
        <v>0.05</v>
      </c>
    </row>
    <row r="157" spans="1:6">
      <c r="A157" s="95" t="s">
        <v>276</v>
      </c>
      <c r="B157" s="102" t="s">
        <v>2448</v>
      </c>
      <c r="C157" s="98"/>
      <c r="D157" s="98"/>
      <c r="E157" s="98"/>
      <c r="F157" s="103">
        <v>0.05</v>
      </c>
    </row>
    <row r="158" spans="1:6">
      <c r="A158" s="87" t="s">
        <v>281</v>
      </c>
      <c r="B158" s="88" t="s">
        <v>2114</v>
      </c>
      <c r="C158" s="89">
        <v>0.13</v>
      </c>
      <c r="D158" s="89">
        <v>0.13</v>
      </c>
      <c r="E158" s="89">
        <v>0.13</v>
      </c>
      <c r="F158" s="90">
        <v>0.13</v>
      </c>
    </row>
    <row r="159" spans="1:6">
      <c r="A159" s="87" t="s">
        <v>281</v>
      </c>
      <c r="B159" s="91" t="s">
        <v>2127</v>
      </c>
      <c r="C159" s="92">
        <v>0.13</v>
      </c>
      <c r="D159" s="92">
        <v>0.13</v>
      </c>
      <c r="E159" s="92">
        <v>0.13</v>
      </c>
      <c r="F159" s="93">
        <v>0.13</v>
      </c>
    </row>
    <row r="160" spans="1:6">
      <c r="A160" s="87" t="s">
        <v>281</v>
      </c>
      <c r="B160" s="91" t="s">
        <v>2141</v>
      </c>
      <c r="C160" s="92">
        <v>0.13</v>
      </c>
      <c r="D160" s="92">
        <v>0.13</v>
      </c>
      <c r="E160" s="92">
        <v>0.129</v>
      </c>
      <c r="F160" s="93">
        <v>0.13</v>
      </c>
    </row>
    <row r="161" spans="1:6">
      <c r="A161" s="87" t="s">
        <v>281</v>
      </c>
      <c r="B161" s="91" t="s">
        <v>2153</v>
      </c>
      <c r="C161" s="92">
        <v>0.128</v>
      </c>
      <c r="D161" s="92">
        <v>0.128</v>
      </c>
      <c r="E161" s="92">
        <v>0.125</v>
      </c>
      <c r="F161" s="93">
        <v>0.13</v>
      </c>
    </row>
    <row r="162" spans="1:6">
      <c r="A162" s="87" t="s">
        <v>281</v>
      </c>
      <c r="B162" s="91" t="s">
        <v>2165</v>
      </c>
      <c r="C162" s="92">
        <v>0.122</v>
      </c>
      <c r="D162" s="92">
        <v>0.122</v>
      </c>
      <c r="E162" s="92">
        <v>0.126</v>
      </c>
      <c r="F162" s="93">
        <v>0.122</v>
      </c>
    </row>
    <row r="163" spans="1:6">
      <c r="A163" s="87" t="s">
        <v>281</v>
      </c>
      <c r="B163" s="91" t="s">
        <v>2176</v>
      </c>
      <c r="C163" s="92">
        <v>0.13</v>
      </c>
      <c r="D163" s="92">
        <v>0.13</v>
      </c>
      <c r="E163" s="92">
        <v>0.125</v>
      </c>
      <c r="F163" s="93">
        <v>0.13</v>
      </c>
    </row>
    <row r="164" spans="1:6">
      <c r="A164" s="87" t="s">
        <v>281</v>
      </c>
      <c r="B164" s="91" t="s">
        <v>2187</v>
      </c>
      <c r="C164" s="92">
        <v>0.13</v>
      </c>
      <c r="D164" s="92">
        <v>0.13</v>
      </c>
      <c r="E164" s="92">
        <v>0.13</v>
      </c>
      <c r="F164" s="93">
        <v>0.13</v>
      </c>
    </row>
    <row r="165" spans="1:6">
      <c r="A165" s="87" t="s">
        <v>281</v>
      </c>
      <c r="B165" s="91" t="s">
        <v>2198</v>
      </c>
      <c r="C165" s="92">
        <v>0.13</v>
      </c>
      <c r="D165" s="92">
        <v>0.13</v>
      </c>
      <c r="E165" s="92">
        <v>0.124</v>
      </c>
      <c r="F165" s="93">
        <v>0.13</v>
      </c>
    </row>
    <row r="166" spans="1:6">
      <c r="A166" s="87" t="s">
        <v>281</v>
      </c>
      <c r="B166" s="91" t="s">
        <v>2208</v>
      </c>
      <c r="C166" s="92">
        <v>0.13</v>
      </c>
      <c r="D166" s="92">
        <v>0.13</v>
      </c>
      <c r="E166" s="92">
        <v>0.13</v>
      </c>
      <c r="F166" s="93">
        <v>0.13</v>
      </c>
    </row>
    <row r="167" spans="1:6">
      <c r="A167" s="87" t="s">
        <v>281</v>
      </c>
      <c r="B167" s="91" t="s">
        <v>2218</v>
      </c>
      <c r="C167" s="92">
        <v>0.125</v>
      </c>
      <c r="D167" s="92">
        <v>0.125</v>
      </c>
      <c r="E167" s="92">
        <v>0.121</v>
      </c>
      <c r="F167" s="100"/>
    </row>
    <row r="168" spans="1:6">
      <c r="A168" s="87" t="s">
        <v>281</v>
      </c>
      <c r="B168" s="91" t="s">
        <v>2228</v>
      </c>
      <c r="C168" s="92">
        <v>0.13</v>
      </c>
      <c r="D168" s="92">
        <v>0.13</v>
      </c>
      <c r="E168" s="92">
        <v>0.126</v>
      </c>
      <c r="F168" s="100"/>
    </row>
    <row r="169" spans="1:6">
      <c r="A169" s="87" t="s">
        <v>281</v>
      </c>
      <c r="B169" s="91" t="s">
        <v>2238</v>
      </c>
      <c r="C169" s="92">
        <v>0.128</v>
      </c>
      <c r="D169" s="92">
        <v>0.129</v>
      </c>
      <c r="E169" s="92">
        <v>0.13</v>
      </c>
      <c r="F169" s="100"/>
    </row>
    <row r="170" spans="1:6">
      <c r="A170" s="87" t="s">
        <v>281</v>
      </c>
      <c r="B170" s="91" t="s">
        <v>2248</v>
      </c>
      <c r="C170" s="92">
        <v>0.14099999999999999</v>
      </c>
      <c r="D170" s="92">
        <v>0.13</v>
      </c>
      <c r="E170" s="92">
        <v>0.125</v>
      </c>
      <c r="F170" s="100"/>
    </row>
    <row r="171" spans="1:6">
      <c r="A171" s="87" t="s">
        <v>281</v>
      </c>
      <c r="B171" s="91" t="s">
        <v>2258</v>
      </c>
      <c r="C171" s="92">
        <v>0.127</v>
      </c>
      <c r="D171" s="92">
        <v>0.126</v>
      </c>
      <c r="E171" s="92">
        <v>0.126</v>
      </c>
      <c r="F171" s="93">
        <v>0.11799999999999999</v>
      </c>
    </row>
    <row r="172" spans="1:6">
      <c r="A172" s="87" t="s">
        <v>281</v>
      </c>
      <c r="B172" s="91" t="s">
        <v>2268</v>
      </c>
      <c r="C172" s="92">
        <v>0.13</v>
      </c>
      <c r="D172" s="92">
        <v>0.13</v>
      </c>
      <c r="E172" s="92">
        <v>0.13</v>
      </c>
      <c r="F172" s="100"/>
    </row>
    <row r="173" spans="1:6">
      <c r="A173" s="87" t="s">
        <v>281</v>
      </c>
      <c r="B173" s="91" t="s">
        <v>2278</v>
      </c>
      <c r="C173" s="92">
        <v>0.13</v>
      </c>
      <c r="D173" s="92">
        <v>0.13</v>
      </c>
      <c r="E173" s="92">
        <v>0.13</v>
      </c>
      <c r="F173" s="100"/>
    </row>
    <row r="174" spans="1:6">
      <c r="A174" s="87" t="s">
        <v>281</v>
      </c>
      <c r="B174" s="91" t="s">
        <v>2288</v>
      </c>
      <c r="C174" s="92">
        <v>0.13</v>
      </c>
      <c r="D174" s="92">
        <v>0.13</v>
      </c>
      <c r="E174" s="92">
        <v>0.13</v>
      </c>
      <c r="F174" s="93">
        <v>0.13</v>
      </c>
    </row>
    <row r="175" spans="1:6">
      <c r="A175" s="87" t="s">
        <v>281</v>
      </c>
      <c r="B175" s="91" t="s">
        <v>2298</v>
      </c>
      <c r="C175" s="92">
        <v>0.13</v>
      </c>
      <c r="D175" s="92">
        <v>0.13</v>
      </c>
      <c r="E175" s="92">
        <v>0.13</v>
      </c>
      <c r="F175" s="93">
        <v>0.13</v>
      </c>
    </row>
    <row r="176" spans="1:6">
      <c r="A176" s="87" t="s">
        <v>281</v>
      </c>
      <c r="B176" s="91" t="s">
        <v>2308</v>
      </c>
      <c r="C176" s="92">
        <v>0.13</v>
      </c>
      <c r="D176" s="92">
        <v>0.13</v>
      </c>
      <c r="E176" s="92">
        <v>0.13</v>
      </c>
      <c r="F176" s="93">
        <v>0.13</v>
      </c>
    </row>
    <row r="177" spans="1:6">
      <c r="A177" s="87" t="s">
        <v>281</v>
      </c>
      <c r="B177" s="91" t="s">
        <v>2317</v>
      </c>
      <c r="C177" s="92">
        <v>0.13</v>
      </c>
      <c r="D177" s="92">
        <v>0.13</v>
      </c>
      <c r="E177" s="92">
        <v>0.13</v>
      </c>
      <c r="F177" s="93">
        <v>0.13</v>
      </c>
    </row>
    <row r="178" spans="1:6">
      <c r="A178" s="87" t="s">
        <v>281</v>
      </c>
      <c r="B178" s="91" t="s">
        <v>2325</v>
      </c>
      <c r="C178" s="92">
        <v>0.13</v>
      </c>
      <c r="D178" s="92">
        <v>0.13</v>
      </c>
      <c r="E178" s="92">
        <v>0.13</v>
      </c>
      <c r="F178" s="93">
        <v>0.127</v>
      </c>
    </row>
    <row r="179" spans="1:6">
      <c r="A179" s="87" t="s">
        <v>281</v>
      </c>
      <c r="B179" s="91" t="s">
        <v>2333</v>
      </c>
      <c r="C179" s="92">
        <v>0.13</v>
      </c>
      <c r="D179" s="92">
        <v>0.13</v>
      </c>
      <c r="E179" s="92">
        <v>0.13</v>
      </c>
      <c r="F179" s="100"/>
    </row>
    <row r="180" spans="1:6">
      <c r="A180" s="87" t="s">
        <v>281</v>
      </c>
      <c r="B180" s="91" t="s">
        <v>2340</v>
      </c>
      <c r="C180" s="92">
        <v>0.13</v>
      </c>
      <c r="D180" s="92">
        <v>0.13</v>
      </c>
      <c r="E180" s="92">
        <v>0.125</v>
      </c>
      <c r="F180" s="93">
        <v>0.13</v>
      </c>
    </row>
    <row r="181" spans="1:6">
      <c r="A181" s="87" t="s">
        <v>281</v>
      </c>
      <c r="B181" s="91" t="s">
        <v>2347</v>
      </c>
      <c r="C181" s="92">
        <v>0.122</v>
      </c>
      <c r="D181" s="92">
        <v>0.123</v>
      </c>
      <c r="E181" s="92">
        <v>0.126</v>
      </c>
      <c r="F181" s="93">
        <v>0.121</v>
      </c>
    </row>
    <row r="182" spans="1:6">
      <c r="A182" s="87" t="s">
        <v>281</v>
      </c>
      <c r="B182" s="91" t="s">
        <v>2354</v>
      </c>
      <c r="C182" s="92">
        <v>0.125</v>
      </c>
      <c r="D182" s="92">
        <v>0.125</v>
      </c>
      <c r="E182" s="92">
        <v>0.11700000000000001</v>
      </c>
      <c r="F182" s="93">
        <v>0.13</v>
      </c>
    </row>
    <row r="183" spans="1:6">
      <c r="A183" s="87" t="s">
        <v>281</v>
      </c>
      <c r="B183" s="91" t="s">
        <v>2361</v>
      </c>
      <c r="C183" s="92">
        <v>0.127</v>
      </c>
      <c r="D183" s="92">
        <v>0.127</v>
      </c>
      <c r="E183" s="92">
        <v>0.128</v>
      </c>
      <c r="F183" s="100"/>
    </row>
    <row r="184" spans="1:6">
      <c r="A184" s="87" t="s">
        <v>281</v>
      </c>
      <c r="B184" s="91" t="s">
        <v>2368</v>
      </c>
      <c r="C184" s="92">
        <v>0.125</v>
      </c>
      <c r="D184" s="92">
        <v>0.125</v>
      </c>
      <c r="E184" s="92">
        <v>0.127</v>
      </c>
      <c r="F184" s="100"/>
    </row>
    <row r="185" spans="1:6">
      <c r="A185" s="87" t="s">
        <v>281</v>
      </c>
      <c r="B185" s="91" t="s">
        <v>2373</v>
      </c>
      <c r="C185" s="92">
        <v>0.127</v>
      </c>
      <c r="D185" s="92">
        <v>0.127</v>
      </c>
      <c r="E185" s="92">
        <v>0.128</v>
      </c>
      <c r="F185" s="93">
        <v>0.13</v>
      </c>
    </row>
    <row r="186" spans="1:6" ht="24">
      <c r="A186" s="87" t="s">
        <v>281</v>
      </c>
      <c r="B186" s="91" t="s">
        <v>2378</v>
      </c>
      <c r="C186" s="101"/>
      <c r="D186" s="101"/>
      <c r="E186" s="101"/>
      <c r="F186" s="93">
        <v>0.05</v>
      </c>
    </row>
    <row r="187" spans="1:6">
      <c r="A187" s="87" t="s">
        <v>281</v>
      </c>
      <c r="B187" s="91" t="s">
        <v>2383</v>
      </c>
      <c r="C187" s="101"/>
      <c r="D187" s="101"/>
      <c r="E187" s="101"/>
      <c r="F187" s="93">
        <v>0.05</v>
      </c>
    </row>
    <row r="188" spans="1:6">
      <c r="A188" s="87" t="s">
        <v>281</v>
      </c>
      <c r="B188" s="91" t="s">
        <v>2388</v>
      </c>
      <c r="C188" s="101"/>
      <c r="D188" s="101"/>
      <c r="E188" s="101"/>
      <c r="F188" s="93">
        <v>0.05</v>
      </c>
    </row>
    <row r="189" spans="1:6" ht="24">
      <c r="A189" s="87" t="s">
        <v>281</v>
      </c>
      <c r="B189" s="91" t="s">
        <v>2393</v>
      </c>
      <c r="C189" s="101"/>
      <c r="D189" s="101"/>
      <c r="E189" s="101"/>
      <c r="F189" s="93">
        <v>0.05</v>
      </c>
    </row>
    <row r="190" spans="1:6" ht="24">
      <c r="A190" s="87" t="s">
        <v>281</v>
      </c>
      <c r="B190" s="91" t="s">
        <v>2398</v>
      </c>
      <c r="C190" s="101"/>
      <c r="D190" s="101"/>
      <c r="E190" s="101"/>
      <c r="F190" s="93">
        <v>0.05</v>
      </c>
    </row>
    <row r="191" spans="1:6" ht="24">
      <c r="A191" s="87" t="s">
        <v>281</v>
      </c>
      <c r="B191" s="91" t="s">
        <v>2403</v>
      </c>
      <c r="C191" s="101"/>
      <c r="D191" s="101"/>
      <c r="E191" s="101"/>
      <c r="F191" s="93">
        <v>0.05</v>
      </c>
    </row>
    <row r="192" spans="1:6" ht="24">
      <c r="A192" s="87" t="s">
        <v>281</v>
      </c>
      <c r="B192" s="91" t="s">
        <v>2407</v>
      </c>
      <c r="C192" s="101"/>
      <c r="D192" s="101"/>
      <c r="E192" s="101"/>
      <c r="F192" s="93">
        <v>0.05</v>
      </c>
    </row>
    <row r="193" spans="1:6" ht="24">
      <c r="A193" s="87" t="s">
        <v>281</v>
      </c>
      <c r="B193" s="91" t="s">
        <v>2411</v>
      </c>
      <c r="C193" s="101"/>
      <c r="D193" s="101"/>
      <c r="E193" s="101"/>
      <c r="F193" s="93">
        <v>0.05</v>
      </c>
    </row>
    <row r="194" spans="1:6" ht="24">
      <c r="A194" s="87" t="s">
        <v>281</v>
      </c>
      <c r="B194" s="91" t="s">
        <v>2415</v>
      </c>
      <c r="C194" s="101"/>
      <c r="D194" s="101"/>
      <c r="E194" s="101"/>
      <c r="F194" s="93">
        <v>0.05</v>
      </c>
    </row>
    <row r="195" spans="1:6">
      <c r="A195" s="87" t="s">
        <v>281</v>
      </c>
      <c r="B195" s="91" t="s">
        <v>2419</v>
      </c>
      <c r="C195" s="101"/>
      <c r="D195" s="101"/>
      <c r="E195" s="101"/>
      <c r="F195" s="93">
        <v>0.05</v>
      </c>
    </row>
    <row r="196" spans="1:6" ht="24">
      <c r="A196" s="87" t="s">
        <v>281</v>
      </c>
      <c r="B196" s="91" t="s">
        <v>2423</v>
      </c>
      <c r="C196" s="101"/>
      <c r="D196" s="101"/>
      <c r="E196" s="101"/>
      <c r="F196" s="93">
        <v>0.05</v>
      </c>
    </row>
    <row r="197" spans="1:6" ht="24">
      <c r="A197" s="87" t="s">
        <v>281</v>
      </c>
      <c r="B197" s="91" t="s">
        <v>2427</v>
      </c>
      <c r="C197" s="101"/>
      <c r="D197" s="101"/>
      <c r="E197" s="101"/>
      <c r="F197" s="93">
        <v>0.05</v>
      </c>
    </row>
    <row r="198" spans="1:6" ht="24">
      <c r="A198" s="87" t="s">
        <v>281</v>
      </c>
      <c r="B198" s="91" t="s">
        <v>2430</v>
      </c>
      <c r="C198" s="101"/>
      <c r="D198" s="101"/>
      <c r="E198" s="101"/>
      <c r="F198" s="93">
        <v>0.05</v>
      </c>
    </row>
    <row r="199" spans="1:6" ht="24">
      <c r="A199" s="87" t="s">
        <v>281</v>
      </c>
      <c r="B199" s="91" t="s">
        <v>2433</v>
      </c>
      <c r="C199" s="101"/>
      <c r="D199" s="101"/>
      <c r="E199" s="101"/>
      <c r="F199" s="93">
        <v>0.05</v>
      </c>
    </row>
    <row r="200" spans="1:6" ht="24">
      <c r="A200" s="87" t="s">
        <v>281</v>
      </c>
      <c r="B200" s="91" t="s">
        <v>2436</v>
      </c>
      <c r="C200" s="101"/>
      <c r="D200" s="101"/>
      <c r="E200" s="101"/>
      <c r="F200" s="93">
        <v>0.05</v>
      </c>
    </row>
    <row r="201" spans="1:6" ht="24">
      <c r="A201" s="87" t="s">
        <v>281</v>
      </c>
      <c r="B201" s="91" t="s">
        <v>2439</v>
      </c>
      <c r="C201" s="101"/>
      <c r="D201" s="101"/>
      <c r="E201" s="101"/>
      <c r="F201" s="93">
        <v>0.05</v>
      </c>
    </row>
    <row r="202" spans="1:6" ht="24">
      <c r="A202" s="87" t="s">
        <v>281</v>
      </c>
      <c r="B202" s="91" t="s">
        <v>2442</v>
      </c>
      <c r="C202" s="101"/>
      <c r="D202" s="101"/>
      <c r="E202" s="101"/>
      <c r="F202" s="93">
        <v>0.05</v>
      </c>
    </row>
    <row r="203" spans="1:6" ht="24">
      <c r="A203" s="87" t="s">
        <v>281</v>
      </c>
      <c r="B203" s="91" t="s">
        <v>2445</v>
      </c>
      <c r="C203" s="101"/>
      <c r="D203" s="101"/>
      <c r="E203" s="101"/>
      <c r="F203" s="93">
        <v>0.05</v>
      </c>
    </row>
    <row r="204" spans="1:6">
      <c r="A204" s="87" t="s">
        <v>281</v>
      </c>
      <c r="B204" s="91" t="s">
        <v>2447</v>
      </c>
      <c r="C204" s="101"/>
      <c r="D204" s="101"/>
      <c r="E204" s="101"/>
      <c r="F204" s="93">
        <v>0.05</v>
      </c>
    </row>
    <row r="205" spans="1:6">
      <c r="A205" s="95" t="s">
        <v>281</v>
      </c>
      <c r="B205" s="102" t="s">
        <v>2449</v>
      </c>
      <c r="C205" s="98"/>
      <c r="D205" s="98"/>
      <c r="E205" s="98"/>
      <c r="F205" s="103">
        <v>0.05</v>
      </c>
    </row>
    <row r="206" spans="1:6">
      <c r="A206" s="87" t="s">
        <v>286</v>
      </c>
      <c r="B206" s="88" t="s">
        <v>2115</v>
      </c>
      <c r="C206" s="89">
        <v>0.15</v>
      </c>
      <c r="D206" s="89">
        <v>0.15</v>
      </c>
      <c r="E206" s="89">
        <v>0.15</v>
      </c>
      <c r="F206" s="90">
        <v>0.15</v>
      </c>
    </row>
    <row r="207" spans="1:6">
      <c r="A207" s="87" t="s">
        <v>286</v>
      </c>
      <c r="B207" s="91" t="s">
        <v>2128</v>
      </c>
      <c r="C207" s="92">
        <v>0.15</v>
      </c>
      <c r="D207" s="92">
        <v>0.15</v>
      </c>
      <c r="E207" s="92">
        <v>0.15</v>
      </c>
      <c r="F207" s="93">
        <v>0.14399999999999999</v>
      </c>
    </row>
    <row r="208" spans="1:6">
      <c r="A208" s="87" t="s">
        <v>286</v>
      </c>
      <c r="B208" s="91" t="s">
        <v>2142</v>
      </c>
      <c r="C208" s="92">
        <v>0.15</v>
      </c>
      <c r="D208" s="92">
        <v>0.15</v>
      </c>
      <c r="E208" s="92">
        <v>0.15</v>
      </c>
      <c r="F208" s="93">
        <v>0.15</v>
      </c>
    </row>
    <row r="209" spans="1:6">
      <c r="A209" s="87" t="s">
        <v>286</v>
      </c>
      <c r="B209" s="91" t="s">
        <v>2154</v>
      </c>
      <c r="C209" s="92">
        <v>0.13700000000000001</v>
      </c>
      <c r="D209" s="92">
        <v>0.13700000000000001</v>
      </c>
      <c r="E209" s="92">
        <v>0.14000000000000001</v>
      </c>
      <c r="F209" s="93">
        <v>0.11700000000000001</v>
      </c>
    </row>
    <row r="210" spans="1:6">
      <c r="A210" s="87" t="s">
        <v>286</v>
      </c>
      <c r="B210" s="91" t="s">
        <v>2166</v>
      </c>
      <c r="C210" s="92">
        <v>0.15</v>
      </c>
      <c r="D210" s="92">
        <v>0.15</v>
      </c>
      <c r="E210" s="92">
        <v>0.15</v>
      </c>
      <c r="F210" s="93">
        <v>0.13800000000000001</v>
      </c>
    </row>
    <row r="211" spans="1:6">
      <c r="A211" s="87" t="s">
        <v>286</v>
      </c>
      <c r="B211" s="91" t="s">
        <v>2177</v>
      </c>
      <c r="C211" s="92">
        <v>0.13700000000000001</v>
      </c>
      <c r="D211" s="92">
        <v>0.13500000000000001</v>
      </c>
      <c r="E211" s="92">
        <v>0.13600000000000001</v>
      </c>
      <c r="F211" s="93">
        <v>0.1</v>
      </c>
    </row>
    <row r="212" spans="1:6">
      <c r="A212" s="87" t="s">
        <v>286</v>
      </c>
      <c r="B212" s="91" t="s">
        <v>2188</v>
      </c>
      <c r="C212" s="92">
        <v>0.15</v>
      </c>
      <c r="D212" s="92">
        <v>0.15</v>
      </c>
      <c r="E212" s="92">
        <v>0.14799999999999999</v>
      </c>
      <c r="F212" s="93">
        <v>0.13600000000000001</v>
      </c>
    </row>
    <row r="213" spans="1:6">
      <c r="A213" s="87" t="s">
        <v>286</v>
      </c>
      <c r="B213" s="91" t="s">
        <v>2199</v>
      </c>
      <c r="C213" s="92">
        <v>0.15</v>
      </c>
      <c r="D213" s="92">
        <v>0.15</v>
      </c>
      <c r="E213" s="92">
        <v>0.15</v>
      </c>
      <c r="F213" s="93">
        <v>0.13800000000000001</v>
      </c>
    </row>
    <row r="214" spans="1:6">
      <c r="A214" s="87" t="s">
        <v>286</v>
      </c>
      <c r="B214" s="91" t="s">
        <v>2209</v>
      </c>
      <c r="C214" s="92">
        <v>9.0999999999999998E-2</v>
      </c>
      <c r="D214" s="92">
        <v>0.09</v>
      </c>
      <c r="E214" s="92">
        <v>9.1999999999999998E-2</v>
      </c>
      <c r="F214" s="100"/>
    </row>
    <row r="215" spans="1:6">
      <c r="A215" s="87" t="s">
        <v>286</v>
      </c>
      <c r="B215" s="91" t="s">
        <v>2219</v>
      </c>
      <c r="C215" s="92">
        <v>0.15</v>
      </c>
      <c r="D215" s="92">
        <v>0.15</v>
      </c>
      <c r="E215" s="92">
        <v>0.15</v>
      </c>
      <c r="F215" s="93">
        <v>0.15</v>
      </c>
    </row>
    <row r="216" spans="1:6">
      <c r="A216" s="87" t="s">
        <v>286</v>
      </c>
      <c r="B216" s="91" t="s">
        <v>2229</v>
      </c>
      <c r="C216" s="92">
        <v>0.14699999999999999</v>
      </c>
      <c r="D216" s="92">
        <v>0.14699999999999999</v>
      </c>
      <c r="E216" s="92">
        <v>0.15</v>
      </c>
      <c r="F216" s="93">
        <v>0.14000000000000001</v>
      </c>
    </row>
    <row r="217" spans="1:6">
      <c r="A217" s="87" t="s">
        <v>286</v>
      </c>
      <c r="B217" s="91" t="s">
        <v>2239</v>
      </c>
      <c r="C217" s="92">
        <v>0.15</v>
      </c>
      <c r="D217" s="92">
        <v>0.15</v>
      </c>
      <c r="E217" s="92">
        <v>0.15</v>
      </c>
      <c r="F217" s="93">
        <v>0.15</v>
      </c>
    </row>
    <row r="218" spans="1:6">
      <c r="A218" s="87" t="s">
        <v>286</v>
      </c>
      <c r="B218" s="91" t="s">
        <v>2249</v>
      </c>
      <c r="C218" s="92">
        <v>0.15</v>
      </c>
      <c r="D218" s="92">
        <v>0.15</v>
      </c>
      <c r="E218" s="92">
        <v>0.15</v>
      </c>
      <c r="F218" s="93">
        <v>0.15</v>
      </c>
    </row>
    <row r="219" spans="1:6">
      <c r="A219" s="87" t="s">
        <v>286</v>
      </c>
      <c r="B219" s="91" t="s">
        <v>2259</v>
      </c>
      <c r="C219" s="92">
        <v>0.15</v>
      </c>
      <c r="D219" s="92">
        <v>0.15</v>
      </c>
      <c r="E219" s="92">
        <v>0.15</v>
      </c>
      <c r="F219" s="93">
        <v>0.14799999999999999</v>
      </c>
    </row>
    <row r="220" spans="1:6">
      <c r="A220" s="87" t="s">
        <v>286</v>
      </c>
      <c r="B220" s="91" t="s">
        <v>2269</v>
      </c>
      <c r="C220" s="92">
        <v>0.15</v>
      </c>
      <c r="D220" s="92">
        <v>0.15</v>
      </c>
      <c r="E220" s="92">
        <v>0.15</v>
      </c>
      <c r="F220" s="93">
        <v>0.15</v>
      </c>
    </row>
    <row r="221" spans="1:6">
      <c r="A221" s="87" t="s">
        <v>286</v>
      </c>
      <c r="B221" s="91" t="s">
        <v>2279</v>
      </c>
      <c r="C221" s="92"/>
      <c r="D221" s="101"/>
      <c r="E221" s="101"/>
      <c r="F221" s="93">
        <v>0.14799999999999999</v>
      </c>
    </row>
    <row r="222" spans="1:6">
      <c r="A222" s="87" t="s">
        <v>286</v>
      </c>
      <c r="B222" s="91" t="s">
        <v>2289</v>
      </c>
      <c r="C222" s="92"/>
      <c r="D222" s="101"/>
      <c r="E222" s="101"/>
      <c r="F222" s="93">
        <v>0.1</v>
      </c>
    </row>
    <row r="223" spans="1:6">
      <c r="A223" s="87" t="s">
        <v>286</v>
      </c>
      <c r="B223" s="91" t="s">
        <v>2299</v>
      </c>
      <c r="C223" s="92"/>
      <c r="D223" s="101"/>
      <c r="E223" s="101"/>
      <c r="F223" s="93">
        <v>0.15</v>
      </c>
    </row>
    <row r="224" spans="1:6">
      <c r="A224" s="87" t="s">
        <v>286</v>
      </c>
      <c r="B224" s="91" t="s">
        <v>2309</v>
      </c>
      <c r="C224" s="92"/>
      <c r="D224" s="101"/>
      <c r="E224" s="101"/>
      <c r="F224" s="93">
        <v>0.15</v>
      </c>
    </row>
    <row r="225" spans="1:6">
      <c r="A225" s="87" t="s">
        <v>286</v>
      </c>
      <c r="B225" s="91" t="s">
        <v>2318</v>
      </c>
      <c r="C225" s="92">
        <v>0.15</v>
      </c>
      <c r="D225" s="92">
        <v>0.15</v>
      </c>
      <c r="E225" s="92">
        <v>0.15</v>
      </c>
      <c r="F225" s="93">
        <v>0.15</v>
      </c>
    </row>
    <row r="226" spans="1:6">
      <c r="A226" s="87" t="s">
        <v>286</v>
      </c>
      <c r="B226" s="91" t="s">
        <v>2326</v>
      </c>
      <c r="C226" s="92">
        <v>0.15</v>
      </c>
      <c r="D226" s="92">
        <v>0.15</v>
      </c>
      <c r="E226" s="92">
        <v>0.15</v>
      </c>
      <c r="F226" s="93">
        <v>0.14799999999999999</v>
      </c>
    </row>
    <row r="227" spans="1:6">
      <c r="A227" s="87" t="s">
        <v>286</v>
      </c>
      <c r="B227" s="91" t="s">
        <v>2334</v>
      </c>
      <c r="C227" s="92">
        <v>0.15</v>
      </c>
      <c r="D227" s="92">
        <v>0.15</v>
      </c>
      <c r="E227" s="92">
        <v>0.15</v>
      </c>
      <c r="F227" s="93">
        <v>0.15</v>
      </c>
    </row>
    <row r="228" spans="1:6">
      <c r="A228" s="87" t="s">
        <v>286</v>
      </c>
      <c r="B228" s="91" t="s">
        <v>2341</v>
      </c>
      <c r="C228" s="92">
        <v>0.15</v>
      </c>
      <c r="D228" s="92">
        <v>0.15</v>
      </c>
      <c r="E228" s="92">
        <v>0.15</v>
      </c>
      <c r="F228" s="93">
        <v>0.15</v>
      </c>
    </row>
    <row r="229" spans="1:6">
      <c r="A229" s="87" t="s">
        <v>286</v>
      </c>
      <c r="B229" s="91" t="s">
        <v>2348</v>
      </c>
      <c r="C229" s="92">
        <v>0.15</v>
      </c>
      <c r="D229" s="92">
        <v>0.15</v>
      </c>
      <c r="E229" s="92">
        <v>0.15</v>
      </c>
      <c r="F229" s="100"/>
    </row>
    <row r="230" spans="1:6">
      <c r="A230" s="87" t="s">
        <v>286</v>
      </c>
      <c r="B230" s="91" t="s">
        <v>2355</v>
      </c>
      <c r="C230" s="92">
        <v>0.14499999999999999</v>
      </c>
      <c r="D230" s="92">
        <v>0.14499999999999999</v>
      </c>
      <c r="E230" s="92">
        <v>0.14399999999999999</v>
      </c>
      <c r="F230" s="100"/>
    </row>
    <row r="231" spans="1:6">
      <c r="A231" s="87" t="s">
        <v>286</v>
      </c>
      <c r="B231" s="91" t="s">
        <v>2362</v>
      </c>
      <c r="C231" s="92">
        <v>0.128</v>
      </c>
      <c r="D231" s="92">
        <v>0.125</v>
      </c>
      <c r="E231" s="92">
        <v>0.13200000000000001</v>
      </c>
      <c r="F231" s="100"/>
    </row>
    <row r="232" spans="1:6">
      <c r="A232" s="87" t="s">
        <v>286</v>
      </c>
      <c r="B232" s="91" t="s">
        <v>2369</v>
      </c>
      <c r="C232" s="92">
        <v>0.14499999999999999</v>
      </c>
      <c r="D232" s="92">
        <v>0.14399999999999999</v>
      </c>
      <c r="E232" s="92">
        <v>0.14599999999999999</v>
      </c>
      <c r="F232" s="93">
        <v>0.13800000000000001</v>
      </c>
    </row>
    <row r="233" spans="1:6">
      <c r="A233" s="87" t="s">
        <v>286</v>
      </c>
      <c r="B233" s="91" t="s">
        <v>2374</v>
      </c>
      <c r="C233" s="92">
        <v>0.14499999999999999</v>
      </c>
      <c r="D233" s="92">
        <v>0.14299999999999999</v>
      </c>
      <c r="E233" s="92">
        <v>0.14199999999999999</v>
      </c>
      <c r="F233" s="100"/>
    </row>
    <row r="234" spans="1:6">
      <c r="A234" s="87" t="s">
        <v>286</v>
      </c>
      <c r="B234" s="91" t="s">
        <v>2452</v>
      </c>
      <c r="C234" s="92">
        <v>0.14000000000000001</v>
      </c>
      <c r="D234" s="92">
        <v>0.14000000000000001</v>
      </c>
      <c r="E234" s="92">
        <v>0.14399999999999999</v>
      </c>
      <c r="F234" s="100"/>
    </row>
    <row r="235" spans="1:6">
      <c r="A235" s="87" t="s">
        <v>286</v>
      </c>
      <c r="B235" s="91" t="s">
        <v>2384</v>
      </c>
      <c r="C235" s="92">
        <v>0.14099999999999999</v>
      </c>
      <c r="D235" s="92">
        <v>0.14199999999999999</v>
      </c>
      <c r="E235" s="92">
        <v>0.14499999999999999</v>
      </c>
      <c r="F235" s="93">
        <v>0.15</v>
      </c>
    </row>
    <row r="236" spans="1:6">
      <c r="A236" s="87" t="s">
        <v>286</v>
      </c>
      <c r="B236" s="91" t="s">
        <v>2389</v>
      </c>
      <c r="C236" s="101"/>
      <c r="D236" s="101"/>
      <c r="E236" s="101"/>
      <c r="F236" s="93">
        <v>0.14299999999999999</v>
      </c>
    </row>
    <row r="237" spans="1:6" ht="24">
      <c r="A237" s="87" t="s">
        <v>286</v>
      </c>
      <c r="B237" s="91" t="s">
        <v>2394</v>
      </c>
      <c r="C237" s="101"/>
      <c r="D237" s="101"/>
      <c r="E237" s="101"/>
      <c r="F237" s="93">
        <v>0.05</v>
      </c>
    </row>
    <row r="238" spans="1:6" ht="24">
      <c r="A238" s="87" t="s">
        <v>286</v>
      </c>
      <c r="B238" s="91" t="s">
        <v>2399</v>
      </c>
      <c r="C238" s="101"/>
      <c r="D238" s="101"/>
      <c r="E238" s="101"/>
      <c r="F238" s="93">
        <v>0.05</v>
      </c>
    </row>
    <row r="239" spans="1:6" ht="24">
      <c r="A239" s="87" t="s">
        <v>286</v>
      </c>
      <c r="B239" s="91" t="s">
        <v>2404</v>
      </c>
      <c r="C239" s="101"/>
      <c r="D239" s="101"/>
      <c r="E239" s="101"/>
      <c r="F239" s="93">
        <v>0.05</v>
      </c>
    </row>
    <row r="240" spans="1:6" ht="24">
      <c r="A240" s="87" t="s">
        <v>286</v>
      </c>
      <c r="B240" s="91" t="s">
        <v>2408</v>
      </c>
      <c r="C240" s="101"/>
      <c r="D240" s="101"/>
      <c r="E240" s="101"/>
      <c r="F240" s="93">
        <v>0.05</v>
      </c>
    </row>
    <row r="241" spans="1:6" ht="24">
      <c r="A241" s="87" t="s">
        <v>286</v>
      </c>
      <c r="B241" s="91" t="s">
        <v>2412</v>
      </c>
      <c r="C241" s="101"/>
      <c r="D241" s="101"/>
      <c r="E241" s="101"/>
      <c r="F241" s="93">
        <v>0.05</v>
      </c>
    </row>
    <row r="242" spans="1:6" ht="24">
      <c r="A242" s="87" t="s">
        <v>286</v>
      </c>
      <c r="B242" s="91" t="s">
        <v>2416</v>
      </c>
      <c r="C242" s="101"/>
      <c r="D242" s="101"/>
      <c r="E242" s="101"/>
      <c r="F242" s="93">
        <v>0.05</v>
      </c>
    </row>
    <row r="243" spans="1:6" ht="24">
      <c r="A243" s="87" t="s">
        <v>286</v>
      </c>
      <c r="B243" s="91" t="s">
        <v>2420</v>
      </c>
      <c r="C243" s="101"/>
      <c r="D243" s="101"/>
      <c r="E243" s="101"/>
      <c r="F243" s="93">
        <v>0.05</v>
      </c>
    </row>
    <row r="244" spans="1:6" ht="24">
      <c r="A244" s="95" t="s">
        <v>286</v>
      </c>
      <c r="B244" s="102" t="s">
        <v>2424</v>
      </c>
      <c r="C244" s="98"/>
      <c r="D244" s="98"/>
      <c r="E244" s="98"/>
      <c r="F244" s="103">
        <v>0.05</v>
      </c>
    </row>
    <row r="245" spans="1:6">
      <c r="A245" s="87" t="s">
        <v>289</v>
      </c>
      <c r="B245" s="88" t="s">
        <v>2116</v>
      </c>
      <c r="C245" s="89">
        <v>0.15</v>
      </c>
      <c r="D245" s="89">
        <v>0.15</v>
      </c>
      <c r="E245" s="89">
        <v>0.15</v>
      </c>
      <c r="F245" s="90">
        <v>0.14299999999999999</v>
      </c>
    </row>
    <row r="246" spans="1:6">
      <c r="A246" s="87" t="s">
        <v>289</v>
      </c>
      <c r="B246" s="91" t="s">
        <v>2129</v>
      </c>
      <c r="C246" s="92">
        <v>0.15</v>
      </c>
      <c r="D246" s="92">
        <v>0.15</v>
      </c>
      <c r="E246" s="92">
        <v>0.15</v>
      </c>
      <c r="F246" s="93">
        <v>0.114</v>
      </c>
    </row>
    <row r="247" spans="1:6">
      <c r="A247" s="87" t="s">
        <v>289</v>
      </c>
      <c r="B247" s="91" t="s">
        <v>2143</v>
      </c>
      <c r="C247" s="92">
        <v>0.15</v>
      </c>
      <c r="D247" s="92">
        <v>0.15</v>
      </c>
      <c r="E247" s="92">
        <v>0.15</v>
      </c>
      <c r="F247" s="93">
        <v>0.15</v>
      </c>
    </row>
    <row r="248" spans="1:6">
      <c r="A248" s="87" t="s">
        <v>289</v>
      </c>
      <c r="B248" s="91" t="s">
        <v>2155</v>
      </c>
      <c r="C248" s="92">
        <v>0.15</v>
      </c>
      <c r="D248" s="92">
        <v>0.15</v>
      </c>
      <c r="E248" s="92">
        <v>0.15</v>
      </c>
      <c r="F248" s="93">
        <v>0.14000000000000001</v>
      </c>
    </row>
    <row r="249" spans="1:6">
      <c r="A249" s="87" t="s">
        <v>289</v>
      </c>
      <c r="B249" s="91" t="s">
        <v>2167</v>
      </c>
      <c r="C249" s="92">
        <v>0.15</v>
      </c>
      <c r="D249" s="92">
        <v>0.14899999999999999</v>
      </c>
      <c r="E249" s="92">
        <v>0.15</v>
      </c>
      <c r="F249" s="93">
        <v>0.1</v>
      </c>
    </row>
    <row r="250" spans="1:6">
      <c r="A250" s="87" t="s">
        <v>289</v>
      </c>
      <c r="B250" s="91" t="s">
        <v>2178</v>
      </c>
      <c r="C250" s="92">
        <v>0.15</v>
      </c>
      <c r="D250" s="92">
        <v>0.15</v>
      </c>
      <c r="E250" s="92">
        <v>0.15</v>
      </c>
      <c r="F250" s="93">
        <v>0.14399999999999999</v>
      </c>
    </row>
    <row r="251" spans="1:6">
      <c r="A251" s="87" t="s">
        <v>289</v>
      </c>
      <c r="B251" s="91" t="s">
        <v>2189</v>
      </c>
      <c r="C251" s="92">
        <v>0.15</v>
      </c>
      <c r="D251" s="92">
        <v>0.15</v>
      </c>
      <c r="E251" s="92">
        <v>0.15</v>
      </c>
      <c r="F251" s="93">
        <v>0.14299999999999999</v>
      </c>
    </row>
    <row r="252" spans="1:6">
      <c r="A252" s="87" t="s">
        <v>289</v>
      </c>
      <c r="B252" s="91" t="s">
        <v>2200</v>
      </c>
      <c r="C252" s="92">
        <v>0.15</v>
      </c>
      <c r="D252" s="92">
        <v>0.15</v>
      </c>
      <c r="E252" s="92">
        <v>0.15</v>
      </c>
      <c r="F252" s="93">
        <v>0.1</v>
      </c>
    </row>
    <row r="253" spans="1:6">
      <c r="A253" s="87" t="s">
        <v>289</v>
      </c>
      <c r="B253" s="91" t="s">
        <v>2210</v>
      </c>
      <c r="C253" s="92">
        <v>0.15</v>
      </c>
      <c r="D253" s="92">
        <v>0.15</v>
      </c>
      <c r="E253" s="92">
        <v>0.15</v>
      </c>
      <c r="F253" s="93">
        <v>0.1</v>
      </c>
    </row>
    <row r="254" spans="1:6">
      <c r="A254" s="87" t="s">
        <v>289</v>
      </c>
      <c r="B254" s="91" t="s">
        <v>2220</v>
      </c>
      <c r="C254" s="101"/>
      <c r="D254" s="101"/>
      <c r="E254" s="101"/>
      <c r="F254" s="93">
        <v>0.15</v>
      </c>
    </row>
    <row r="255" spans="1:6">
      <c r="A255" s="87" t="s">
        <v>289</v>
      </c>
      <c r="B255" s="91" t="s">
        <v>2230</v>
      </c>
      <c r="C255" s="101"/>
      <c r="D255" s="101"/>
      <c r="E255" s="101"/>
      <c r="F255" s="93">
        <v>0.14299999999999999</v>
      </c>
    </row>
    <row r="256" spans="1:6">
      <c r="A256" s="87" t="s">
        <v>289</v>
      </c>
      <c r="B256" s="91" t="s">
        <v>2240</v>
      </c>
      <c r="C256" s="92">
        <v>0.14599999999999999</v>
      </c>
      <c r="D256" s="92">
        <v>0.14699999999999999</v>
      </c>
      <c r="E256" s="92">
        <v>0.15</v>
      </c>
      <c r="F256" s="93">
        <v>0.13200000000000001</v>
      </c>
    </row>
    <row r="257" spans="1:6">
      <c r="A257" s="87" t="s">
        <v>289</v>
      </c>
      <c r="B257" s="91" t="s">
        <v>2250</v>
      </c>
      <c r="C257" s="92">
        <v>0.15</v>
      </c>
      <c r="D257" s="92">
        <v>0.15</v>
      </c>
      <c r="E257" s="92">
        <v>0.15</v>
      </c>
      <c r="F257" s="93">
        <v>0.13900000000000001</v>
      </c>
    </row>
    <row r="258" spans="1:6">
      <c r="A258" s="87" t="s">
        <v>289</v>
      </c>
      <c r="B258" s="91" t="s">
        <v>2260</v>
      </c>
      <c r="C258" s="92">
        <v>0.15</v>
      </c>
      <c r="D258" s="92">
        <v>0.15</v>
      </c>
      <c r="E258" s="92">
        <v>0.15</v>
      </c>
      <c r="F258" s="93">
        <v>0.13</v>
      </c>
    </row>
    <row r="259" spans="1:6">
      <c r="A259" s="87" t="s">
        <v>289</v>
      </c>
      <c r="B259" s="91" t="s">
        <v>2270</v>
      </c>
      <c r="C259" s="92">
        <v>0.14799999999999999</v>
      </c>
      <c r="D259" s="92">
        <v>0.14899999999999999</v>
      </c>
      <c r="E259" s="92">
        <v>0.15</v>
      </c>
      <c r="F259" s="93">
        <v>0.13700000000000001</v>
      </c>
    </row>
    <row r="260" spans="1:6">
      <c r="A260" s="87" t="s">
        <v>289</v>
      </c>
      <c r="B260" s="91" t="s">
        <v>2280</v>
      </c>
      <c r="C260" s="92">
        <v>0.15</v>
      </c>
      <c r="D260" s="92">
        <v>0.15</v>
      </c>
      <c r="E260" s="92">
        <v>0.15</v>
      </c>
      <c r="F260" s="93">
        <v>0.14199999999999999</v>
      </c>
    </row>
    <row r="261" spans="1:6">
      <c r="A261" s="87" t="s">
        <v>289</v>
      </c>
      <c r="B261" s="91" t="s">
        <v>2290</v>
      </c>
      <c r="C261" s="92">
        <v>0.15</v>
      </c>
      <c r="D261" s="92">
        <v>0.15</v>
      </c>
      <c r="E261" s="92">
        <v>0.14899999999999999</v>
      </c>
      <c r="F261" s="93">
        <v>0.14799999999999999</v>
      </c>
    </row>
    <row r="262" spans="1:6">
      <c r="A262" s="87" t="s">
        <v>289</v>
      </c>
      <c r="B262" s="91" t="s">
        <v>2300</v>
      </c>
      <c r="C262" s="92">
        <v>0.15</v>
      </c>
      <c r="D262" s="92">
        <v>0.15</v>
      </c>
      <c r="E262" s="92">
        <v>0.15</v>
      </c>
      <c r="F262" s="100"/>
    </row>
    <row r="263" spans="1:6">
      <c r="A263" s="87" t="s">
        <v>289</v>
      </c>
      <c r="B263" s="91" t="s">
        <v>2310</v>
      </c>
      <c r="C263" s="92">
        <v>0.14899999999999999</v>
      </c>
      <c r="D263" s="92">
        <v>0.14899999999999999</v>
      </c>
      <c r="E263" s="92">
        <v>0.15</v>
      </c>
      <c r="F263" s="93">
        <v>0.13</v>
      </c>
    </row>
    <row r="264" spans="1:6">
      <c r="A264" s="87" t="s">
        <v>289</v>
      </c>
      <c r="B264" s="91" t="s">
        <v>2319</v>
      </c>
      <c r="C264" s="92">
        <v>0.14799999999999999</v>
      </c>
      <c r="D264" s="92">
        <v>0.14699999999999999</v>
      </c>
      <c r="E264" s="92">
        <v>0.15</v>
      </c>
      <c r="F264" s="93">
        <v>7.8E-2</v>
      </c>
    </row>
    <row r="265" spans="1:6">
      <c r="A265" s="87" t="s">
        <v>289</v>
      </c>
      <c r="B265" s="91" t="s">
        <v>2327</v>
      </c>
      <c r="C265" s="92">
        <v>0.15</v>
      </c>
      <c r="D265" s="92">
        <v>0.15</v>
      </c>
      <c r="E265" s="92">
        <v>0.15</v>
      </c>
      <c r="F265" s="93">
        <v>7.3999999999999996E-2</v>
      </c>
    </row>
    <row r="266" spans="1:6">
      <c r="A266" s="87" t="s">
        <v>289</v>
      </c>
      <c r="B266" s="91" t="s">
        <v>2335</v>
      </c>
      <c r="C266" s="92">
        <v>0.14699999999999999</v>
      </c>
      <c r="D266" s="92">
        <v>0.14699999999999999</v>
      </c>
      <c r="E266" s="92">
        <v>0.15</v>
      </c>
      <c r="F266" s="93">
        <v>0.14299999999999999</v>
      </c>
    </row>
    <row r="267" spans="1:6">
      <c r="A267" s="87" t="s">
        <v>289</v>
      </c>
      <c r="B267" s="91" t="s">
        <v>2342</v>
      </c>
      <c r="C267" s="92">
        <v>0.14199999999999999</v>
      </c>
      <c r="D267" s="92">
        <v>0.14299999999999999</v>
      </c>
      <c r="E267" s="92">
        <v>0.15</v>
      </c>
      <c r="F267" s="100"/>
    </row>
    <row r="268" spans="1:6">
      <c r="A268" s="87" t="s">
        <v>289</v>
      </c>
      <c r="B268" s="91" t="s">
        <v>2349</v>
      </c>
      <c r="C268" s="92">
        <v>0.15</v>
      </c>
      <c r="D268" s="92">
        <v>0.15</v>
      </c>
      <c r="E268" s="92">
        <v>0.15</v>
      </c>
      <c r="F268" s="93">
        <v>0.13</v>
      </c>
    </row>
    <row r="269" spans="1:6">
      <c r="A269" s="87" t="s">
        <v>289</v>
      </c>
      <c r="B269" s="91" t="s">
        <v>2356</v>
      </c>
      <c r="C269" s="92">
        <v>0.15</v>
      </c>
      <c r="D269" s="92">
        <v>0.15</v>
      </c>
      <c r="E269" s="92">
        <v>0.15</v>
      </c>
      <c r="F269" s="93">
        <v>0.14299999999999999</v>
      </c>
    </row>
    <row r="270" spans="1:6">
      <c r="A270" s="87" t="s">
        <v>289</v>
      </c>
      <c r="B270" s="91" t="s">
        <v>2363</v>
      </c>
      <c r="C270" s="92">
        <v>0.14499999999999999</v>
      </c>
      <c r="D270" s="92">
        <v>0.14499999999999999</v>
      </c>
      <c r="E270" s="92">
        <v>0.15</v>
      </c>
      <c r="F270" s="93">
        <v>0.14699999999999999</v>
      </c>
    </row>
    <row r="271" spans="1:6">
      <c r="A271" s="87" t="s">
        <v>289</v>
      </c>
      <c r="B271" s="91" t="s">
        <v>2370</v>
      </c>
      <c r="C271" s="92">
        <v>0.15</v>
      </c>
      <c r="D271" s="92">
        <v>0.15</v>
      </c>
      <c r="E271" s="92">
        <v>0.15</v>
      </c>
      <c r="F271" s="93">
        <v>0.13800000000000001</v>
      </c>
    </row>
    <row r="272" spans="1:6">
      <c r="A272" s="87" t="s">
        <v>289</v>
      </c>
      <c r="B272" s="91" t="s">
        <v>2375</v>
      </c>
      <c r="C272" s="101"/>
      <c r="D272" s="101"/>
      <c r="E272" s="101"/>
      <c r="F272" s="93">
        <v>0.14000000000000001</v>
      </c>
    </row>
    <row r="273" spans="1:6">
      <c r="A273" s="87" t="s">
        <v>289</v>
      </c>
      <c r="B273" s="91" t="s">
        <v>2380</v>
      </c>
      <c r="C273" s="92">
        <v>0.14199999999999999</v>
      </c>
      <c r="D273" s="92">
        <v>0.14299999999999999</v>
      </c>
      <c r="E273" s="92">
        <v>0.15</v>
      </c>
      <c r="F273" s="93">
        <v>0.1</v>
      </c>
    </row>
    <row r="274" spans="1:6">
      <c r="A274" s="87" t="s">
        <v>289</v>
      </c>
      <c r="B274" s="91" t="s">
        <v>2385</v>
      </c>
      <c r="C274" s="92">
        <v>0.14799999999999999</v>
      </c>
      <c r="D274" s="92">
        <v>0.14799999999999999</v>
      </c>
      <c r="E274" s="92">
        <v>0.15</v>
      </c>
      <c r="F274" s="93">
        <v>6.7000000000000004E-2</v>
      </c>
    </row>
    <row r="275" spans="1:6">
      <c r="A275" s="87" t="s">
        <v>289</v>
      </c>
      <c r="B275" s="91" t="s">
        <v>2390</v>
      </c>
      <c r="C275" s="92">
        <v>0.15</v>
      </c>
      <c r="D275" s="92">
        <v>0.15</v>
      </c>
      <c r="E275" s="92">
        <v>0.15</v>
      </c>
      <c r="F275" s="93">
        <v>0.15</v>
      </c>
    </row>
    <row r="276" spans="1:6">
      <c r="A276" s="87" t="s">
        <v>289</v>
      </c>
      <c r="B276" s="91" t="s">
        <v>2395</v>
      </c>
      <c r="C276" s="92">
        <v>0.14499999999999999</v>
      </c>
      <c r="D276" s="92">
        <v>0.14299999999999999</v>
      </c>
      <c r="E276" s="92">
        <v>0.15</v>
      </c>
      <c r="F276" s="93">
        <v>5.8999999999999997E-2</v>
      </c>
    </row>
    <row r="277" spans="1:6">
      <c r="A277" s="87" t="s">
        <v>289</v>
      </c>
      <c r="B277" s="91" t="s">
        <v>2400</v>
      </c>
      <c r="C277" s="92">
        <v>0.15</v>
      </c>
      <c r="D277" s="92">
        <v>0.15</v>
      </c>
      <c r="E277" s="92">
        <v>0.15</v>
      </c>
      <c r="F277" s="93">
        <v>0.121</v>
      </c>
    </row>
    <row r="278" spans="1:6">
      <c r="A278" s="87" t="s">
        <v>289</v>
      </c>
      <c r="B278" s="91" t="s">
        <v>2405</v>
      </c>
      <c r="C278" s="92">
        <v>0.15</v>
      </c>
      <c r="D278" s="92">
        <v>0.15</v>
      </c>
      <c r="E278" s="92">
        <v>0.15</v>
      </c>
      <c r="F278" s="93">
        <v>0.13800000000000001</v>
      </c>
    </row>
    <row r="279" spans="1:6" ht="24">
      <c r="A279" s="87" t="s">
        <v>289</v>
      </c>
      <c r="B279" s="91" t="s">
        <v>2409</v>
      </c>
      <c r="C279" s="101"/>
      <c r="D279" s="101"/>
      <c r="E279" s="101"/>
      <c r="F279" s="93">
        <v>0.05</v>
      </c>
    </row>
    <row r="280" spans="1:6" ht="24">
      <c r="A280" s="87" t="s">
        <v>289</v>
      </c>
      <c r="B280" s="91" t="s">
        <v>2413</v>
      </c>
      <c r="C280" s="101"/>
      <c r="D280" s="101"/>
      <c r="E280" s="101"/>
      <c r="F280" s="93">
        <v>0.05</v>
      </c>
    </row>
    <row r="281" spans="1:6" ht="24">
      <c r="A281" s="87" t="s">
        <v>289</v>
      </c>
      <c r="B281" s="91" t="s">
        <v>2417</v>
      </c>
      <c r="C281" s="101"/>
      <c r="D281" s="101"/>
      <c r="E281" s="101"/>
      <c r="F281" s="93">
        <v>0.05</v>
      </c>
    </row>
    <row r="282" spans="1:6" ht="24">
      <c r="A282" s="87" t="s">
        <v>289</v>
      </c>
      <c r="B282" s="91" t="s">
        <v>2421</v>
      </c>
      <c r="C282" s="101"/>
      <c r="D282" s="101"/>
      <c r="E282" s="101"/>
      <c r="F282" s="93">
        <v>0.05</v>
      </c>
    </row>
    <row r="283" spans="1:6" ht="24">
      <c r="A283" s="87" t="s">
        <v>289</v>
      </c>
      <c r="B283" s="91" t="s">
        <v>2425</v>
      </c>
      <c r="C283" s="101"/>
      <c r="D283" s="101"/>
      <c r="E283" s="101"/>
      <c r="F283" s="93">
        <v>0.05</v>
      </c>
    </row>
    <row r="284" spans="1:6" ht="24">
      <c r="A284" s="87" t="s">
        <v>289</v>
      </c>
      <c r="B284" s="91" t="s">
        <v>2428</v>
      </c>
      <c r="C284" s="101"/>
      <c r="D284" s="101"/>
      <c r="E284" s="101"/>
      <c r="F284" s="93">
        <v>0.05</v>
      </c>
    </row>
    <row r="285" spans="1:6" ht="24">
      <c r="A285" s="87" t="s">
        <v>289</v>
      </c>
      <c r="B285" s="91" t="s">
        <v>2431</v>
      </c>
      <c r="C285" s="101"/>
      <c r="D285" s="101"/>
      <c r="E285" s="101"/>
      <c r="F285" s="93">
        <v>0.05</v>
      </c>
    </row>
    <row r="286" spans="1:6" ht="24">
      <c r="A286" s="87" t="s">
        <v>289</v>
      </c>
      <c r="B286" s="91" t="s">
        <v>2434</v>
      </c>
      <c r="C286" s="101"/>
      <c r="D286" s="101"/>
      <c r="E286" s="101"/>
      <c r="F286" s="93">
        <v>0.05</v>
      </c>
    </row>
    <row r="287" spans="1:6" ht="24">
      <c r="A287" s="87" t="s">
        <v>289</v>
      </c>
      <c r="B287" s="91" t="s">
        <v>2437</v>
      </c>
      <c r="C287" s="101"/>
      <c r="D287" s="101"/>
      <c r="E287" s="101"/>
      <c r="F287" s="93">
        <v>0.05</v>
      </c>
    </row>
    <row r="288" spans="1:6" ht="24">
      <c r="A288" s="87" t="s">
        <v>289</v>
      </c>
      <c r="B288" s="91" t="s">
        <v>2440</v>
      </c>
      <c r="C288" s="101"/>
      <c r="D288" s="101"/>
      <c r="E288" s="101"/>
      <c r="F288" s="93">
        <v>0.05</v>
      </c>
    </row>
    <row r="289" spans="1:6" ht="24">
      <c r="A289" s="95" t="s">
        <v>289</v>
      </c>
      <c r="B289" s="102" t="s">
        <v>2443</v>
      </c>
      <c r="C289" s="98"/>
      <c r="D289" s="98"/>
      <c r="E289" s="98"/>
      <c r="F289" s="103">
        <v>0.05</v>
      </c>
    </row>
    <row r="290" spans="1:6">
      <c r="A290" s="87" t="s">
        <v>292</v>
      </c>
      <c r="B290" s="88" t="s">
        <v>2117</v>
      </c>
      <c r="C290" s="89">
        <v>0.15</v>
      </c>
      <c r="D290" s="89">
        <v>0.15</v>
      </c>
      <c r="E290" s="89">
        <v>0.15</v>
      </c>
      <c r="F290" s="111"/>
    </row>
    <row r="291" spans="1:6">
      <c r="A291" s="87" t="s">
        <v>292</v>
      </c>
      <c r="B291" s="91" t="s">
        <v>2130</v>
      </c>
      <c r="C291" s="92">
        <v>0.15</v>
      </c>
      <c r="D291" s="92">
        <v>0.15</v>
      </c>
      <c r="E291" s="92">
        <v>0.15</v>
      </c>
      <c r="F291" s="100"/>
    </row>
    <row r="292" spans="1:6">
      <c r="A292" s="87" t="s">
        <v>292</v>
      </c>
      <c r="B292" s="91" t="s">
        <v>2144</v>
      </c>
      <c r="C292" s="92">
        <v>0.15</v>
      </c>
      <c r="D292" s="92">
        <v>0.15</v>
      </c>
      <c r="E292" s="92">
        <v>0.15</v>
      </c>
      <c r="F292" s="93">
        <v>0.14699999999999999</v>
      </c>
    </row>
    <row r="293" spans="1:6">
      <c r="A293" s="87" t="s">
        <v>292</v>
      </c>
      <c r="B293" s="91" t="s">
        <v>2450</v>
      </c>
      <c r="C293" s="101"/>
      <c r="D293" s="101"/>
      <c r="E293" s="101"/>
      <c r="F293" s="93">
        <v>0.1</v>
      </c>
    </row>
    <row r="294" spans="1:6">
      <c r="A294" s="87" t="s">
        <v>292</v>
      </c>
      <c r="B294" s="91" t="s">
        <v>2156</v>
      </c>
      <c r="C294" s="92">
        <v>0.15</v>
      </c>
      <c r="D294" s="92">
        <v>0.15</v>
      </c>
      <c r="E294" s="92">
        <v>0.15</v>
      </c>
      <c r="F294" s="93">
        <v>0.15</v>
      </c>
    </row>
    <row r="295" spans="1:6">
      <c r="A295" s="87" t="s">
        <v>292</v>
      </c>
      <c r="B295" s="91" t="s">
        <v>2168</v>
      </c>
      <c r="C295" s="92">
        <v>0.15</v>
      </c>
      <c r="D295" s="92">
        <v>0.15</v>
      </c>
      <c r="E295" s="92">
        <v>0.15</v>
      </c>
      <c r="F295" s="93">
        <v>0.15</v>
      </c>
    </row>
    <row r="296" spans="1:6">
      <c r="A296" s="87" t="s">
        <v>292</v>
      </c>
      <c r="B296" s="91" t="s">
        <v>2179</v>
      </c>
      <c r="C296" s="92">
        <v>0.15</v>
      </c>
      <c r="D296" s="92">
        <v>0.15</v>
      </c>
      <c r="E296" s="92">
        <v>0.15</v>
      </c>
      <c r="F296" s="93">
        <v>0.15</v>
      </c>
    </row>
    <row r="297" spans="1:6">
      <c r="A297" s="87" t="s">
        <v>292</v>
      </c>
      <c r="B297" s="91" t="s">
        <v>2190</v>
      </c>
      <c r="C297" s="92">
        <v>0.14799999999999999</v>
      </c>
      <c r="D297" s="92">
        <v>0.14899999999999999</v>
      </c>
      <c r="E297" s="92">
        <v>0.15</v>
      </c>
      <c r="F297" s="93">
        <v>0.13700000000000001</v>
      </c>
    </row>
    <row r="298" spans="1:6">
      <c r="A298" s="87" t="s">
        <v>292</v>
      </c>
      <c r="B298" s="91" t="s">
        <v>2201</v>
      </c>
      <c r="C298" s="92">
        <v>0.13400000000000001</v>
      </c>
      <c r="D298" s="92">
        <v>0.13400000000000001</v>
      </c>
      <c r="E298" s="92">
        <v>0.14499999999999999</v>
      </c>
      <c r="F298" s="93">
        <v>0.14799999999999999</v>
      </c>
    </row>
    <row r="299" spans="1:6">
      <c r="A299" s="87" t="s">
        <v>292</v>
      </c>
      <c r="B299" s="91" t="s">
        <v>2211</v>
      </c>
      <c r="C299" s="92">
        <v>0.15</v>
      </c>
      <c r="D299" s="92">
        <v>0.15</v>
      </c>
      <c r="E299" s="92">
        <v>0.15</v>
      </c>
      <c r="F299" s="100"/>
    </row>
    <row r="300" spans="1:6">
      <c r="A300" s="87" t="s">
        <v>292</v>
      </c>
      <c r="B300" s="91" t="s">
        <v>2221</v>
      </c>
      <c r="C300" s="92">
        <v>0.15</v>
      </c>
      <c r="D300" s="92">
        <v>0.15</v>
      </c>
      <c r="E300" s="92">
        <v>0.15</v>
      </c>
      <c r="F300" s="93">
        <v>0.15</v>
      </c>
    </row>
    <row r="301" spans="1:6">
      <c r="A301" s="87" t="s">
        <v>292</v>
      </c>
      <c r="B301" s="91" t="s">
        <v>2231</v>
      </c>
      <c r="C301" s="92">
        <v>0.15</v>
      </c>
      <c r="D301" s="92">
        <v>0.15</v>
      </c>
      <c r="E301" s="92">
        <v>0.15</v>
      </c>
      <c r="F301" s="100"/>
    </row>
    <row r="302" spans="1:6">
      <c r="A302" s="87" t="s">
        <v>292</v>
      </c>
      <c r="B302" s="91" t="s">
        <v>2241</v>
      </c>
      <c r="C302" s="92">
        <v>0.15</v>
      </c>
      <c r="D302" s="92">
        <v>0.15</v>
      </c>
      <c r="E302" s="92">
        <v>0.15</v>
      </c>
      <c r="F302" s="93">
        <v>0.15</v>
      </c>
    </row>
    <row r="303" spans="1:6">
      <c r="A303" s="87" t="s">
        <v>292</v>
      </c>
      <c r="B303" s="91" t="s">
        <v>2251</v>
      </c>
      <c r="C303" s="92">
        <v>0.15</v>
      </c>
      <c r="D303" s="92">
        <v>0.15</v>
      </c>
      <c r="E303" s="92">
        <v>0.15</v>
      </c>
      <c r="F303" s="93">
        <v>0.15</v>
      </c>
    </row>
    <row r="304" spans="1:6">
      <c r="A304" s="87" t="s">
        <v>292</v>
      </c>
      <c r="B304" s="91" t="s">
        <v>2261</v>
      </c>
      <c r="C304" s="92">
        <v>0.15</v>
      </c>
      <c r="D304" s="92">
        <v>0.15</v>
      </c>
      <c r="E304" s="92">
        <v>0.15</v>
      </c>
      <c r="F304" s="100"/>
    </row>
    <row r="305" spans="1:6">
      <c r="A305" s="87" t="s">
        <v>292</v>
      </c>
      <c r="B305" s="91" t="s">
        <v>2271</v>
      </c>
      <c r="C305" s="92">
        <v>0.15</v>
      </c>
      <c r="D305" s="92">
        <v>0.15</v>
      </c>
      <c r="E305" s="92">
        <v>0.15</v>
      </c>
      <c r="F305" s="93">
        <v>0.14000000000000001</v>
      </c>
    </row>
    <row r="306" spans="1:6">
      <c r="A306" s="87" t="s">
        <v>292</v>
      </c>
      <c r="B306" s="91" t="s">
        <v>2281</v>
      </c>
      <c r="C306" s="92">
        <v>0.15</v>
      </c>
      <c r="D306" s="92">
        <v>0.15</v>
      </c>
      <c r="E306" s="92">
        <v>0.15</v>
      </c>
      <c r="F306" s="100"/>
    </row>
    <row r="307" spans="1:6">
      <c r="A307" s="87" t="s">
        <v>292</v>
      </c>
      <c r="B307" s="91" t="s">
        <v>2291</v>
      </c>
      <c r="C307" s="92">
        <v>0.15</v>
      </c>
      <c r="D307" s="92">
        <v>0.15</v>
      </c>
      <c r="E307" s="92">
        <v>0.15</v>
      </c>
      <c r="F307" s="93">
        <v>0.14299999999999999</v>
      </c>
    </row>
    <row r="308" spans="1:6">
      <c r="A308" s="87" t="s">
        <v>292</v>
      </c>
      <c r="B308" s="91" t="s">
        <v>2301</v>
      </c>
      <c r="C308" s="92">
        <v>0.15</v>
      </c>
      <c r="D308" s="92">
        <v>0.15</v>
      </c>
      <c r="E308" s="92">
        <v>0.15</v>
      </c>
      <c r="F308" s="93">
        <v>0.15</v>
      </c>
    </row>
    <row r="309" spans="1:6">
      <c r="A309" s="87" t="s">
        <v>292</v>
      </c>
      <c r="B309" s="91" t="s">
        <v>2311</v>
      </c>
      <c r="C309" s="92">
        <v>0.15</v>
      </c>
      <c r="D309" s="92">
        <v>0.15</v>
      </c>
      <c r="E309" s="92">
        <v>0.15</v>
      </c>
      <c r="F309" s="100"/>
    </row>
    <row r="310" spans="1:6">
      <c r="A310" s="87" t="s">
        <v>292</v>
      </c>
      <c r="B310" s="91" t="s">
        <v>2320</v>
      </c>
      <c r="C310" s="92">
        <v>0.15</v>
      </c>
      <c r="D310" s="92">
        <v>0.15</v>
      </c>
      <c r="E310" s="92">
        <v>0.15</v>
      </c>
      <c r="F310" s="93">
        <v>0.13700000000000001</v>
      </c>
    </row>
    <row r="311" spans="1:6">
      <c r="A311" s="87" t="s">
        <v>292</v>
      </c>
      <c r="B311" s="91" t="s">
        <v>2328</v>
      </c>
      <c r="C311" s="92">
        <v>0.15</v>
      </c>
      <c r="D311" s="92">
        <v>0.15</v>
      </c>
      <c r="E311" s="92">
        <v>0.15</v>
      </c>
      <c r="F311" s="93">
        <v>0.15</v>
      </c>
    </row>
    <row r="312" spans="1:6">
      <c r="A312" s="87" t="s">
        <v>292</v>
      </c>
      <c r="B312" s="91" t="s">
        <v>2336</v>
      </c>
      <c r="C312" s="92">
        <v>0.15</v>
      </c>
      <c r="D312" s="92">
        <v>0.15</v>
      </c>
      <c r="E312" s="92">
        <v>0.15</v>
      </c>
      <c r="F312" s="93">
        <v>0.1</v>
      </c>
    </row>
    <row r="313" spans="1:6">
      <c r="A313" s="87" t="s">
        <v>292</v>
      </c>
      <c r="B313" s="91" t="s">
        <v>2343</v>
      </c>
      <c r="C313" s="92">
        <v>0.15</v>
      </c>
      <c r="D313" s="92">
        <v>0.15</v>
      </c>
      <c r="E313" s="92">
        <v>0.15</v>
      </c>
      <c r="F313" s="93">
        <v>0.15</v>
      </c>
    </row>
    <row r="314" spans="1:6" ht="24">
      <c r="A314" s="87" t="s">
        <v>292</v>
      </c>
      <c r="B314" s="91" t="s">
        <v>2350</v>
      </c>
      <c r="C314" s="101"/>
      <c r="D314" s="101"/>
      <c r="E314" s="101"/>
      <c r="F314" s="93">
        <v>0.05</v>
      </c>
    </row>
    <row r="315" spans="1:6" ht="24">
      <c r="A315" s="87" t="s">
        <v>292</v>
      </c>
      <c r="B315" s="91" t="s">
        <v>2357</v>
      </c>
      <c r="C315" s="101"/>
      <c r="D315" s="101"/>
      <c r="E315" s="101"/>
      <c r="F315" s="93">
        <v>0.05</v>
      </c>
    </row>
    <row r="316" spans="1:6" ht="24">
      <c r="A316" s="95" t="s">
        <v>292</v>
      </c>
      <c r="B316" s="102" t="s">
        <v>2364</v>
      </c>
      <c r="C316" s="98"/>
      <c r="D316" s="98"/>
      <c r="E316" s="98"/>
      <c r="F316" s="103">
        <v>0.05</v>
      </c>
    </row>
    <row r="317" spans="1:6">
      <c r="A317" s="87" t="s">
        <v>295</v>
      </c>
      <c r="B317" s="88" t="s">
        <v>2118</v>
      </c>
      <c r="C317" s="89">
        <v>0.15</v>
      </c>
      <c r="D317" s="89">
        <v>0.15</v>
      </c>
      <c r="E317" s="89">
        <v>0.15</v>
      </c>
      <c r="F317" s="90">
        <v>0.15</v>
      </c>
    </row>
    <row r="318" spans="1:6">
      <c r="A318" s="87" t="s">
        <v>295</v>
      </c>
      <c r="B318" s="91" t="s">
        <v>2131</v>
      </c>
      <c r="C318" s="92">
        <v>0.107</v>
      </c>
      <c r="D318" s="92">
        <v>0.11</v>
      </c>
      <c r="E318" s="92">
        <v>0.112</v>
      </c>
      <c r="F318" s="100"/>
    </row>
    <row r="319" spans="1:6">
      <c r="A319" s="87" t="s">
        <v>295</v>
      </c>
      <c r="B319" s="91" t="s">
        <v>2145</v>
      </c>
      <c r="C319" s="92">
        <v>0.15</v>
      </c>
      <c r="D319" s="92">
        <v>0.15</v>
      </c>
      <c r="E319" s="92">
        <v>0.15</v>
      </c>
      <c r="F319" s="93">
        <v>0.15</v>
      </c>
    </row>
    <row r="320" spans="1:6">
      <c r="A320" s="87" t="s">
        <v>295</v>
      </c>
      <c r="B320" s="91" t="s">
        <v>2157</v>
      </c>
      <c r="C320" s="92">
        <v>0.15</v>
      </c>
      <c r="D320" s="92">
        <v>0.15</v>
      </c>
      <c r="E320" s="92">
        <v>0.15</v>
      </c>
      <c r="F320" s="100"/>
    </row>
    <row r="321" spans="1:6">
      <c r="A321" s="87" t="s">
        <v>295</v>
      </c>
      <c r="B321" s="91" t="s">
        <v>2169</v>
      </c>
      <c r="C321" s="92">
        <v>0.15</v>
      </c>
      <c r="D321" s="92">
        <v>0.15</v>
      </c>
      <c r="E321" s="92">
        <v>0.15</v>
      </c>
      <c r="F321" s="100"/>
    </row>
    <row r="322" spans="1:6">
      <c r="A322" s="87" t="s">
        <v>295</v>
      </c>
      <c r="B322" s="91" t="s">
        <v>2180</v>
      </c>
      <c r="C322" s="92">
        <v>0.15</v>
      </c>
      <c r="D322" s="92">
        <v>0.15</v>
      </c>
      <c r="E322" s="92">
        <v>0.15</v>
      </c>
      <c r="F322" s="93">
        <v>0.15</v>
      </c>
    </row>
    <row r="323" spans="1:6">
      <c r="A323" s="87" t="s">
        <v>295</v>
      </c>
      <c r="B323" s="91" t="s">
        <v>2191</v>
      </c>
      <c r="C323" s="92">
        <v>0.15</v>
      </c>
      <c r="D323" s="92">
        <v>0.15</v>
      </c>
      <c r="E323" s="92">
        <v>0.15</v>
      </c>
      <c r="F323" s="100"/>
    </row>
    <row r="324" spans="1:6">
      <c r="A324" s="87" t="s">
        <v>295</v>
      </c>
      <c r="B324" s="91" t="s">
        <v>2202</v>
      </c>
      <c r="C324" s="92">
        <v>0.15</v>
      </c>
      <c r="D324" s="92">
        <v>0.15</v>
      </c>
      <c r="E324" s="92">
        <v>0.15</v>
      </c>
      <c r="F324" s="100"/>
    </row>
    <row r="325" spans="1:6">
      <c r="A325" s="87" t="s">
        <v>295</v>
      </c>
      <c r="B325" s="91" t="s">
        <v>2212</v>
      </c>
      <c r="C325" s="92">
        <v>0.15</v>
      </c>
      <c r="D325" s="92">
        <v>0.15</v>
      </c>
      <c r="E325" s="92">
        <v>0.15</v>
      </c>
      <c r="F325" s="93">
        <v>0.14699999999999999</v>
      </c>
    </row>
    <row r="326" spans="1:6">
      <c r="A326" s="87" t="s">
        <v>295</v>
      </c>
      <c r="B326" s="91" t="s">
        <v>2222</v>
      </c>
      <c r="C326" s="92">
        <v>0.15</v>
      </c>
      <c r="D326" s="92">
        <v>0.15</v>
      </c>
      <c r="E326" s="92">
        <v>0.15</v>
      </c>
      <c r="F326" s="100"/>
    </row>
    <row r="327" spans="1:6">
      <c r="A327" s="87" t="s">
        <v>295</v>
      </c>
      <c r="B327" s="91" t="s">
        <v>2232</v>
      </c>
      <c r="C327" s="92">
        <v>0.15</v>
      </c>
      <c r="D327" s="92">
        <v>0.15</v>
      </c>
      <c r="E327" s="92">
        <v>0.15</v>
      </c>
      <c r="F327" s="93">
        <v>0.15</v>
      </c>
    </row>
    <row r="328" spans="1:6">
      <c r="A328" s="87" t="s">
        <v>295</v>
      </c>
      <c r="B328" s="91" t="s">
        <v>2242</v>
      </c>
      <c r="C328" s="92">
        <v>0.15</v>
      </c>
      <c r="D328" s="92">
        <v>0.15</v>
      </c>
      <c r="E328" s="92">
        <v>0.15</v>
      </c>
      <c r="F328" s="93">
        <v>0.14099999999999999</v>
      </c>
    </row>
    <row r="329" spans="1:6">
      <c r="A329" s="87" t="s">
        <v>295</v>
      </c>
      <c r="B329" s="91" t="s">
        <v>2252</v>
      </c>
      <c r="C329" s="92">
        <v>0.15</v>
      </c>
      <c r="D329" s="92">
        <v>0.15</v>
      </c>
      <c r="E329" s="92">
        <v>0.15</v>
      </c>
      <c r="F329" s="93">
        <v>0.15</v>
      </c>
    </row>
    <row r="330" spans="1:6">
      <c r="A330" s="87" t="s">
        <v>295</v>
      </c>
      <c r="B330" s="91" t="s">
        <v>2262</v>
      </c>
      <c r="C330" s="92">
        <v>0.15</v>
      </c>
      <c r="D330" s="92">
        <v>0.15</v>
      </c>
      <c r="E330" s="92">
        <v>0.15</v>
      </c>
      <c r="F330" s="100"/>
    </row>
    <row r="331" spans="1:6">
      <c r="A331" s="87" t="s">
        <v>295</v>
      </c>
      <c r="B331" s="91" t="s">
        <v>2272</v>
      </c>
      <c r="C331" s="92">
        <v>0.15</v>
      </c>
      <c r="D331" s="92">
        <v>0.15</v>
      </c>
      <c r="E331" s="92">
        <v>0.15</v>
      </c>
      <c r="F331" s="93">
        <v>0.15</v>
      </c>
    </row>
    <row r="332" spans="1:6">
      <c r="A332" s="87" t="s">
        <v>295</v>
      </c>
      <c r="B332" s="91" t="s">
        <v>2282</v>
      </c>
      <c r="C332" s="92">
        <v>0.15</v>
      </c>
      <c r="D332" s="92">
        <v>0.15</v>
      </c>
      <c r="E332" s="92">
        <v>0.15</v>
      </c>
      <c r="F332" s="93">
        <v>0.15</v>
      </c>
    </row>
    <row r="333" spans="1:6">
      <c r="A333" s="87" t="s">
        <v>295</v>
      </c>
      <c r="B333" s="91" t="s">
        <v>2292</v>
      </c>
      <c r="C333" s="92">
        <v>0.15</v>
      </c>
      <c r="D333" s="92">
        <v>0.15</v>
      </c>
      <c r="E333" s="92">
        <v>0.15</v>
      </c>
      <c r="F333" s="93">
        <v>0.14099999999999999</v>
      </c>
    </row>
    <row r="334" spans="1:6">
      <c r="A334" s="87" t="s">
        <v>295</v>
      </c>
      <c r="B334" s="91" t="s">
        <v>2302</v>
      </c>
      <c r="C334" s="92">
        <v>0.15</v>
      </c>
      <c r="D334" s="92">
        <v>0.15</v>
      </c>
      <c r="E334" s="92">
        <v>0.15</v>
      </c>
      <c r="F334" s="93">
        <v>0.15</v>
      </c>
    </row>
    <row r="335" spans="1:6">
      <c r="A335" s="87" t="s">
        <v>295</v>
      </c>
      <c r="B335" s="91" t="s">
        <v>2312</v>
      </c>
      <c r="C335" s="92">
        <v>0.15</v>
      </c>
      <c r="D335" s="92">
        <v>0.15</v>
      </c>
      <c r="E335" s="92">
        <v>0.15</v>
      </c>
      <c r="F335" s="100"/>
    </row>
    <row r="336" spans="1:6">
      <c r="A336" s="87" t="s">
        <v>295</v>
      </c>
      <c r="B336" s="91" t="s">
        <v>2321</v>
      </c>
      <c r="C336" s="92">
        <v>0.15</v>
      </c>
      <c r="D336" s="92">
        <v>0.15</v>
      </c>
      <c r="E336" s="92">
        <v>0.15</v>
      </c>
      <c r="F336" s="93">
        <v>0.11799999999999999</v>
      </c>
    </row>
    <row r="337" spans="1:6">
      <c r="A337" s="95" t="s">
        <v>295</v>
      </c>
      <c r="B337" s="102" t="s">
        <v>2329</v>
      </c>
      <c r="C337" s="98"/>
      <c r="D337" s="98"/>
      <c r="E337" s="98"/>
      <c r="F337" s="103">
        <v>0.14299999999999999</v>
      </c>
    </row>
    <row r="338" spans="1:6">
      <c r="A338" s="87" t="s">
        <v>298</v>
      </c>
      <c r="B338" s="88" t="s">
        <v>2119</v>
      </c>
      <c r="C338" s="89">
        <v>0.15</v>
      </c>
      <c r="D338" s="89">
        <v>0.15</v>
      </c>
      <c r="E338" s="89">
        <v>0.15</v>
      </c>
      <c r="F338" s="111"/>
    </row>
    <row r="339" spans="1:6">
      <c r="A339" s="87" t="s">
        <v>298</v>
      </c>
      <c r="B339" s="91" t="s">
        <v>2132</v>
      </c>
      <c r="C339" s="92">
        <v>0.15</v>
      </c>
      <c r="D339" s="92">
        <v>0.15</v>
      </c>
      <c r="E339" s="92">
        <v>0.15</v>
      </c>
      <c r="F339" s="100"/>
    </row>
    <row r="340" spans="1:6">
      <c r="A340" s="87" t="s">
        <v>298</v>
      </c>
      <c r="B340" s="91" t="s">
        <v>2146</v>
      </c>
      <c r="C340" s="92">
        <v>0.15</v>
      </c>
      <c r="D340" s="92">
        <v>0.15</v>
      </c>
      <c r="E340" s="92">
        <v>0.15</v>
      </c>
      <c r="F340" s="100"/>
    </row>
    <row r="341" spans="1:6">
      <c r="A341" s="87" t="s">
        <v>298</v>
      </c>
      <c r="B341" s="91" t="s">
        <v>2158</v>
      </c>
      <c r="C341" s="92">
        <v>0.15</v>
      </c>
      <c r="D341" s="92">
        <v>0.15</v>
      </c>
      <c r="E341" s="92">
        <v>0.15</v>
      </c>
      <c r="F341" s="93">
        <v>0.15</v>
      </c>
    </row>
    <row r="342" spans="1:6">
      <c r="A342" s="87" t="s">
        <v>298</v>
      </c>
      <c r="B342" s="91" t="s">
        <v>2170</v>
      </c>
      <c r="C342" s="92">
        <v>0.15</v>
      </c>
      <c r="D342" s="92">
        <v>0.15</v>
      </c>
      <c r="E342" s="92">
        <v>0.15</v>
      </c>
      <c r="F342" s="93">
        <v>0.15</v>
      </c>
    </row>
    <row r="343" spans="1:6">
      <c r="A343" s="87" t="s">
        <v>298</v>
      </c>
      <c r="B343" s="91" t="s">
        <v>2181</v>
      </c>
      <c r="C343" s="92">
        <v>0.15</v>
      </c>
      <c r="D343" s="92">
        <v>0.15</v>
      </c>
      <c r="E343" s="92">
        <v>0.15</v>
      </c>
      <c r="F343" s="93">
        <v>0.15</v>
      </c>
    </row>
    <row r="344" spans="1:6">
      <c r="A344" s="95" t="s">
        <v>298</v>
      </c>
      <c r="B344" s="102" t="s">
        <v>2192</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2453</v>
      </c>
      <c r="C1" s="20">
        <f>项目基本情况!D3</f>
        <v>43360</v>
      </c>
      <c r="D1" s="19" t="s">
        <v>2454</v>
      </c>
      <c r="E1" s="21">
        <f>'数据-取费表'!B22</f>
        <v>2</v>
      </c>
      <c r="F1" s="19" t="s">
        <v>2455</v>
      </c>
      <c r="G1" s="22">
        <f ca="1">INDIRECT("d"&amp;$K$1)/100</f>
        <v>4.7500000000000001E-2</v>
      </c>
      <c r="H1" s="19" t="s">
        <v>2456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2455</v>
      </c>
      <c r="E2" s="23"/>
      <c r="F2" s="23" t="s">
        <v>2457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2460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2461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2462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2463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2464</v>
      </c>
      <c r="C10" s="47"/>
      <c r="D10" s="47"/>
      <c r="E10" s="47"/>
      <c r="F10" s="47"/>
      <c r="G10" s="47"/>
      <c r="H10" s="47"/>
      <c r="I10" s="15"/>
      <c r="J10" s="15"/>
      <c r="K10" s="47"/>
      <c r="L10" s="48" t="s">
        <v>2465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2466</v>
      </c>
      <c r="C11" s="51" t="s">
        <v>2467</v>
      </c>
      <c r="D11" s="52" t="s">
        <v>2468</v>
      </c>
      <c r="E11" s="53"/>
      <c r="F11" s="52" t="s">
        <v>2469</v>
      </c>
      <c r="G11" s="54"/>
      <c r="H11" s="53"/>
      <c r="I11" s="52" t="s">
        <v>2470</v>
      </c>
      <c r="J11" s="53"/>
      <c r="K11" s="49"/>
      <c r="L11" s="50" t="s">
        <v>2466</v>
      </c>
      <c r="M11" s="51" t="s">
        <v>2467</v>
      </c>
      <c r="N11" s="50" t="s">
        <v>2471</v>
      </c>
      <c r="O11" s="52" t="s">
        <v>2472</v>
      </c>
      <c r="P11" s="54"/>
      <c r="Q11" s="54"/>
      <c r="R11" s="54"/>
      <c r="S11" s="54"/>
      <c r="T11" s="53"/>
      <c r="U11" s="52" t="s">
        <v>2473</v>
      </c>
      <c r="V11" s="54"/>
      <c r="W11" s="53"/>
      <c r="X11" s="50" t="s">
        <v>2474</v>
      </c>
      <c r="Y11" s="50" t="s">
        <v>2475</v>
      </c>
      <c r="Z11" s="50" t="s">
        <v>2476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2477</v>
      </c>
      <c r="E12" s="58" t="s">
        <v>2459</v>
      </c>
      <c r="F12" s="58" t="s">
        <v>2460</v>
      </c>
      <c r="G12" s="58" t="s">
        <v>2461</v>
      </c>
      <c r="H12" s="58" t="s">
        <v>2462</v>
      </c>
      <c r="I12" s="69" t="s">
        <v>2478</v>
      </c>
      <c r="J12" s="69" t="s">
        <v>2478</v>
      </c>
      <c r="K12" s="55"/>
      <c r="L12" s="56"/>
      <c r="M12" s="57"/>
      <c r="N12" s="56"/>
      <c r="O12" s="69" t="s">
        <v>2479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2480</v>
      </c>
      <c r="C13" s="61">
        <v>42301</v>
      </c>
      <c r="D13" s="62">
        <v>4.3499999999999996</v>
      </c>
      <c r="E13" s="62">
        <v>4.3499999999999996</v>
      </c>
      <c r="F13" s="62">
        <v>4.75</v>
      </c>
      <c r="G13" s="62">
        <v>4.75</v>
      </c>
      <c r="H13" s="62">
        <v>4.9000000000000004</v>
      </c>
      <c r="I13" s="62">
        <v>2.75</v>
      </c>
      <c r="J13" s="62">
        <v>3.25</v>
      </c>
      <c r="K13" s="59"/>
      <c r="L13" s="60" t="s">
        <v>2480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2481</v>
      </c>
      <c r="Y42" s="63" t="s">
        <v>2481</v>
      </c>
      <c r="Z42" s="63" t="s">
        <v>2481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2481</v>
      </c>
      <c r="Y43" s="63" t="s">
        <v>2481</v>
      </c>
      <c r="Z43" s="63" t="s">
        <v>2481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2481</v>
      </c>
      <c r="Y44" s="63" t="s">
        <v>2481</v>
      </c>
      <c r="Z44" s="63" t="s">
        <v>2481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2481</v>
      </c>
      <c r="Y45" s="63" t="s">
        <v>2481</v>
      </c>
      <c r="Z45" s="63" t="s">
        <v>2481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2481</v>
      </c>
      <c r="Y46" s="63" t="s">
        <v>2481</v>
      </c>
      <c r="Z46" s="63" t="s">
        <v>2481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2481</v>
      </c>
      <c r="Y47" s="63" t="s">
        <v>2481</v>
      </c>
      <c r="Z47" s="63" t="s">
        <v>2481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2481</v>
      </c>
      <c r="Y48" s="63" t="s">
        <v>2481</v>
      </c>
      <c r="Z48" s="63" t="s">
        <v>2481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2481</v>
      </c>
      <c r="Y49" s="63" t="s">
        <v>2481</v>
      </c>
      <c r="Z49" s="63" t="s">
        <v>2481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2481</v>
      </c>
      <c r="Y50" s="63" t="s">
        <v>2481</v>
      </c>
      <c r="Z50" s="63" t="s">
        <v>2481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2481</v>
      </c>
      <c r="V51" s="63" t="s">
        <v>2481</v>
      </c>
      <c r="W51" s="63" t="s">
        <v>2481</v>
      </c>
      <c r="X51" s="63" t="s">
        <v>2481</v>
      </c>
      <c r="Y51" s="63" t="s">
        <v>2481</v>
      </c>
      <c r="Z51" s="63" t="s">
        <v>2481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2481</v>
      </c>
      <c r="J55" s="63" t="s">
        <v>2481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2482</v>
      </c>
      <c r="E1" s="2" t="s">
        <v>2483</v>
      </c>
      <c r="F1" s="3" t="s">
        <v>2484</v>
      </c>
    </row>
    <row r="2" spans="1:13" ht="20.25">
      <c r="A2" s="4" t="s">
        <v>2485</v>
      </c>
    </row>
    <row r="3" spans="1:13" ht="16.5">
      <c r="A3" s="5" t="s">
        <v>2486</v>
      </c>
    </row>
    <row r="4" spans="1:13" ht="14.25">
      <c r="A4" s="6" t="s">
        <v>1712</v>
      </c>
      <c r="B4" s="7" t="s">
        <v>1707</v>
      </c>
      <c r="C4" s="8"/>
      <c r="D4" s="9"/>
      <c r="E4" s="7" t="s">
        <v>1708</v>
      </c>
      <c r="F4" s="8"/>
      <c r="G4" s="9"/>
      <c r="H4" s="7" t="s">
        <v>1744</v>
      </c>
      <c r="I4" s="8"/>
      <c r="J4" s="9"/>
      <c r="K4" s="7" t="s">
        <v>1709</v>
      </c>
      <c r="L4" s="8"/>
      <c r="M4" s="9"/>
    </row>
    <row r="5" spans="1:13" ht="14.25">
      <c r="A5" s="10" t="s">
        <v>211</v>
      </c>
      <c r="B5" s="6" t="s">
        <v>2487</v>
      </c>
      <c r="C5" s="6" t="s">
        <v>2488</v>
      </c>
      <c r="D5" s="6" t="s">
        <v>2489</v>
      </c>
      <c r="E5" s="6" t="s">
        <v>2487</v>
      </c>
      <c r="F5" s="6" t="s">
        <v>2488</v>
      </c>
      <c r="G5" s="6" t="s">
        <v>2489</v>
      </c>
      <c r="H5" s="6" t="s">
        <v>2487</v>
      </c>
      <c r="I5" s="6" t="s">
        <v>2488</v>
      </c>
      <c r="J5" s="6" t="s">
        <v>2489</v>
      </c>
      <c r="K5" s="6" t="s">
        <v>2487</v>
      </c>
      <c r="L5" s="6" t="s">
        <v>2488</v>
      </c>
      <c r="M5" s="6" t="s">
        <v>2489</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2990" t="str">
        <f>IF(项目基本情况!B9="房地产市场价值","估价结果一览表","结果表-2")</f>
        <v>估价结果一览表</v>
      </c>
      <c r="B1" s="2990"/>
      <c r="C1" s="2990"/>
      <c r="D1" s="2990"/>
      <c r="E1" s="2990"/>
      <c r="F1" s="2990"/>
      <c r="G1" s="2990"/>
      <c r="H1" s="2990"/>
      <c r="I1" s="2990"/>
    </row>
    <row r="2" spans="1:9" ht="30" customHeight="1">
      <c r="A2" s="2991" t="s">
        <v>107</v>
      </c>
      <c r="B2" s="2991" t="s">
        <v>108</v>
      </c>
      <c r="C2" s="2991" t="s">
        <v>109</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
      <c r="A3" s="2992"/>
      <c r="B3" s="2992"/>
      <c r="C3" s="2992"/>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t="e">
        <f ca="1">结果表!D118</f>
        <v>#REF!</v>
      </c>
      <c r="E4" s="2916" t="e">
        <f ca="1">结果表!E118</f>
        <v>#REF!</v>
      </c>
      <c r="F4" s="2916" t="e">
        <f ca="1">结果表!F118</f>
        <v>#REF!</v>
      </c>
      <c r="G4" s="2916" t="e">
        <f ca="1">结果表!G118</f>
        <v>#REF!</v>
      </c>
      <c r="H4" s="2916">
        <f ca="1">结果表!H118</f>
        <v>858</v>
      </c>
      <c r="I4" s="2916">
        <f ca="1">结果表!I118</f>
        <v>66253</v>
      </c>
    </row>
    <row r="5" spans="1:9" ht="30" customHeight="1">
      <c r="A5" s="2992" t="s">
        <v>112</v>
      </c>
      <c r="B5" s="2992"/>
      <c r="C5" s="2992"/>
      <c r="D5" s="2993" t="e">
        <f ca="1">结果表!D119</f>
        <v>#REF!</v>
      </c>
      <c r="E5" s="2993"/>
      <c r="F5" s="2993" t="e">
        <f ca="1">结果表!F119</f>
        <v>#REF!</v>
      </c>
      <c r="G5" s="2993"/>
      <c r="H5" s="2993" t="str">
        <f ca="1">结果表!H119</f>
        <v>捌佰伍拾捌万元整</v>
      </c>
      <c r="I5" s="2993"/>
    </row>
    <row r="6" spans="1:9" ht="15.75">
      <c r="A6" s="2994" t="str">
        <f>结果表!A120</f>
        <v/>
      </c>
      <c r="B6" s="2994"/>
      <c r="C6" s="2994"/>
      <c r="D6" s="2994">
        <f>结果表!D120</f>
        <v>0</v>
      </c>
      <c r="E6" s="2994"/>
      <c r="F6" s="2994"/>
      <c r="G6" s="2994"/>
      <c r="H6" s="2994"/>
      <c r="I6" s="2994"/>
    </row>
    <row r="7" spans="1:9" ht="15">
      <c r="A7" s="2992" t="s">
        <v>112</v>
      </c>
      <c r="B7" s="2992"/>
      <c r="C7" s="2992"/>
      <c r="D7" s="2995" t="str">
        <f>结果表!D121</f>
        <v>零元整</v>
      </c>
      <c r="E7" s="2996"/>
      <c r="F7" s="2996"/>
      <c r="G7" s="2996"/>
      <c r="H7" s="2996"/>
      <c r="I7" s="2997"/>
    </row>
    <row r="8" spans="1:9" ht="15.75">
      <c r="A8" s="2994" t="str">
        <f>结果表!A122</f>
        <v/>
      </c>
      <c r="B8" s="2994"/>
      <c r="C8" s="2994"/>
      <c r="D8" s="2994">
        <f ca="1">结果表!D122</f>
        <v>858</v>
      </c>
      <c r="E8" s="2994"/>
      <c r="F8" s="2994"/>
      <c r="G8" s="2994"/>
      <c r="H8" s="2994"/>
      <c r="I8" s="2994"/>
    </row>
    <row r="9" spans="1:9" ht="15">
      <c r="A9" s="2992" t="s">
        <v>112</v>
      </c>
      <c r="B9" s="2992"/>
      <c r="C9" s="2992"/>
      <c r="D9" s="2993" t="str">
        <f ca="1">结果表!D123</f>
        <v>捌佰伍拾捌万元整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112</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
      <c r="A13" s="2998" t="s">
        <v>112</v>
      </c>
      <c r="B13" s="2998"/>
      <c r="C13" s="2998"/>
      <c r="D13" s="2999" t="e">
        <f>结果表!D127</f>
        <v>#VALUE!</v>
      </c>
      <c r="E13" s="2999"/>
      <c r="F13" s="2999"/>
      <c r="G13" s="2999"/>
      <c r="H13" s="2999"/>
      <c r="I13" s="2999"/>
    </row>
    <row r="14" spans="1:9">
      <c r="A14" s="3000" t="s">
        <v>113</v>
      </c>
      <c r="B14" s="3000"/>
      <c r="C14" s="3000"/>
      <c r="D14" s="3000"/>
      <c r="E14" s="3000"/>
      <c r="F14" s="3000"/>
      <c r="G14" s="3000"/>
      <c r="H14" s="3000"/>
      <c r="I14" s="3000"/>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01" t="s">
        <v>114</v>
      </c>
      <c r="B1" s="3001"/>
      <c r="C1" s="3001"/>
      <c r="D1" s="3001"/>
    </row>
    <row r="2" spans="1:4" ht="18">
      <c r="A2" s="3002" t="s">
        <v>115</v>
      </c>
      <c r="B2" s="3002"/>
      <c r="C2" s="3002"/>
      <c r="D2" s="3002"/>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02" t="s">
        <v>121</v>
      </c>
      <c r="B6" s="3002"/>
      <c r="C6" s="3002"/>
      <c r="D6" s="3002"/>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03" t="s">
        <v>126</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4" t="str">
        <f>IF(项目基本情况!B8="抵押","3.抵押双方在办理抵押登记手续时，应使用本公司出具的正式《房地产评估报告》，特提醒报告使用者注意。","——")</f>
        <v>——</v>
      </c>
      <c r="B13" s="3005"/>
      <c r="C13" s="3005"/>
      <c r="D13" s="3005"/>
    </row>
    <row r="14" spans="1:4" ht="15.75" customHeight="1">
      <c r="A14" s="3004" t="str">
        <f>IF(项目基本情况!B8="抵押","4.本次评估估价师所知悉的法定优先受偿款情况说明如下：","——")</f>
        <v>——</v>
      </c>
      <c r="B14" s="3005"/>
      <c r="C14" s="3005"/>
      <c r="D14" s="3005"/>
    </row>
    <row r="15" spans="1:4" ht="42" customHeight="1">
      <c r="A15" s="3004" t="str">
        <f>IF(项目基本情况!B8="抵押","（1）"&amp;CONCATENATE(项目基本情况!L20,项目基本情况!L21,项目基本情况!L22),"——")</f>
        <v>——</v>
      </c>
      <c r="B15" s="3004"/>
      <c r="C15" s="3004"/>
      <c r="D15" s="3004"/>
    </row>
    <row r="16" spans="1:4" ht="30" customHeight="1">
      <c r="A16" s="3006" t="s">
        <v>127</v>
      </c>
      <c r="B16" s="3006"/>
      <c r="C16" s="3006"/>
      <c r="D16" s="3006"/>
    </row>
    <row r="17" spans="1:4" ht="144" customHeight="1">
      <c r="A17" s="3006" t="s">
        <v>128</v>
      </c>
      <c r="B17" s="3006"/>
      <c r="C17" s="3006"/>
      <c r="D17" s="3006"/>
    </row>
    <row r="18" spans="1:4" ht="15.75" customHeight="1">
      <c r="A18" s="3004" t="str">
        <f>IF(项目基本情况!B8="抵押",结果表!K120,"——")</f>
        <v>——</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129</v>
      </c>
      <c r="B22" s="3009"/>
      <c r="C22" s="3009"/>
      <c r="D22" s="3009"/>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07">
        <v>42551</v>
      </c>
      <c r="D31" s="30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12" t="s">
        <v>146</v>
      </c>
      <c r="B15" s="3017" t="s">
        <v>147</v>
      </c>
      <c r="C15" s="3011"/>
    </row>
    <row r="16" spans="1:7" ht="13.5">
      <c r="A16" s="3013"/>
      <c r="B16" s="3017" t="s">
        <v>148</v>
      </c>
      <c r="C16" s="3011"/>
    </row>
    <row r="17" spans="1:3" ht="13.5">
      <c r="A17" s="3013"/>
      <c r="B17" s="3016" t="s">
        <v>149</v>
      </c>
      <c r="C17" s="2892" t="s">
        <v>146</v>
      </c>
    </row>
    <row r="18" spans="1:3" ht="13.5">
      <c r="A18" s="3013"/>
      <c r="B18" s="3016"/>
      <c r="C18" s="2892" t="s">
        <v>150</v>
      </c>
    </row>
    <row r="19" spans="1:3" ht="13.5">
      <c r="A19" s="3013"/>
      <c r="B19" s="3016"/>
      <c r="C19" s="2892" t="s">
        <v>151</v>
      </c>
    </row>
    <row r="20" spans="1:3" ht="13.5">
      <c r="A20" s="3014"/>
      <c r="B20" s="3010" t="s">
        <v>152</v>
      </c>
      <c r="C20" s="3011"/>
    </row>
    <row r="21" spans="1:3" ht="13.5">
      <c r="A21" s="2893" t="s">
        <v>153</v>
      </c>
      <c r="B21" s="2894"/>
      <c r="C21" s="2895"/>
    </row>
    <row r="22" spans="1:3" ht="13.5">
      <c r="A22" s="3015" t="s">
        <v>154</v>
      </c>
      <c r="B22" s="3010" t="s">
        <v>155</v>
      </c>
      <c r="C22" s="3011"/>
    </row>
    <row r="23" spans="1:3" ht="13.5">
      <c r="A23" s="3015"/>
      <c r="B23" s="3010" t="s">
        <v>156</v>
      </c>
      <c r="C23" s="3011"/>
    </row>
    <row r="24" spans="1:3" ht="13.5">
      <c r="A24" s="3015"/>
      <c r="B24" s="3010" t="s">
        <v>157</v>
      </c>
      <c r="C24" s="3011"/>
    </row>
    <row r="25" spans="1:3" ht="13.5">
      <c r="A25" s="3015"/>
      <c r="B25" s="3016" t="s">
        <v>158</v>
      </c>
      <c r="C25" s="2892" t="s">
        <v>159</v>
      </c>
    </row>
    <row r="26" spans="1:3" ht="13.5">
      <c r="A26" s="3015"/>
      <c r="B26" s="3016"/>
      <c r="C26" s="2892" t="s">
        <v>160</v>
      </c>
    </row>
    <row r="27" spans="1:3" ht="13.5">
      <c r="A27" s="3015"/>
      <c r="B27" s="3016"/>
      <c r="C27" s="2892" t="s">
        <v>161</v>
      </c>
    </row>
    <row r="28" spans="1:3" ht="13.5">
      <c r="A28" s="3015"/>
      <c r="B28" s="3016"/>
      <c r="C28" s="2892" t="s">
        <v>162</v>
      </c>
    </row>
    <row r="29" spans="1:3" ht="13.5">
      <c r="A29" s="3015"/>
      <c r="B29" s="3016"/>
      <c r="C29" s="2892" t="s">
        <v>163</v>
      </c>
    </row>
    <row r="30" spans="1:3" ht="13.5">
      <c r="A30" s="3015"/>
      <c r="B30" s="3016"/>
      <c r="C30" s="2892" t="s">
        <v>164</v>
      </c>
    </row>
    <row r="31" spans="1:3" ht="13.5">
      <c r="A31" s="3015"/>
      <c r="B31" s="3016"/>
      <c r="C31" s="2892" t="s">
        <v>165</v>
      </c>
    </row>
    <row r="32" spans="1:3" ht="13.5">
      <c r="A32" s="3015"/>
      <c r="B32" s="3016"/>
      <c r="C32" s="2892" t="s">
        <v>166</v>
      </c>
    </row>
    <row r="33" spans="1:3" ht="13.5">
      <c r="A33" s="3015"/>
      <c r="B33" s="3016"/>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43369</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18" t="s">
        <v>198</v>
      </c>
      <c r="B25" s="3018"/>
      <c r="C25" s="3018"/>
      <c r="D25" s="3018"/>
      <c r="E25" s="3018"/>
      <c r="F25" s="3018"/>
      <c r="G25" s="3018"/>
    </row>
    <row r="26" spans="1:7" s="2850" customFormat="1" ht="24" customHeight="1">
      <c r="A26" s="3019" t="s">
        <v>199</v>
      </c>
      <c r="B26" s="3019"/>
      <c r="C26" s="3020"/>
      <c r="D26" s="3021" t="s">
        <v>200</v>
      </c>
      <c r="E26" s="3019"/>
      <c r="F26" s="3019"/>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10">
      <formula>AND($C12-TODAY()&lt;30,TODAY()&lt;$C12)</formula>
    </cfRule>
    <cfRule type="cellIs" dxfId="195" priority="11" stopIfTrue="1" operator="lessThan">
      <formula>$B$2</formula>
    </cfRule>
    <cfRule type="expression" dxfId="194" priority="8">
      <formula>AND($C12-TODAY()&lt;30,TODAY()&lt;$C12)</formula>
    </cfRule>
    <cfRule type="cellIs" dxfId="193" priority="9"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44">
      <formula>AND($C15-TODAY()&lt;30,TODAY()&lt;$C15)</formula>
    </cfRule>
    <cfRule type="cellIs" dxfId="184" priority="45" stopIfTrue="1" operator="lessThan">
      <formula>$B$2</formula>
    </cfRule>
    <cfRule type="expression" dxfId="183" priority="15">
      <formula>AND($C15-TODAY()&lt;30,TODAY()&lt;$C15)</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3">
      <formula>AND($C22-TODAY()&lt;30,TODAY()&lt;$C22)</formula>
    </cfRule>
    <cfRule type="cellIs" dxfId="163" priority="4" stopIfTrue="1" operator="lessThan">
      <formula>$B$2</formula>
    </cfRule>
    <cfRule type="expression" dxfId="162" priority="1">
      <formula>AND($C22-TODAY()&lt;30,TODAY()&lt;$C22)</formula>
    </cfRule>
    <cfRule type="cellIs" dxfId="161" priority="2"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2018-09-26T07:22:48Z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