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21840" windowHeight="1254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1" r:id="rId15"/>
    <sheet name="数据-取费表" sheetId="1" r:id="rId16"/>
    <sheet name="估价对象房地状况" sheetId="20" r:id="rId17"/>
    <sheet name="系统读取表" sheetId="74" r:id="rId18"/>
    <sheet name="结果表" sheetId="9" r:id="rId19"/>
    <sheet name="土地比较法-住宅、综合" sheetId="39" state="hidden" r:id="rId20"/>
    <sheet name="土地案例" sheetId="77" state="hidden" r:id="rId21"/>
    <sheet name="基准地价修正" sheetId="43" r:id="rId22"/>
    <sheet name="基准地价修正办" sheetId="80" r:id="rId23"/>
    <sheet name="基准地价（汇总）" sheetId="76" r:id="rId24"/>
    <sheet name="成本法" sheetId="68" r:id="rId25"/>
    <sheet name="成本法 (元)" sheetId="69" state="hidden" r:id="rId26"/>
    <sheet name="假设开发法" sheetId="12" r:id="rId27"/>
    <sheet name="收益法商" sheetId="79"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收益法车" sheetId="78"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基准地价修正办!$A$1:$J$41,基准地价修正办!$A$45:$H$88,基准地价修正办!$R$1:$V$16</definedName>
    <definedName name="_xlnm.Print_Area" localSheetId="26">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39">收益法车!$A$1:$F$43,收益法车!$H$3:$M$29,收益法车!$A$46:$F$71,收益法车!$I$46:$N$65</definedName>
    <definedName name="_xlnm.Print_Area" localSheetId="27">收益法商!$A$1:$F$43,收益法商!$H$3:$M$29,收益法商!$A$46:$F$71,收益法商!$I$46:$N$65</definedName>
    <definedName name="_xlnm.Print_Area" localSheetId="13">'数据-汇总表'!$A$1:$P$32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7" i="1" l="1"/>
  <c r="Q17" i="1"/>
  <c r="Q20" i="1"/>
  <c r="Q19" i="1"/>
  <c r="N23" i="1"/>
  <c r="U4" i="43"/>
  <c r="U3" i="43"/>
  <c r="U2" i="43"/>
  <c r="AH5" i="71"/>
  <c r="AG5" i="71"/>
  <c r="AE5" i="71"/>
  <c r="AF5" i="71" s="1"/>
  <c r="AD5" i="71"/>
  <c r="Q5" i="71"/>
  <c r="P5" i="71"/>
  <c r="O5" i="71"/>
  <c r="N5" i="71"/>
  <c r="C11" i="81" l="1"/>
  <c r="D11" i="81"/>
  <c r="E11" i="81"/>
  <c r="F11" i="81"/>
  <c r="G11" i="81"/>
  <c r="H11" i="81"/>
  <c r="I11" i="81"/>
  <c r="B11" i="81"/>
  <c r="B5" i="81"/>
  <c r="B6" i="81"/>
  <c r="B7" i="81"/>
  <c r="B8" i="81"/>
  <c r="B9" i="81"/>
  <c r="B10" i="81"/>
  <c r="B4" i="81"/>
  <c r="C5" i="81"/>
  <c r="C6" i="81"/>
  <c r="C7" i="81"/>
  <c r="C8" i="81"/>
  <c r="C9" i="81"/>
  <c r="C10" i="81"/>
  <c r="C4" i="81"/>
  <c r="H5" i="81"/>
  <c r="H6" i="81"/>
  <c r="H7" i="81"/>
  <c r="H8" i="81"/>
  <c r="H9" i="81"/>
  <c r="H10" i="81"/>
  <c r="H4" i="81"/>
  <c r="I5" i="81"/>
  <c r="I6" i="81"/>
  <c r="I7" i="81"/>
  <c r="I8" i="81"/>
  <c r="I9" i="81"/>
  <c r="I10" i="81"/>
  <c r="I4" i="81"/>
  <c r="E5" i="81"/>
  <c r="F5" i="81"/>
  <c r="G5" i="81"/>
  <c r="E6" i="81"/>
  <c r="F6" i="81"/>
  <c r="G6" i="81"/>
  <c r="E7" i="81"/>
  <c r="F7" i="81"/>
  <c r="G7" i="81"/>
  <c r="E8" i="81"/>
  <c r="F8" i="81"/>
  <c r="G8" i="81"/>
  <c r="E9" i="81"/>
  <c r="F9" i="81"/>
  <c r="G9" i="81"/>
  <c r="E10" i="81"/>
  <c r="F10" i="81"/>
  <c r="G10" i="81"/>
  <c r="G4" i="81"/>
  <c r="F4" i="81"/>
  <c r="E4" i="81"/>
  <c r="D5" i="81"/>
  <c r="D6" i="81"/>
  <c r="D7" i="81"/>
  <c r="D8" i="81"/>
  <c r="D9" i="81"/>
  <c r="D10" i="81"/>
  <c r="D4" i="81"/>
  <c r="A5" i="81"/>
  <c r="A6" i="81"/>
  <c r="A7" i="81"/>
  <c r="A8" i="81"/>
  <c r="A9" i="81"/>
  <c r="A10" i="81"/>
  <c r="A4" i="81"/>
  <c r="O22" i="80" l="1"/>
  <c r="O21" i="80"/>
  <c r="O22" i="43"/>
  <c r="G41" i="80" l="1"/>
  <c r="D39" i="80"/>
  <c r="D1" i="80" s="1"/>
  <c r="D29" i="80"/>
  <c r="F113" i="80"/>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H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J20" i="80"/>
  <c r="I20" i="80"/>
  <c r="M19" i="80"/>
  <c r="I19" i="80"/>
  <c r="G19" i="80"/>
  <c r="C18" i="80"/>
  <c r="F15" i="80"/>
  <c r="E15" i="80"/>
  <c r="D15" i="80"/>
  <c r="C12" i="80" s="1"/>
  <c r="C15" i="80"/>
  <c r="AJ12" i="80"/>
  <c r="AF12" i="80"/>
  <c r="AE12" i="80"/>
  <c r="AB12" i="80"/>
  <c r="Y12" i="80"/>
  <c r="N12" i="80"/>
  <c r="M12" i="80"/>
  <c r="N11" i="80"/>
  <c r="M11" i="80"/>
  <c r="AJ10" i="80"/>
  <c r="AG10" i="80"/>
  <c r="AF10" i="80"/>
  <c r="AE10" i="80"/>
  <c r="AB10" i="80"/>
  <c r="Z10" i="80"/>
  <c r="Y10" i="80"/>
  <c r="N10" i="80"/>
  <c r="C10" i="80"/>
  <c r="C11" i="80" s="1"/>
  <c r="AJ9" i="80"/>
  <c r="AI9" i="80"/>
  <c r="AI12" i="80" s="1"/>
  <c r="AH9" i="80"/>
  <c r="AH12" i="80" s="1"/>
  <c r="AG9" i="80"/>
  <c r="AG12" i="80" s="1"/>
  <c r="AF9" i="80"/>
  <c r="AE9" i="80"/>
  <c r="AD9" i="80"/>
  <c r="AD10" i="80" s="1"/>
  <c r="AC9" i="80"/>
  <c r="AB9" i="80"/>
  <c r="AA9" i="80"/>
  <c r="AA12" i="80" s="1"/>
  <c r="Z9" i="80"/>
  <c r="Z12" i="80" s="1"/>
  <c r="M9" i="80"/>
  <c r="C9" i="80"/>
  <c r="N8" i="80"/>
  <c r="M8" i="80"/>
  <c r="C7" i="80"/>
  <c r="A7" i="80"/>
  <c r="N6" i="80"/>
  <c r="M6" i="80"/>
  <c r="N5" i="80"/>
  <c r="N4" i="80"/>
  <c r="M4" i="80"/>
  <c r="N3" i="80"/>
  <c r="G3" i="80"/>
  <c r="D101" i="80" s="1"/>
  <c r="N2" i="80"/>
  <c r="I2" i="80"/>
  <c r="M10" i="80" s="1"/>
  <c r="G2" i="80"/>
  <c r="E17" i="80" s="1"/>
  <c r="N1" i="80"/>
  <c r="M1" i="80"/>
  <c r="D33" i="43"/>
  <c r="D29" i="43"/>
  <c r="N21" i="1"/>
  <c r="N24" i="1" s="1"/>
  <c r="N25" i="1" s="1"/>
  <c r="N26" i="1" s="1"/>
  <c r="D65" i="80" l="1"/>
  <c r="S2" i="80"/>
  <c r="AE11" i="80"/>
  <c r="C101" i="80"/>
  <c r="C107" i="80" s="1"/>
  <c r="D61" i="80"/>
  <c r="D64" i="80"/>
  <c r="E59" i="80"/>
  <c r="B57" i="80" s="1"/>
  <c r="C24" i="80" s="1"/>
  <c r="H39" i="80"/>
  <c r="F35" i="80"/>
  <c r="S4" i="80"/>
  <c r="M7" i="80"/>
  <c r="C17" i="80"/>
  <c r="F59" i="80"/>
  <c r="M2" i="80"/>
  <c r="M5" i="80"/>
  <c r="C6" i="80" s="1"/>
  <c r="N7" i="80"/>
  <c r="O17" i="80"/>
  <c r="D106" i="80"/>
  <c r="D104" i="80"/>
  <c r="D102" i="80"/>
  <c r="D107" i="80"/>
  <c r="D105" i="80"/>
  <c r="D103" i="80"/>
  <c r="X7" i="80"/>
  <c r="S5" i="80"/>
  <c r="Z7" i="80"/>
  <c r="AH10" i="80"/>
  <c r="Z11" i="80"/>
  <c r="Z13" i="80" s="1"/>
  <c r="M17" i="80"/>
  <c r="F39" i="80"/>
  <c r="H73" i="80"/>
  <c r="H78" i="80"/>
  <c r="H85" i="80"/>
  <c r="H86" i="80"/>
  <c r="H87" i="80"/>
  <c r="H88" i="80"/>
  <c r="H81" i="80"/>
  <c r="AI10" i="80"/>
  <c r="AC11" i="80"/>
  <c r="N17" i="80"/>
  <c r="C23" i="80"/>
  <c r="AA10" i="80"/>
  <c r="AF11" i="80"/>
  <c r="AF13" i="80" s="1"/>
  <c r="D17" i="80"/>
  <c r="D108" i="80"/>
  <c r="D109" i="80" s="1"/>
  <c r="D100" i="80"/>
  <c r="L108" i="80"/>
  <c r="L100" i="80"/>
  <c r="C103" i="80"/>
  <c r="K108" i="80"/>
  <c r="K100" i="80"/>
  <c r="J101" i="80"/>
  <c r="J22" i="80"/>
  <c r="AD11" i="80"/>
  <c r="I101" i="80"/>
  <c r="H22" i="80"/>
  <c r="H101" i="80"/>
  <c r="G22" i="80"/>
  <c r="AJ11" i="80"/>
  <c r="AJ13" i="80" s="1"/>
  <c r="AB11" i="80"/>
  <c r="B113" i="80"/>
  <c r="G101" i="80"/>
  <c r="F22" i="80"/>
  <c r="AI11" i="80"/>
  <c r="AI13" i="80" s="1"/>
  <c r="AA11" i="80"/>
  <c r="AA13" i="80" s="1"/>
  <c r="N101" i="80"/>
  <c r="N109" i="80" s="1"/>
  <c r="F101" i="80"/>
  <c r="E11" i="80"/>
  <c r="E8" i="80"/>
  <c r="AG11" i="80"/>
  <c r="AG13" i="80" s="1"/>
  <c r="AB13" i="80"/>
  <c r="H74" i="80"/>
  <c r="H75" i="80"/>
  <c r="H76" i="80"/>
  <c r="H77" i="80"/>
  <c r="H70" i="80"/>
  <c r="H84" i="80"/>
  <c r="E108" i="80"/>
  <c r="E100" i="80"/>
  <c r="M108" i="80"/>
  <c r="M100" i="80"/>
  <c r="E101" i="80"/>
  <c r="C105" i="80"/>
  <c r="H109" i="80"/>
  <c r="S7" i="80"/>
  <c r="AC12" i="80"/>
  <c r="AC13" i="80" s="1"/>
  <c r="AC10" i="80"/>
  <c r="S3" i="80"/>
  <c r="S6" i="80"/>
  <c r="H62" i="80"/>
  <c r="H63" i="80"/>
  <c r="H64" i="80"/>
  <c r="H66" i="80"/>
  <c r="H83" i="80"/>
  <c r="F109" i="80"/>
  <c r="K101" i="80"/>
  <c r="I109" i="80"/>
  <c r="C108" i="80"/>
  <c r="C109" i="80" s="1"/>
  <c r="C100" i="80"/>
  <c r="C106" i="80"/>
  <c r="C104" i="80"/>
  <c r="C102" i="80"/>
  <c r="H113" i="80"/>
  <c r="K17" i="80"/>
  <c r="F36" i="80"/>
  <c r="I17" i="80"/>
  <c r="F37" i="80"/>
  <c r="F33" i="80"/>
  <c r="H17" i="80"/>
  <c r="E10" i="80"/>
  <c r="AH11" i="80"/>
  <c r="AH13" i="80" s="1"/>
  <c r="AD12" i="80"/>
  <c r="AD13" i="80" s="1"/>
  <c r="F38" i="80"/>
  <c r="E9" i="80"/>
  <c r="AE13" i="80"/>
  <c r="J17" i="80"/>
  <c r="H59" i="80"/>
  <c r="H82" i="80"/>
  <c r="L101" i="80"/>
  <c r="J109" i="80"/>
  <c r="Y11" i="80"/>
  <c r="Y13" i="80" s="1"/>
  <c r="L17" i="80"/>
  <c r="O19" i="80"/>
  <c r="E22" i="80"/>
  <c r="F34" i="80"/>
  <c r="F48" i="80"/>
  <c r="M101" i="80"/>
  <c r="M3" i="80"/>
  <c r="N9" i="80"/>
  <c r="F100" i="80"/>
  <c r="N100" i="80"/>
  <c r="E71" i="39"/>
  <c r="F71" i="39" s="1"/>
  <c r="G71" i="39" s="1"/>
  <c r="H71" i="39" s="1"/>
  <c r="I71" i="39" s="1"/>
  <c r="J71" i="39" s="1"/>
  <c r="K71" i="39" s="1"/>
  <c r="L71" i="39" s="1"/>
  <c r="M71" i="39" s="1"/>
  <c r="N71" i="39" s="1"/>
  <c r="O71" i="39" s="1"/>
  <c r="P71" i="39" s="1"/>
  <c r="Q71" i="39" s="1"/>
  <c r="R71" i="39" s="1"/>
  <c r="S71" i="39" s="1"/>
  <c r="D71" i="39"/>
  <c r="N27" i="1"/>
  <c r="E109" i="80" l="1"/>
  <c r="H60" i="80"/>
  <c r="H67" i="80"/>
  <c r="H65" i="80"/>
  <c r="H61" i="80"/>
  <c r="I107" i="80"/>
  <c r="I105" i="80"/>
  <c r="I103" i="80"/>
  <c r="I102" i="80"/>
  <c r="I106" i="80"/>
  <c r="I104" i="80"/>
  <c r="K106" i="80"/>
  <c r="K104" i="80"/>
  <c r="K102" i="80"/>
  <c r="K105" i="80"/>
  <c r="K103" i="80"/>
  <c r="K107" i="80"/>
  <c r="E106" i="80"/>
  <c r="E104" i="80"/>
  <c r="E102" i="80"/>
  <c r="E107" i="80"/>
  <c r="E105" i="80"/>
  <c r="E103" i="80"/>
  <c r="G107" i="80"/>
  <c r="G105" i="80"/>
  <c r="G103" i="80"/>
  <c r="G106" i="80"/>
  <c r="G104" i="80"/>
  <c r="G102" i="80"/>
  <c r="L109" i="80"/>
  <c r="D22" i="80"/>
  <c r="C21" i="80" s="1"/>
  <c r="I117" i="80"/>
  <c r="J117" i="80" s="1"/>
  <c r="K117" i="80" s="1"/>
  <c r="L117" i="80" s="1"/>
  <c r="M117" i="80" s="1"/>
  <c r="I115" i="80"/>
  <c r="J115" i="80" s="1"/>
  <c r="K115" i="80" s="1"/>
  <c r="L115" i="80" s="1"/>
  <c r="M115" i="80" s="1"/>
  <c r="D118" i="80"/>
  <c r="E118" i="80" s="1"/>
  <c r="F118" i="80" s="1"/>
  <c r="D116" i="80"/>
  <c r="E116" i="80" s="1"/>
  <c r="F116" i="80" s="1"/>
  <c r="G116" i="80" s="1"/>
  <c r="H116" i="80" s="1"/>
  <c r="B118" i="80"/>
  <c r="C118" i="80" s="1"/>
  <c r="B116" i="80"/>
  <c r="C116" i="80" s="1"/>
  <c r="I118" i="80"/>
  <c r="J118" i="80" s="1"/>
  <c r="K118" i="80" s="1"/>
  <c r="L118" i="80" s="1"/>
  <c r="M118" i="80" s="1"/>
  <c r="I116" i="80"/>
  <c r="J116" i="80" s="1"/>
  <c r="K116" i="80" s="1"/>
  <c r="L116" i="80" s="1"/>
  <c r="M116" i="80" s="1"/>
  <c r="B117" i="80"/>
  <c r="C117" i="80" s="1"/>
  <c r="G118" i="80"/>
  <c r="H118" i="80" s="1"/>
  <c r="B115" i="80"/>
  <c r="D117" i="80"/>
  <c r="E117" i="80" s="1"/>
  <c r="F117" i="80" s="1"/>
  <c r="G117" i="80" s="1"/>
  <c r="H117" i="80" s="1"/>
  <c r="D115" i="80"/>
  <c r="E115" i="80" s="1"/>
  <c r="F115" i="80" s="1"/>
  <c r="G115" i="80" s="1"/>
  <c r="H115" i="80" s="1"/>
  <c r="H51" i="80"/>
  <c r="H52" i="80"/>
  <c r="H53" i="80"/>
  <c r="H55" i="80"/>
  <c r="H50" i="80"/>
  <c r="H56" i="80"/>
  <c r="H49" i="80"/>
  <c r="H54" i="80"/>
  <c r="H48" i="80"/>
  <c r="G17" i="80"/>
  <c r="C16" i="80" s="1"/>
  <c r="M109" i="80"/>
  <c r="J107" i="80"/>
  <c r="J105" i="80"/>
  <c r="J103" i="80"/>
  <c r="J106" i="80"/>
  <c r="J104" i="80"/>
  <c r="J102" i="80"/>
  <c r="F106" i="80"/>
  <c r="F104" i="80"/>
  <c r="F102" i="80"/>
  <c r="F107" i="80"/>
  <c r="F105" i="80"/>
  <c r="F103" i="80"/>
  <c r="N106" i="80"/>
  <c r="N104" i="80"/>
  <c r="N102" i="80"/>
  <c r="N107" i="80"/>
  <c r="N105" i="80"/>
  <c r="N103" i="80"/>
  <c r="K109" i="80"/>
  <c r="H107" i="80"/>
  <c r="H105" i="80"/>
  <c r="H103" i="80"/>
  <c r="H104" i="80"/>
  <c r="H106" i="80"/>
  <c r="H102" i="80"/>
  <c r="G109" i="80"/>
  <c r="M106" i="80"/>
  <c r="M104" i="80"/>
  <c r="M102" i="80"/>
  <c r="M107" i="80"/>
  <c r="M105" i="80"/>
  <c r="M103" i="80"/>
  <c r="L106" i="80"/>
  <c r="L104" i="80"/>
  <c r="L102" i="80"/>
  <c r="L103" i="80"/>
  <c r="L107" i="80"/>
  <c r="L105" i="80"/>
  <c r="AN19" i="3"/>
  <c r="C115" i="80" l="1"/>
  <c r="D113" i="80"/>
  <c r="C5" i="80"/>
  <c r="D5" i="80"/>
  <c r="L7" i="1"/>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M35" i="1" l="1"/>
  <c r="O38" i="1"/>
  <c r="O37" i="1"/>
  <c r="L33" i="1"/>
  <c r="M33" i="1" s="1"/>
  <c r="L34" i="1"/>
  <c r="M34" i="1" s="1"/>
  <c r="L32" i="1"/>
  <c r="M32" i="1" s="1"/>
  <c r="L31" i="1"/>
  <c r="M31" i="1" s="1"/>
  <c r="O21" i="1"/>
  <c r="O22" i="1"/>
  <c r="O23" i="1"/>
  <c r="O20" i="1"/>
  <c r="Q72" i="78"/>
  <c r="Q59" i="78"/>
  <c r="K59" i="78"/>
  <c r="P74" i="78" s="1"/>
  <c r="F59" i="78"/>
  <c r="Q58" i="78"/>
  <c r="Q51" i="78"/>
  <c r="J50" i="78"/>
  <c r="J51" i="78" s="1"/>
  <c r="M47" i="78"/>
  <c r="D46" i="78"/>
  <c r="F33" i="78"/>
  <c r="F61" i="78" s="1"/>
  <c r="F31" i="78"/>
  <c r="F23" i="78"/>
  <c r="D23" i="78" s="1"/>
  <c r="F21" i="78"/>
  <c r="F20" i="78"/>
  <c r="M19" i="78"/>
  <c r="F18" i="78"/>
  <c r="M17" i="78"/>
  <c r="F15" i="78"/>
  <c r="D118" i="39"/>
  <c r="E118" i="39" s="1"/>
  <c r="F118" i="39" s="1"/>
  <c r="I46" i="39"/>
  <c r="G46" i="39"/>
  <c r="E46" i="39"/>
  <c r="I38" i="39"/>
  <c r="G38" i="39"/>
  <c r="E38" i="39"/>
  <c r="C38" i="39"/>
  <c r="I11" i="39"/>
  <c r="G11" i="39"/>
  <c r="E11" i="39"/>
  <c r="I7" i="39"/>
  <c r="G7" i="39"/>
  <c r="E7" i="39"/>
  <c r="I5" i="39"/>
  <c r="G5" i="39"/>
  <c r="E5" i="39"/>
  <c r="M36" i="1" l="1"/>
  <c r="M38" i="1" s="1"/>
  <c r="L35" i="1"/>
  <c r="L36" i="1" s="1"/>
  <c r="N35" i="1"/>
  <c r="N36" i="1" s="1"/>
  <c r="D24" i="78"/>
  <c r="N38" i="1"/>
  <c r="L38" i="1"/>
  <c r="D22" i="78"/>
  <c r="P61" i="78"/>
  <c r="B35" i="1"/>
  <c r="L14" i="1"/>
  <c r="O19" i="3"/>
  <c r="G21" i="6" s="1"/>
  <c r="AT19" i="3"/>
  <c r="AL19" i="3"/>
  <c r="D3" i="4"/>
  <c r="P39" i="1" l="1"/>
  <c r="P40" i="1" s="1"/>
  <c r="F17" i="79"/>
  <c r="F17" i="78"/>
  <c r="P38" i="1"/>
  <c r="N8" i="1"/>
  <c r="N14" i="1" s="1"/>
  <c r="N7" i="1"/>
  <c r="AH6" i="71"/>
  <c r="AG6" i="71"/>
  <c r="AE6" i="71"/>
  <c r="AF6" i="71" s="1"/>
  <c r="AD6" i="71"/>
  <c r="Q6" i="71"/>
  <c r="P6" i="71"/>
  <c r="O6" i="71"/>
  <c r="N6" i="71"/>
  <c r="AH7" i="71" l="1"/>
  <c r="AG7" i="71"/>
  <c r="AE7" i="71"/>
  <c r="AF7" i="71" s="1"/>
  <c r="AD7" i="71"/>
  <c r="Q7" i="71"/>
  <c r="AB5" i="71" s="1"/>
  <c r="P7" i="71"/>
  <c r="AA5" i="71" s="1"/>
  <c r="O7" i="71"/>
  <c r="Y5" i="71" s="1"/>
  <c r="Z5" i="71" s="1"/>
  <c r="N7"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c r="AD17" i="71"/>
  <c r="AD18" i="71"/>
  <c r="AG18" i="71"/>
  <c r="AH18" i="71"/>
  <c r="AE18" i="71"/>
  <c r="AF18" i="71" s="1"/>
  <c r="N18" i="71"/>
  <c r="B18" i="71" s="1"/>
  <c r="B17" i="71" s="1"/>
  <c r="B16" i="71" s="1"/>
  <c r="Q18" i="71"/>
  <c r="P18" i="71"/>
  <c r="O18" i="71"/>
  <c r="C18" i="71"/>
  <c r="C17" i="71"/>
  <c r="Q19" i="71"/>
  <c r="P19" i="71"/>
  <c r="O19" i="71"/>
  <c r="N19" i="71"/>
  <c r="A2" i="53"/>
  <c r="B19" i="72" s="1"/>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3" i="51" s="1"/>
  <c r="B11" i="72" s="1"/>
  <c r="A18" i="51"/>
  <c r="B13" i="72" s="1"/>
  <c r="C8" i="68"/>
  <c r="B49" i="48"/>
  <c r="B5" i="72"/>
  <c r="I19" i="43"/>
  <c r="D83" i="71"/>
  <c r="F82" i="71"/>
  <c r="F81" i="71" s="1"/>
  <c r="F80" i="71" s="1"/>
  <c r="E82" i="71"/>
  <c r="E81" i="71" s="1"/>
  <c r="E80" i="71" s="1"/>
  <c r="C82" i="71"/>
  <c r="C81" i="71" s="1"/>
  <c r="D82" i="71"/>
  <c r="B82" i="71"/>
  <c r="B81" i="71" s="1"/>
  <c r="B80" i="71" s="1"/>
  <c r="D79" i="71"/>
  <c r="F78" i="71"/>
  <c r="F77" i="71" s="1"/>
  <c r="F76" i="71" s="1"/>
  <c r="E78" i="71"/>
  <c r="E77" i="71" s="1"/>
  <c r="E76" i="71"/>
  <c r="C78" i="71"/>
  <c r="D78" i="71" s="1"/>
  <c r="B78" i="71"/>
  <c r="B77" i="71" s="1"/>
  <c r="B76" i="71" s="1"/>
  <c r="D75" i="71"/>
  <c r="Q74" i="71"/>
  <c r="P74" i="71"/>
  <c r="O74" i="71"/>
  <c r="N74" i="71"/>
  <c r="F74" i="71"/>
  <c r="V74" i="71" s="1"/>
  <c r="E74" i="71"/>
  <c r="U74" i="71"/>
  <c r="C74" i="71"/>
  <c r="C73" i="71" s="1"/>
  <c r="C72" i="71" s="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B62" i="71"/>
  <c r="B61" i="71" s="1"/>
  <c r="S62" i="71"/>
  <c r="D59" i="71"/>
  <c r="Q58" i="71"/>
  <c r="P58" i="71"/>
  <c r="O58" i="71"/>
  <c r="N58" i="71"/>
  <c r="Q57" i="71"/>
  <c r="P57" i="71"/>
  <c r="O57" i="71"/>
  <c r="N57" i="71"/>
  <c r="Q56" i="71"/>
  <c r="P56" i="71"/>
  <c r="O56" i="71"/>
  <c r="N56" i="71"/>
  <c r="Q55" i="71"/>
  <c r="F56" i="71" s="1"/>
  <c r="P55" i="71"/>
  <c r="E56" i="71" s="1"/>
  <c r="E57" i="71" s="1"/>
  <c r="E58" i="71" s="1"/>
  <c r="U58" i="71" s="1"/>
  <c r="O55" i="71"/>
  <c r="C56" i="71"/>
  <c r="N55" i="71"/>
  <c r="B56" i="71"/>
  <c r="B57" i="71" s="1"/>
  <c r="B58" i="71" s="1"/>
  <c r="S58" i="71" s="1"/>
  <c r="D55" i="71"/>
  <c r="Q54" i="71"/>
  <c r="P54" i="71"/>
  <c r="O54" i="71"/>
  <c r="N54" i="71"/>
  <c r="Q53" i="71"/>
  <c r="P53" i="71"/>
  <c r="O53" i="71"/>
  <c r="N53" i="71"/>
  <c r="Q52" i="71"/>
  <c r="P52" i="71"/>
  <c r="O52" i="71"/>
  <c r="N52" i="71"/>
  <c r="B53" i="71" s="1"/>
  <c r="B54" i="71" s="1"/>
  <c r="S54" i="71" s="1"/>
  <c r="Q51" i="71"/>
  <c r="F52" i="71" s="1"/>
  <c r="F53" i="71" s="1"/>
  <c r="F54" i="71" s="1"/>
  <c r="V54"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Q34" i="71"/>
  <c r="P34" i="71"/>
  <c r="O34" i="71"/>
  <c r="N34" i="71"/>
  <c r="Q33" i="71"/>
  <c r="AB33" i="71" s="1"/>
  <c r="P33" i="71"/>
  <c r="AA33" i="71" s="1"/>
  <c r="O33" i="71"/>
  <c r="Y33" i="71" s="1"/>
  <c r="Z33" i="71" s="1"/>
  <c r="N33" i="71"/>
  <c r="X33" i="71"/>
  <c r="Q32" i="71"/>
  <c r="P32" i="71"/>
  <c r="O32" i="71"/>
  <c r="N32" i="71"/>
  <c r="X32" i="71" s="1"/>
  <c r="Q31" i="71"/>
  <c r="F32" i="71" s="1"/>
  <c r="F33" i="71" s="1"/>
  <c r="F34" i="71" s="1"/>
  <c r="V34" i="71" s="1"/>
  <c r="P31" i="71"/>
  <c r="E32" i="71" s="1"/>
  <c r="E33" i="71" s="1"/>
  <c r="E34" i="71" s="1"/>
  <c r="U34" i="71" s="1"/>
  <c r="O31" i="71"/>
  <c r="N31" i="71"/>
  <c r="D31" i="71"/>
  <c r="Q30" i="71"/>
  <c r="P30" i="71"/>
  <c r="O30" i="71"/>
  <c r="N30" i="71"/>
  <c r="Q29" i="71"/>
  <c r="AB29" i="71" s="1"/>
  <c r="P29" i="71"/>
  <c r="O29" i="71"/>
  <c r="N29" i="71"/>
  <c r="Q28" i="71"/>
  <c r="P28" i="71"/>
  <c r="O28" i="71"/>
  <c r="N28" i="71"/>
  <c r="Q27" i="71"/>
  <c r="F28" i="71" s="1"/>
  <c r="F29" i="71" s="1"/>
  <c r="F30" i="71" s="1"/>
  <c r="V30" i="71" s="1"/>
  <c r="P27" i="71"/>
  <c r="O27" i="71"/>
  <c r="N27" i="71"/>
  <c r="B28" i="71" s="1"/>
  <c r="B29" i="71" s="1"/>
  <c r="B30" i="71" s="1"/>
  <c r="S30" i="71" s="1"/>
  <c r="D27" i="71"/>
  <c r="Q26" i="71"/>
  <c r="AB26" i="71"/>
  <c r="P26" i="71"/>
  <c r="O26" i="71"/>
  <c r="N26" i="71"/>
  <c r="Q25" i="71"/>
  <c r="P25" i="71"/>
  <c r="O25" i="71"/>
  <c r="N25" i="71"/>
  <c r="Q24" i="71"/>
  <c r="P24" i="71"/>
  <c r="O24" i="71"/>
  <c r="N24" i="71"/>
  <c r="Q23" i="71"/>
  <c r="P23" i="71"/>
  <c r="AA19" i="71" s="1"/>
  <c r="O23" i="71"/>
  <c r="N23" i="71"/>
  <c r="D23" i="71"/>
  <c r="O22" i="71"/>
  <c r="N22" i="71"/>
  <c r="B24" i="71"/>
  <c r="B25" i="71" s="1"/>
  <c r="B26" i="71" s="1"/>
  <c r="S26" i="71" s="1"/>
  <c r="E24" i="71"/>
  <c r="E25" i="71" s="1"/>
  <c r="B32" i="71"/>
  <c r="N62" i="71"/>
  <c r="E28" i="71"/>
  <c r="E29" i="71" s="1"/>
  <c r="E30" i="71" s="1"/>
  <c r="U30" i="71" s="1"/>
  <c r="C24" i="71"/>
  <c r="C28" i="71"/>
  <c r="AA29" i="71"/>
  <c r="AA32" i="71"/>
  <c r="C22" i="71"/>
  <c r="T22" i="71" s="1"/>
  <c r="P22" i="71"/>
  <c r="Q22" i="71"/>
  <c r="C53" i="71"/>
  <c r="T62" i="71"/>
  <c r="O62" i="71"/>
  <c r="D62" i="71"/>
  <c r="C61" i="71"/>
  <c r="C60" i="71" s="1"/>
  <c r="C65" i="71"/>
  <c r="D65" i="71" s="1"/>
  <c r="D66" i="71"/>
  <c r="C69" i="71"/>
  <c r="C68" i="71" s="1"/>
  <c r="D68" i="71" s="1"/>
  <c r="E69" i="71"/>
  <c r="E68" i="71" s="1"/>
  <c r="E73" i="71"/>
  <c r="E72" i="71" s="1"/>
  <c r="D74" i="71"/>
  <c r="C77" i="71"/>
  <c r="F22" i="71"/>
  <c r="F21" i="71"/>
  <c r="F20" i="71" s="1"/>
  <c r="D22" i="71"/>
  <c r="O61" i="71"/>
  <c r="D61" i="71"/>
  <c r="D73" i="71"/>
  <c r="D7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D1" i="43"/>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s="1"/>
  <c r="R308" i="31"/>
  <c r="R309" i="31"/>
  <c r="S309" i="3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c r="R352" i="31"/>
  <c r="R353" i="31"/>
  <c r="S353" i="31"/>
  <c r="R354" i="31"/>
  <c r="R355" i="31"/>
  <c r="S355" i="31" s="1"/>
  <c r="R356" i="31"/>
  <c r="R357" i="31"/>
  <c r="S357" i="3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J5" i="3" s="1"/>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N5"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AC12" i="34" s="1"/>
  <c r="W12" i="34"/>
  <c r="Q11" i="34"/>
  <c r="Z11" i="34" s="1"/>
  <c r="Q10" i="34"/>
  <c r="Z10" i="34"/>
  <c r="F10" i="34"/>
  <c r="AA10" i="34" s="1"/>
  <c r="Q9" i="34"/>
  <c r="Z9" i="34"/>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D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U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U42" i="34"/>
  <c r="H40" i="34"/>
  <c r="U40" i="34"/>
  <c r="E114" i="34"/>
  <c r="H36" i="34"/>
  <c r="U36" i="34" s="1"/>
  <c r="F37" i="34"/>
  <c r="AA37" i="34" s="1"/>
  <c r="S35" i="34"/>
  <c r="F28" i="34"/>
  <c r="S28" i="34" s="1"/>
  <c r="F25" i="34"/>
  <c r="AA25" i="34" s="1"/>
  <c r="S25" i="34"/>
  <c r="H23" i="34"/>
  <c r="U23" i="34" s="1"/>
  <c r="J23" i="34"/>
  <c r="F19" i="34"/>
  <c r="S19" i="34" s="1"/>
  <c r="H17" i="34"/>
  <c r="U17" i="34" s="1"/>
  <c r="F15" i="34"/>
  <c r="S15" i="34" s="1"/>
  <c r="J15" i="34"/>
  <c r="AC15" i="34" s="1"/>
  <c r="H15" i="34"/>
  <c r="AB15" i="34" s="1"/>
  <c r="W8" i="34"/>
  <c r="J28" i="34"/>
  <c r="W28" i="34"/>
  <c r="F41" i="33"/>
  <c r="E113" i="33"/>
  <c r="F113" i="33" s="1"/>
  <c r="G113" i="33" s="1"/>
  <c r="H113" i="33" s="1"/>
  <c r="F32" i="33"/>
  <c r="AA32" i="33"/>
  <c r="J19" i="33"/>
  <c r="AC19" i="33"/>
  <c r="J15" i="33"/>
  <c r="F11" i="33"/>
  <c r="AA11" i="33"/>
  <c r="U40" i="33"/>
  <c r="W40" i="33"/>
  <c r="U8"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AB42" i="34"/>
  <c r="J40" i="34"/>
  <c r="F114" i="34"/>
  <c r="G114" i="34" s="1"/>
  <c r="H114" i="34"/>
  <c r="I114" i="34" s="1"/>
  <c r="J114" i="34" s="1"/>
  <c r="K114" i="34" s="1"/>
  <c r="L114" i="34" s="1"/>
  <c r="M114" i="34" s="1"/>
  <c r="H38" i="34"/>
  <c r="AB38" i="34" s="1"/>
  <c r="J36" i="34"/>
  <c r="W36" i="34" s="1"/>
  <c r="H37" i="34"/>
  <c r="H25" i="34"/>
  <c r="AB25" i="34" s="1"/>
  <c r="J25" i="34"/>
  <c r="AC25" i="34" s="1"/>
  <c r="AB23" i="34"/>
  <c r="F23" i="34"/>
  <c r="J19" i="34"/>
  <c r="AC19" i="34"/>
  <c r="F17" i="34"/>
  <c r="AA17" i="34" s="1"/>
  <c r="J17" i="34"/>
  <c r="W17" i="34"/>
  <c r="AA15" i="34"/>
  <c r="I113" i="33"/>
  <c r="J113" i="33" s="1"/>
  <c r="K113" i="33" s="1"/>
  <c r="L113" i="33" s="1"/>
  <c r="M113" i="33" s="1"/>
  <c r="H37" i="33"/>
  <c r="AB37" i="33"/>
  <c r="H15" i="33"/>
  <c r="AB15" i="33"/>
  <c r="H11" i="33"/>
  <c r="AB11" i="33" s="1"/>
  <c r="F28" i="40"/>
  <c r="AA28" i="40"/>
  <c r="AA42" i="34"/>
  <c r="S42" i="34"/>
  <c r="AC38" i="34"/>
  <c r="AA38" i="34"/>
  <c r="J37" i="34"/>
  <c r="J11" i="33"/>
  <c r="W11" i="33" s="1"/>
  <c r="G123" i="21"/>
  <c r="H123" i="21" s="1"/>
  <c r="I123" i="21" s="1"/>
  <c r="J123" i="21" s="1"/>
  <c r="K123" i="21"/>
  <c r="L123" i="21" s="1"/>
  <c r="M123" i="21" s="1"/>
  <c r="J42" i="21"/>
  <c r="AC42" i="21"/>
  <c r="H42" i="21"/>
  <c r="U42" i="21"/>
  <c r="J44" i="34"/>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c r="S45" i="34"/>
  <c r="H47" i="34"/>
  <c r="U47" i="34"/>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AB14" i="39"/>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S28" i="31"/>
  <c r="S27" i="31"/>
  <c r="S26" i="31"/>
  <c r="S22" i="31" s="1"/>
  <c r="R22" i="31" s="1"/>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W15" i="39"/>
  <c r="H41" i="39"/>
  <c r="AB41" i="39" s="1"/>
  <c r="AB34" i="39"/>
  <c r="W14" i="39"/>
  <c r="W9" i="39"/>
  <c r="W8"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AZ16" i="3" s="1"/>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F6" i="1"/>
  <c r="G6" i="1" s="1"/>
  <c r="U43" i="21"/>
  <c r="U35" i="21"/>
  <c r="U10" i="21"/>
  <c r="G8" i="1"/>
  <c r="G9" i="1"/>
  <c r="G10" i="1"/>
  <c r="W44" i="34"/>
  <c r="AC44" i="34"/>
  <c r="S15" i="37"/>
  <c r="U12" i="40"/>
  <c r="J37" i="33"/>
  <c r="W37" i="33"/>
  <c r="AC17" i="34"/>
  <c r="F106" i="33"/>
  <c r="G106" i="33" s="1"/>
  <c r="H106" i="33" s="1"/>
  <c r="I106" i="33" s="1"/>
  <c r="J106" i="33" s="1"/>
  <c r="K106" i="33" s="1"/>
  <c r="L106" i="33" s="1"/>
  <c r="M106" i="33" s="1"/>
  <c r="J34" i="33"/>
  <c r="W34" i="33" s="1"/>
  <c r="F33" i="34"/>
  <c r="AA33" i="34" s="1"/>
  <c r="S33" i="34"/>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c r="F43" i="34"/>
  <c r="H44" i="34"/>
  <c r="AB44" i="34" s="1"/>
  <c r="F39" i="39"/>
  <c r="S39" i="39" s="1"/>
  <c r="E97" i="39"/>
  <c r="F97" i="39" s="1"/>
  <c r="G97" i="39" s="1"/>
  <c r="C40" i="11"/>
  <c r="I20" i="43"/>
  <c r="F23" i="39"/>
  <c r="AA23" i="39" s="1"/>
  <c r="H27" i="36"/>
  <c r="U27" i="36"/>
  <c r="F27" i="36"/>
  <c r="S27" i="36" s="1"/>
  <c r="AA27" i="36"/>
  <c r="H33" i="34"/>
  <c r="U33" i="34"/>
  <c r="F32" i="37"/>
  <c r="AA32" i="37" s="1"/>
  <c r="F20" i="36"/>
  <c r="S20" i="36" s="1"/>
  <c r="J33" i="34"/>
  <c r="H23" i="39"/>
  <c r="D48" i="9"/>
  <c r="M52" i="9" s="1"/>
  <c r="K9" i="1"/>
  <c r="M9" i="1" s="1"/>
  <c r="AE9" i="1"/>
  <c r="D93" i="9"/>
  <c r="AC26" i="33"/>
  <c r="W26" i="33"/>
  <c r="AB34" i="36"/>
  <c r="U34" i="36"/>
  <c r="AC12" i="39"/>
  <c r="AC39" i="40"/>
  <c r="W39" i="40"/>
  <c r="W12" i="33"/>
  <c r="AC12" i="33"/>
  <c r="BL14" i="3"/>
  <c r="U30" i="33"/>
  <c r="F12" i="33"/>
  <c r="H12" i="39"/>
  <c r="U12" i="39" s="1"/>
  <c r="F39" i="40"/>
  <c r="AZ234" i="3"/>
  <c r="S12" i="1"/>
  <c r="AQ12" i="1" s="1"/>
  <c r="R12" i="1"/>
  <c r="B12" i="1"/>
  <c r="E12" i="1" s="1"/>
  <c r="S10" i="1"/>
  <c r="AQ10" i="1" s="1"/>
  <c r="R10" i="1"/>
  <c r="B10" i="1"/>
  <c r="E10" i="1" s="1"/>
  <c r="K12" i="1"/>
  <c r="M12" i="1" s="1"/>
  <c r="S13" i="1"/>
  <c r="R13" i="1"/>
  <c r="S11" i="1"/>
  <c r="AQ11" i="1" s="1"/>
  <c r="R11" i="1"/>
  <c r="S9" i="1"/>
  <c r="AR9" i="1" s="1"/>
  <c r="R9"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U15" i="34"/>
  <c r="S10" i="34"/>
  <c r="S13" i="34"/>
  <c r="H67" i="34"/>
  <c r="H10" i="34"/>
  <c r="U10" i="34" s="1"/>
  <c r="F11" i="34"/>
  <c r="S11" i="34" s="1"/>
  <c r="W42" i="33"/>
  <c r="S27" i="33"/>
  <c r="S32" i="33"/>
  <c r="AB29" i="33"/>
  <c r="W38"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C18" i="9"/>
  <c r="D18" i="9" s="1"/>
  <c r="F34" i="67"/>
  <c r="F62" i="67" s="1"/>
  <c r="M20" i="67"/>
  <c r="F34" i="15"/>
  <c r="F62" i="15" s="1"/>
  <c r="G13" i="3"/>
  <c r="BA13" i="3"/>
  <c r="AZ13" i="3" s="1"/>
  <c r="BL17" i="3"/>
  <c r="BL13" i="3"/>
  <c r="J56" i="9"/>
  <c r="J57" i="9" s="1"/>
  <c r="J59" i="9" s="1"/>
  <c r="J61" i="9" s="1"/>
  <c r="U29" i="34"/>
  <c r="E32" i="6"/>
  <c r="L19" i="6"/>
  <c r="G1" i="68"/>
  <c r="K1" i="12"/>
  <c r="AR12" i="1"/>
  <c r="T10" i="1"/>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L20" i="6"/>
  <c r="B6" i="1"/>
  <c r="E6" i="1" s="1"/>
  <c r="K11" i="1"/>
  <c r="M11" i="1" s="1"/>
  <c r="O11" i="1" s="1"/>
  <c r="AP6" i="1"/>
  <c r="B9" i="1"/>
  <c r="E9" i="1" s="1"/>
  <c r="K7" i="1"/>
  <c r="M7" i="1" s="1"/>
  <c r="O7"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W19" i="34"/>
  <c r="AB33" i="34"/>
  <c r="AC45" i="34"/>
  <c r="AA31" i="34"/>
  <c r="AA30" i="34"/>
  <c r="AB47" i="34"/>
  <c r="U25" i="34"/>
  <c r="AB36" i="34"/>
  <c r="AC14" i="34"/>
  <c r="AC32" i="34"/>
  <c r="AC29" i="34"/>
  <c r="W29" i="34"/>
  <c r="W46" i="34"/>
  <c r="AC46" i="34"/>
  <c r="S32" i="34"/>
  <c r="AB30" i="34"/>
  <c r="S37" i="34"/>
  <c r="U38" i="34"/>
  <c r="AC40" i="34"/>
  <c r="W40" i="34"/>
  <c r="AA19" i="34"/>
  <c r="AA36" i="34"/>
  <c r="S36" i="34"/>
  <c r="AA8" i="34"/>
  <c r="S8" i="34"/>
  <c r="S46" i="34"/>
  <c r="AB32" i="34"/>
  <c r="AB14" i="34"/>
  <c r="W43" i="34"/>
  <c r="AA11" i="34"/>
  <c r="W23" i="34"/>
  <c r="AC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AQ9" i="1"/>
  <c r="S12" i="33"/>
  <c r="AA12" i="33"/>
  <c r="U9" i="35"/>
  <c r="S9" i="35"/>
  <c r="AC26" i="35"/>
  <c r="W26" i="35"/>
  <c r="AC17" i="37"/>
  <c r="J19" i="37"/>
  <c r="AC19" i="37" s="1"/>
  <c r="S19" i="37"/>
  <c r="AA23" i="37"/>
  <c r="J23" i="37"/>
  <c r="W23" i="37" s="1"/>
  <c r="G79" i="37"/>
  <c r="J10" i="37"/>
  <c r="G63" i="37"/>
  <c r="H63" i="37" s="1"/>
  <c r="I63" i="37" s="1"/>
  <c r="H11" i="37"/>
  <c r="AB11" i="37" s="1"/>
  <c r="U10" i="37"/>
  <c r="H11" i="34"/>
  <c r="U11" i="34" s="1"/>
  <c r="J10" i="34"/>
  <c r="AC10" i="34" s="1"/>
  <c r="I67" i="34"/>
  <c r="AC35" i="33"/>
  <c r="H111" i="33"/>
  <c r="I111" i="33" s="1"/>
  <c r="J111" i="33" s="1"/>
  <c r="K111" i="33" s="1"/>
  <c r="L111" i="33" s="1"/>
  <c r="M111" i="33" s="1"/>
  <c r="J36" i="33"/>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J11" i="34"/>
  <c r="W11" i="34" s="1"/>
  <c r="AC36" i="33"/>
  <c r="W36" i="33"/>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6" i="71"/>
  <c r="C15" i="71" s="1"/>
  <c r="D15" i="71" s="1"/>
  <c r="D16" i="71"/>
  <c r="D17" i="71"/>
  <c r="D18" i="71"/>
  <c r="U18" i="71"/>
  <c r="S18" i="71"/>
  <c r="T18" i="71"/>
  <c r="AB16" i="71"/>
  <c r="X14" i="71"/>
  <c r="X13" i="71"/>
  <c r="AA14" i="71"/>
  <c r="AA13" i="71"/>
  <c r="X17" i="71"/>
  <c r="Y13" i="71"/>
  <c r="Z13" i="71" s="1"/>
  <c r="AB14" i="71"/>
  <c r="AB13" i="71"/>
  <c r="Y14" i="71"/>
  <c r="Z14" i="71" s="1"/>
  <c r="X3" i="71"/>
  <c r="C14" i="71"/>
  <c r="C13" i="71" s="1"/>
  <c r="J15" i="15"/>
  <c r="F4" i="73"/>
  <c r="F13" i="15"/>
  <c r="F43" i="15"/>
  <c r="F26" i="67"/>
  <c r="D2" i="33"/>
  <c r="F36" i="67"/>
  <c r="M28" i="15"/>
  <c r="L48" i="67"/>
  <c r="D2" i="21"/>
  <c r="F42" i="67"/>
  <c r="D2" i="37"/>
  <c r="E9" i="76"/>
  <c r="D2" i="35"/>
  <c r="C76" i="15"/>
  <c r="M9" i="67"/>
  <c r="L47" i="15"/>
  <c r="AO9" i="1"/>
  <c r="E12" i="76"/>
  <c r="M22" i="67"/>
  <c r="M24" i="67"/>
  <c r="L47" i="67"/>
  <c r="D6" i="73"/>
  <c r="F8" i="67"/>
  <c r="F38" i="67"/>
  <c r="F43" i="67"/>
  <c r="M27" i="67"/>
  <c r="M24" i="15"/>
  <c r="B13" i="76"/>
  <c r="AO12" i="1"/>
  <c r="F6" i="15"/>
  <c r="E10" i="76"/>
  <c r="F37" i="67"/>
  <c r="E8" i="76"/>
  <c r="F6" i="67"/>
  <c r="F40" i="67"/>
  <c r="F42" i="15"/>
  <c r="AO13" i="1"/>
  <c r="B10" i="76"/>
  <c r="J15" i="67"/>
  <c r="B11" i="76"/>
  <c r="E13" i="76"/>
  <c r="E11" i="76"/>
  <c r="F3" i="73"/>
  <c r="M23" i="67"/>
  <c r="F40" i="15"/>
  <c r="F26" i="15"/>
  <c r="F6" i="73"/>
  <c r="D2" i="34"/>
  <c r="AO10" i="1"/>
  <c r="E2" i="68"/>
  <c r="M26" i="15"/>
  <c r="M26" i="67"/>
  <c r="M28" i="67"/>
  <c r="F20" i="31"/>
  <c r="F16" i="67"/>
  <c r="B9" i="76"/>
  <c r="F7" i="67"/>
  <c r="M29" i="67"/>
  <c r="M6" i="67"/>
  <c r="C76" i="67"/>
  <c r="L48" i="15"/>
  <c r="F35" i="67"/>
  <c r="M21" i="67"/>
  <c r="F5" i="73"/>
  <c r="D7" i="73"/>
  <c r="D2" i="36"/>
  <c r="B12" i="76"/>
  <c r="F41" i="67"/>
  <c r="F13" i="67"/>
  <c r="M8" i="67"/>
  <c r="F7" i="73"/>
  <c r="AO11" i="1"/>
  <c r="F9" i="67"/>
  <c r="B8" i="76"/>
  <c r="F7" i="15"/>
  <c r="E2" i="69"/>
  <c r="C21" i="68" l="1"/>
  <c r="C40" i="69"/>
  <c r="D48" i="43"/>
  <c r="D51" i="43"/>
  <c r="D53" i="43"/>
  <c r="D4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E5" i="6"/>
  <c r="D9" i="11" s="1"/>
  <c r="C9" i="11" s="1"/>
  <c r="J12" i="21"/>
  <c r="F12" i="21"/>
  <c r="AA38" i="33"/>
  <c r="J27" i="34"/>
  <c r="F27" i="34"/>
  <c r="H27" i="34"/>
  <c r="J24" i="35"/>
  <c r="F24" i="35"/>
  <c r="U27" i="35"/>
  <c r="AB27" i="35"/>
  <c r="AC34" i="40"/>
  <c r="W34" i="40"/>
  <c r="F38" i="40"/>
  <c r="J38" i="40"/>
  <c r="S41" i="21"/>
  <c r="AA41" i="21"/>
  <c r="AZ347" i="3"/>
  <c r="BP5" i="3"/>
  <c r="G29" i="6" s="1"/>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H9" i="34"/>
  <c r="AA34" i="35"/>
  <c r="S34" i="35"/>
  <c r="BA523" i="3"/>
  <c r="BA521" i="3"/>
  <c r="AZ520" i="3"/>
  <c r="AZ508" i="3"/>
  <c r="BO5" i="3"/>
  <c r="BL501" i="3"/>
  <c r="BD5" i="3"/>
  <c r="BL496" i="3"/>
  <c r="BQ5" i="3"/>
  <c r="F28" i="6" s="1"/>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G109" i="3"/>
  <c r="G110" i="3"/>
  <c r="BL110" i="3"/>
  <c r="X24" i="71"/>
  <c r="X26" i="71"/>
  <c r="Y32" i="71"/>
  <c r="Z32" i="71" s="1"/>
  <c r="Y12" i="71"/>
  <c r="Z12" i="71" s="1"/>
  <c r="X31" i="71"/>
  <c r="B73" i="71"/>
  <c r="B72"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AZ21" i="3" s="1"/>
  <c r="BA23" i="3"/>
  <c r="AZ23" i="3" s="1"/>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U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W9" i="34"/>
  <c r="AC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3" i="71"/>
  <c r="F24" i="71"/>
  <c r="F25" i="71" s="1"/>
  <c r="F26" i="71" s="1"/>
  <c r="V26" i="71" s="1"/>
  <c r="AB19"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AZ18" i="3" s="1"/>
  <c r="P27" i="6"/>
  <c r="C30" i="71"/>
  <c r="AA20" i="71"/>
  <c r="AA22" i="71"/>
  <c r="E22" i="71"/>
  <c r="Y24" i="71"/>
  <c r="Z24" i="71" s="1"/>
  <c r="Y21" i="71"/>
  <c r="Z21" i="71" s="1"/>
  <c r="Y23" i="71"/>
  <c r="Z23" i="71" s="1"/>
  <c r="Y20" i="71"/>
  <c r="Z20" i="71" s="1"/>
  <c r="F41" i="71"/>
  <c r="F42" i="71" s="1"/>
  <c r="V42" i="71" s="1"/>
  <c r="Y16" i="71"/>
  <c r="Z16" i="71" s="1"/>
  <c r="M108" i="43"/>
  <c r="C54" i="71"/>
  <c r="D53" i="71"/>
  <c r="C46" i="71"/>
  <c r="D45"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C13" i="12"/>
  <c r="D68" i="9"/>
  <c r="M18" i="15"/>
  <c r="F32" i="15"/>
  <c r="F60" i="15" s="1"/>
  <c r="F30" i="69"/>
  <c r="F32" i="67"/>
  <c r="F60" i="67" s="1"/>
  <c r="F52" i="9"/>
  <c r="F28" i="67"/>
  <c r="C28" i="67" s="1"/>
  <c r="F30" i="11"/>
  <c r="C21" i="69"/>
  <c r="E19" i="68"/>
  <c r="E19" i="11"/>
  <c r="D22" i="67"/>
  <c r="L27" i="6"/>
  <c r="AQ13" i="1"/>
  <c r="T12" i="1"/>
  <c r="T9" i="1"/>
  <c r="AR11" i="1"/>
  <c r="T11" i="1"/>
  <c r="AR10" i="1"/>
  <c r="BA19" i="3"/>
  <c r="BL19" i="3"/>
  <c r="G19" i="3"/>
  <c r="G5" i="3" s="1"/>
  <c r="B3" i="3" s="1"/>
  <c r="AT6" i="3" s="1"/>
  <c r="H5" i="3"/>
  <c r="BB5" i="3"/>
  <c r="E8" i="6" s="1"/>
  <c r="C36" i="69"/>
  <c r="BA14" i="3"/>
  <c r="I4" i="6"/>
  <c r="G3" i="43" s="1"/>
  <c r="B113" i="43" s="1"/>
  <c r="E28" i="6"/>
  <c r="F30" i="6"/>
  <c r="O10" i="1"/>
  <c r="P10" i="1" s="1"/>
  <c r="D19" i="12"/>
  <c r="C19" i="12" s="1"/>
  <c r="D9" i="68"/>
  <c r="C9" i="68" s="1"/>
  <c r="D9" i="69"/>
  <c r="C9" i="69" s="1"/>
  <c r="P7" i="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F50" i="15"/>
  <c r="F71" i="15"/>
  <c r="F69" i="67"/>
  <c r="F66" i="67"/>
  <c r="B11" i="70"/>
  <c r="N59" i="15"/>
  <c r="L58" i="15"/>
  <c r="M59" i="15"/>
  <c r="L59" i="15" s="1"/>
  <c r="Q71" i="67"/>
  <c r="F70" i="67"/>
  <c r="C27" i="67"/>
  <c r="F71" i="67"/>
  <c r="C27" i="15"/>
  <c r="B9" i="70"/>
  <c r="N59" i="67"/>
  <c r="L59" i="67"/>
  <c r="L58" i="67"/>
  <c r="M59" i="67"/>
  <c r="B13" i="70"/>
  <c r="M7" i="67"/>
  <c r="J6" i="67" s="1"/>
  <c r="F50" i="67"/>
  <c r="F59" i="67" s="1"/>
  <c r="F63" i="67"/>
  <c r="C62" i="67" s="1"/>
  <c r="C34" i="67"/>
  <c r="F68" i="67"/>
  <c r="F64" i="67"/>
  <c r="F68" i="15"/>
  <c r="D5" i="73"/>
  <c r="M9" i="15"/>
  <c r="F16" i="15"/>
  <c r="F38" i="15"/>
  <c r="D4" i="73"/>
  <c r="C14" i="67"/>
  <c r="M8" i="15"/>
  <c r="F37" i="15"/>
  <c r="M29" i="15"/>
  <c r="F36" i="15"/>
  <c r="F9" i="15"/>
  <c r="D3" i="73"/>
  <c r="M6" i="15"/>
  <c r="M23" i="15"/>
  <c r="M22" i="15"/>
  <c r="F8" i="15"/>
  <c r="G1" i="73"/>
  <c r="C17" i="67"/>
  <c r="C16" i="67"/>
  <c r="M27" i="15"/>
  <c r="P24" i="80" l="1"/>
  <c r="P25" i="80"/>
  <c r="P22" i="80"/>
  <c r="P23" i="80"/>
  <c r="C19" i="43"/>
  <c r="P21" i="80"/>
  <c r="C19" i="80"/>
  <c r="E48" i="43"/>
  <c r="B46" i="43" s="1"/>
  <c r="C24" i="43" s="1"/>
  <c r="E20" i="80"/>
  <c r="F51" i="15"/>
  <c r="C49" i="15" s="1"/>
  <c r="C6" i="15"/>
  <c r="C32" i="15" s="1"/>
  <c r="F66" i="15"/>
  <c r="F64" i="15"/>
  <c r="F65" i="15"/>
  <c r="E29" i="6"/>
  <c r="K15" i="1" s="1"/>
  <c r="G30" i="6"/>
  <c r="G31" i="6" s="1"/>
  <c r="K101" i="43"/>
  <c r="G22" i="43"/>
  <c r="E12" i="6"/>
  <c r="E62" i="39" s="1"/>
  <c r="AZ39" i="3"/>
  <c r="AZ74" i="3"/>
  <c r="AZ89" i="3"/>
  <c r="AZ270" i="3"/>
  <c r="K6" i="1"/>
  <c r="C7" i="12"/>
  <c r="I21" i="66"/>
  <c r="D1" i="66" s="1"/>
  <c r="E10" i="66" s="1"/>
  <c r="AZ481" i="3"/>
  <c r="S12" i="36"/>
  <c r="AA12" i="36"/>
  <c r="AA33" i="36"/>
  <c r="S33" i="36"/>
  <c r="S45" i="39"/>
  <c r="AA45" i="39"/>
  <c r="W32" i="36"/>
  <c r="AC32" i="36"/>
  <c r="AZ528" i="3"/>
  <c r="S12" i="21"/>
  <c r="AA12" i="21"/>
  <c r="H7" i="36"/>
  <c r="J22" i="43"/>
  <c r="L101" i="43"/>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A11" i="43"/>
  <c r="AA13" i="43" s="1"/>
  <c r="J101" i="43"/>
  <c r="AZ478" i="3"/>
  <c r="AA24" i="36"/>
  <c r="S24" i="36"/>
  <c r="U27" i="37"/>
  <c r="AB27" i="37"/>
  <c r="W9" i="21"/>
  <c r="AC9" i="21"/>
  <c r="AZ544" i="3"/>
  <c r="S24" i="35"/>
  <c r="AA24" i="35"/>
  <c r="H7" i="34"/>
  <c r="AE11" i="43"/>
  <c r="AE13" i="43" s="1"/>
  <c r="G101" i="43"/>
  <c r="AZ43" i="3"/>
  <c r="AZ254" i="3"/>
  <c r="S40" i="39"/>
  <c r="AZ29" i="3"/>
  <c r="AZ332" i="3"/>
  <c r="AZ41" i="3"/>
  <c r="AZ189" i="3"/>
  <c r="AZ269" i="3"/>
  <c r="AZ249" i="3"/>
  <c r="AZ424" i="3"/>
  <c r="AZ248" i="3"/>
  <c r="AZ428" i="3"/>
  <c r="AZ518" i="3"/>
  <c r="AC24" i="36"/>
  <c r="W24" i="36"/>
  <c r="AC27" i="37"/>
  <c r="W27" i="37"/>
  <c r="AA9" i="21"/>
  <c r="S9" i="21"/>
  <c r="AZ546" i="3"/>
  <c r="AC24" i="35"/>
  <c r="W24" i="35"/>
  <c r="J7" i="34"/>
  <c r="E101" i="43"/>
  <c r="AI11" i="43"/>
  <c r="AI13" i="43" s="1"/>
  <c r="AZ263" i="3"/>
  <c r="U24" i="36"/>
  <c r="AB24" i="36"/>
  <c r="AC39" i="37"/>
  <c r="W39" i="37"/>
  <c r="AB32" i="36"/>
  <c r="U32" i="36"/>
  <c r="AC38" i="40"/>
  <c r="W38" i="40"/>
  <c r="AB27" i="34"/>
  <c r="U27" i="34"/>
  <c r="J6" i="15"/>
  <c r="J18" i="15" s="1"/>
  <c r="F7" i="36"/>
  <c r="F7" i="34"/>
  <c r="M101" i="43"/>
  <c r="Z11" i="43"/>
  <c r="Z13" i="43"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H22" i="43"/>
  <c r="AD11" i="43"/>
  <c r="AD13" i="43" s="1"/>
  <c r="J7" i="37"/>
  <c r="N101" i="43"/>
  <c r="AH11" i="43"/>
  <c r="AH13" i="43"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E570" i="3"/>
  <c r="Z6" i="3"/>
  <c r="E442" i="3"/>
  <c r="E541" i="3"/>
  <c r="E449" i="3"/>
  <c r="E298" i="3"/>
  <c r="E89" i="3"/>
  <c r="E105" i="3"/>
  <c r="E543" i="3"/>
  <c r="E422" i="3"/>
  <c r="E374" i="3"/>
  <c r="E500" i="3"/>
  <c r="E413" i="3"/>
  <c r="E520" i="3"/>
  <c r="E39" i="3"/>
  <c r="E380" i="3"/>
  <c r="E313" i="3"/>
  <c r="E438" i="3"/>
  <c r="AE6" i="3"/>
  <c r="E496" i="3"/>
  <c r="E54" i="3"/>
  <c r="E168" i="3"/>
  <c r="E208" i="3"/>
  <c r="E257" i="3"/>
  <c r="E357" i="3"/>
  <c r="E14" i="3"/>
  <c r="E93" i="3"/>
  <c r="E473" i="3"/>
  <c r="E38" i="3"/>
  <c r="E194" i="3"/>
  <c r="E339" i="3"/>
  <c r="E52" i="3"/>
  <c r="E147" i="3"/>
  <c r="E50" i="3"/>
  <c r="E218" i="3"/>
  <c r="E101" i="3"/>
  <c r="E415" i="3"/>
  <c r="E260" i="3"/>
  <c r="E239" i="3"/>
  <c r="E569" i="3"/>
  <c r="E229" i="3"/>
  <c r="E217" i="3"/>
  <c r="E268" i="3"/>
  <c r="AJ6" i="3"/>
  <c r="E567" i="3"/>
  <c r="E227" i="3"/>
  <c r="E353" i="3"/>
  <c r="AN6" i="3"/>
  <c r="E402" i="3"/>
  <c r="E303" i="3"/>
  <c r="E585" i="3"/>
  <c r="E411" i="3"/>
  <c r="E548" i="3"/>
  <c r="E432" i="3"/>
  <c r="E321" i="3"/>
  <c r="E122" i="3"/>
  <c r="E173" i="3"/>
  <c r="T6" i="3"/>
  <c r="E512" i="3"/>
  <c r="E557" i="3"/>
  <c r="E489" i="3"/>
  <c r="E538" i="3"/>
  <c r="W6" i="3"/>
  <c r="E471" i="3"/>
  <c r="E202" i="3"/>
  <c r="E372" i="3"/>
  <c r="E174" i="3"/>
  <c r="AF6" i="3"/>
  <c r="E343" i="3"/>
  <c r="E549" i="3"/>
  <c r="E24" i="3"/>
  <c r="E185" i="3"/>
  <c r="U6" i="3"/>
  <c r="E448" i="3"/>
  <c r="P6" i="3"/>
  <c r="E390" i="3"/>
  <c r="E196" i="3"/>
  <c r="E140" i="3"/>
  <c r="E369" i="3"/>
  <c r="E405" i="3"/>
  <c r="E408" i="3"/>
  <c r="E367" i="3"/>
  <c r="E547" i="3"/>
  <c r="E403" i="3"/>
  <c r="E546" i="3"/>
  <c r="E71" i="3"/>
  <c r="E245" i="3"/>
  <c r="E519" i="3"/>
  <c r="E457" i="3"/>
  <c r="E571" i="3"/>
  <c r="E433" i="3"/>
  <c r="E41" i="3"/>
  <c r="E198" i="3"/>
  <c r="E225" i="3"/>
  <c r="E243" i="3"/>
  <c r="E391" i="3"/>
  <c r="AL6" i="3"/>
  <c r="E94" i="3"/>
  <c r="E482" i="3"/>
  <c r="E78" i="3"/>
  <c r="E220" i="3"/>
  <c r="E383" i="3"/>
  <c r="E86" i="3"/>
  <c r="E232" i="3"/>
  <c r="E102" i="3"/>
  <c r="E287" i="3"/>
  <c r="E83" i="3"/>
  <c r="E528" i="3"/>
  <c r="E361" i="3"/>
  <c r="E388" i="3"/>
  <c r="E410" i="3"/>
  <c r="E143" i="3"/>
  <c r="E319" i="3"/>
  <c r="E153" i="3"/>
  <c r="E328" i="3"/>
  <c r="X6" i="3"/>
  <c r="E246" i="3"/>
  <c r="E314" i="3"/>
  <c r="E16" i="3"/>
  <c r="E434" i="3"/>
  <c r="E296" i="3"/>
  <c r="E531" i="3"/>
  <c r="E527" i="3"/>
  <c r="E178" i="3"/>
  <c r="E346" i="3"/>
  <c r="E96" i="3"/>
  <c r="E158" i="3"/>
  <c r="E213" i="3"/>
  <c r="E508" i="3"/>
  <c r="E252" i="3"/>
  <c r="AG6" i="3"/>
  <c r="E464" i="3"/>
  <c r="E398" i="3"/>
  <c r="S6" i="3"/>
  <c r="E136" i="3"/>
  <c r="E85" i="3"/>
  <c r="E393" i="3"/>
  <c r="E427" i="3"/>
  <c r="E440" i="3"/>
  <c r="I3" i="6"/>
  <c r="E554" i="3"/>
  <c r="E435" i="3"/>
  <c r="E417" i="3"/>
  <c r="E56" i="3"/>
  <c r="E191" i="3"/>
  <c r="E532" i="3"/>
  <c r="E465" i="3"/>
  <c r="E577" i="3"/>
  <c r="E454" i="3"/>
  <c r="E73" i="3"/>
  <c r="E203" i="3"/>
  <c r="E256" i="3"/>
  <c r="E274" i="3"/>
  <c r="E394" i="3"/>
  <c r="E580" i="3"/>
  <c r="E32" i="3"/>
  <c r="E15" i="3"/>
  <c r="E100" i="3"/>
  <c r="E234" i="3"/>
  <c r="E325" i="3"/>
  <c r="E36" i="3"/>
  <c r="E289" i="3"/>
  <c r="E20" i="3"/>
  <c r="E265" i="3"/>
  <c r="E69" i="3"/>
  <c r="E563" i="3"/>
  <c r="E445" i="3"/>
  <c r="E509" i="3"/>
  <c r="E431" i="3"/>
  <c r="E201" i="3"/>
  <c r="E366" i="3"/>
  <c r="E282" i="3"/>
  <c r="E329" i="3"/>
  <c r="E510" i="3"/>
  <c r="E205" i="3"/>
  <c r="E385" i="3"/>
  <c r="AI6" i="3"/>
  <c r="E423" i="3"/>
  <c r="E263" i="3"/>
  <c r="E145" i="3"/>
  <c r="E515" i="3"/>
  <c r="E478" i="3"/>
  <c r="E414" i="3"/>
  <c r="E523" i="3"/>
  <c r="E156" i="3"/>
  <c r="E223" i="3"/>
  <c r="E525" i="3"/>
  <c r="E456" i="3"/>
  <c r="E443" i="3"/>
  <c r="E558" i="3"/>
  <c r="E581" i="3"/>
  <c r="E444" i="3"/>
  <c r="E404" i="3"/>
  <c r="E88" i="3"/>
  <c r="E188" i="3"/>
  <c r="E573" i="3"/>
  <c r="E288" i="3"/>
  <c r="E537" i="3"/>
  <c r="E475" i="3"/>
  <c r="E108" i="3"/>
  <c r="E119" i="3"/>
  <c r="E242" i="3"/>
  <c r="E276" i="3"/>
  <c r="E333" i="3"/>
  <c r="L6" i="3"/>
  <c r="E43" i="3"/>
  <c r="E412" i="3"/>
  <c r="E129" i="3"/>
  <c r="E275" i="3"/>
  <c r="E342" i="3"/>
  <c r="E34" i="3"/>
  <c r="E251" i="3"/>
  <c r="E80" i="3"/>
  <c r="E308" i="3"/>
  <c r="E237" i="3"/>
  <c r="E565" i="3"/>
  <c r="E17" i="3"/>
  <c r="O6" i="3"/>
  <c r="E359" i="3"/>
  <c r="E97" i="3"/>
  <c r="E530" i="3"/>
  <c r="E305" i="3"/>
  <c r="E347" i="3"/>
  <c r="E399" i="3"/>
  <c r="E124" i="3"/>
  <c r="E568" i="3"/>
  <c r="E536" i="3"/>
  <c r="E453" i="3"/>
  <c r="E244" i="3"/>
  <c r="E304" i="3"/>
  <c r="I6" i="3"/>
  <c r="E107" i="3"/>
  <c r="E502" i="3"/>
  <c r="E466" i="3"/>
  <c r="E430" i="3"/>
  <c r="E506" i="3"/>
  <c r="E236" i="3"/>
  <c r="E238" i="3"/>
  <c r="E493" i="3"/>
  <c r="E486" i="3"/>
  <c r="E459" i="3"/>
  <c r="E566" i="3"/>
  <c r="E582" i="3"/>
  <c r="E460" i="3"/>
  <c r="E436" i="3"/>
  <c r="E90" i="3"/>
  <c r="E181" i="3"/>
  <c r="E529" i="3"/>
  <c r="E344" i="3"/>
  <c r="E429" i="3"/>
  <c r="E55" i="3"/>
  <c r="E111" i="3"/>
  <c r="E150" i="3"/>
  <c r="E279" i="3"/>
  <c r="E351" i="3"/>
  <c r="E318" i="3"/>
  <c r="E31" i="3"/>
  <c r="E75" i="3"/>
  <c r="E455" i="3"/>
  <c r="E170" i="3"/>
  <c r="E219" i="3"/>
  <c r="E392" i="3"/>
  <c r="E112" i="3"/>
  <c r="E340" i="3"/>
  <c r="E62" i="3"/>
  <c r="E365" i="3"/>
  <c r="E114" i="3"/>
  <c r="E395" i="3"/>
  <c r="E550" i="3"/>
  <c r="E516" i="3"/>
  <c r="E396" i="3"/>
  <c r="E151" i="3"/>
  <c r="E526" i="3"/>
  <c r="E322" i="3"/>
  <c r="E539" i="3"/>
  <c r="E461" i="3"/>
  <c r="E165" i="3"/>
  <c r="E495" i="3"/>
  <c r="E586" i="3"/>
  <c r="E350" i="3"/>
  <c r="E301" i="3"/>
  <c r="E428" i="3"/>
  <c r="E175" i="3"/>
  <c r="E368" i="3"/>
  <c r="E379" i="3"/>
  <c r="AO6" i="3"/>
  <c r="E485" i="3"/>
  <c r="E400" i="3"/>
  <c r="E418" i="3"/>
  <c r="E148" i="3"/>
  <c r="E197" i="3"/>
  <c r="E534" i="3"/>
  <c r="E469" i="3"/>
  <c r="E477" i="3"/>
  <c r="E505" i="3"/>
  <c r="AS6" i="3"/>
  <c r="E476" i="3"/>
  <c r="E447" i="3"/>
  <c r="E270" i="3"/>
  <c r="E45" i="3"/>
  <c r="E458" i="3"/>
  <c r="E562" i="3"/>
  <c r="E450" i="3"/>
  <c r="E72" i="3"/>
  <c r="E115" i="3"/>
  <c r="E139" i="3"/>
  <c r="E281" i="3"/>
  <c r="E332" i="3"/>
  <c r="E356" i="3"/>
  <c r="E42" i="3"/>
  <c r="E488" i="3"/>
  <c r="E18" i="3"/>
  <c r="E190" i="3"/>
  <c r="E235" i="3"/>
  <c r="E522" i="3"/>
  <c r="E49" i="3"/>
  <c r="E370" i="3"/>
  <c r="E113" i="3"/>
  <c r="E326" i="3"/>
  <c r="E261" i="3"/>
  <c r="E183" i="3"/>
  <c r="E503" i="3"/>
  <c r="E555" i="3"/>
  <c r="E337" i="3"/>
  <c r="E53" i="3"/>
  <c r="E501" i="3"/>
  <c r="E426" i="3"/>
  <c r="E583" i="3"/>
  <c r="E336" i="3"/>
  <c r="E293" i="3"/>
  <c r="E511" i="3"/>
  <c r="AK6" i="3"/>
  <c r="E306" i="3"/>
  <c r="E262" i="3"/>
  <c r="E35" i="3"/>
  <c r="E574" i="3"/>
  <c r="E280" i="3"/>
  <c r="E576" i="3"/>
  <c r="E421" i="3"/>
  <c r="E487" i="3"/>
  <c r="E416" i="3"/>
  <c r="E338" i="3"/>
  <c r="E269" i="3"/>
  <c r="E116" i="3"/>
  <c r="E564" i="3"/>
  <c r="E507" i="3"/>
  <c r="E255" i="3"/>
  <c r="AP6" i="3"/>
  <c r="E517" i="3"/>
  <c r="E491" i="3"/>
  <c r="E479" i="3"/>
  <c r="AR6" i="3"/>
  <c r="E224" i="3"/>
  <c r="E474" i="3"/>
  <c r="E587" i="3"/>
  <c r="E468" i="3"/>
  <c r="E106" i="3"/>
  <c r="E146" i="3"/>
  <c r="E171" i="3"/>
  <c r="E214" i="3"/>
  <c r="E315" i="3"/>
  <c r="E362" i="3"/>
  <c r="E74" i="3"/>
  <c r="E409" i="3"/>
  <c r="E79" i="3"/>
  <c r="E137" i="3"/>
  <c r="E299" i="3"/>
  <c r="AQ6" i="3"/>
  <c r="E123" i="3"/>
  <c r="E364" i="3"/>
  <c r="E176" i="3"/>
  <c r="E524" i="3"/>
  <c r="E278" i="3"/>
  <c r="E172" i="3"/>
  <c r="E535" i="3"/>
  <c r="E579" i="3"/>
  <c r="E247" i="3"/>
  <c r="E125" i="3"/>
  <c r="E553" i="3"/>
  <c r="N6" i="3"/>
  <c r="E545" i="3"/>
  <c r="E352" i="3"/>
  <c r="E128" i="3"/>
  <c r="E518" i="3"/>
  <c r="E578" i="3"/>
  <c r="E382" i="3"/>
  <c r="E345" i="3"/>
  <c r="E28" i="3"/>
  <c r="E193" i="3"/>
  <c r="E25" i="3"/>
  <c r="E226" i="3"/>
  <c r="E60" i="3"/>
  <c r="E324" i="3"/>
  <c r="E206" i="3"/>
  <c r="E22" i="3"/>
  <c r="E302" i="3"/>
  <c r="E285" i="3"/>
  <c r="AA6" i="3"/>
  <c r="E397" i="3"/>
  <c r="D49" i="71"/>
  <c r="C50" i="71"/>
  <c r="T54" i="71"/>
  <c r="D54" i="71"/>
  <c r="C58" i="71"/>
  <c r="D57" i="71"/>
  <c r="E15" i="6"/>
  <c r="E10" i="6"/>
  <c r="S22" i="71"/>
  <c r="B21" i="71"/>
  <c r="B20" i="71" s="1"/>
  <c r="AZ237" i="3"/>
  <c r="S12" i="35"/>
  <c r="AA12" i="35"/>
  <c r="E21" i="71"/>
  <c r="E20" i="71" s="1"/>
  <c r="V22" i="71"/>
  <c r="U44" i="21"/>
  <c r="AB44" i="21"/>
  <c r="AA44" i="21"/>
  <c r="S44" i="21"/>
  <c r="E57" i="40"/>
  <c r="E13" i="6"/>
  <c r="B13" i="71"/>
  <c r="B12" i="71" s="1"/>
  <c r="B11" i="71" s="1"/>
  <c r="B10" i="71" s="1"/>
  <c r="S14" i="71"/>
  <c r="AZ111" i="3"/>
  <c r="U45" i="34"/>
  <c r="AB45" i="34"/>
  <c r="BL5" i="3"/>
  <c r="H16" i="1"/>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E56" i="40"/>
  <c r="S21" i="39"/>
  <c r="T46" i="71"/>
  <c r="D46" i="71"/>
  <c r="AZ101" i="3"/>
  <c r="AZ190" i="3"/>
  <c r="AZ162" i="3"/>
  <c r="U12" i="33"/>
  <c r="AB12" i="33"/>
  <c r="U25" i="37"/>
  <c r="AB25" i="37"/>
  <c r="G16" i="1"/>
  <c r="F10" i="39" s="1"/>
  <c r="S10" i="39" s="1"/>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E327" i="3"/>
  <c r="E164" i="3"/>
  <c r="E204" i="3"/>
  <c r="E161" i="3"/>
  <c r="E335" i="3"/>
  <c r="E120" i="3"/>
  <c r="E271" i="3"/>
  <c r="E207" i="3"/>
  <c r="E135" i="3"/>
  <c r="E216" i="3"/>
  <c r="AB6" i="3"/>
  <c r="E311" i="3"/>
  <c r="E121" i="3"/>
  <c r="AZ19" i="3"/>
  <c r="E160" i="3"/>
  <c r="E552" i="3"/>
  <c r="R6" i="3"/>
  <c r="E542" i="3"/>
  <c r="E499" i="3"/>
  <c r="AD6" i="3"/>
  <c r="E575" i="3"/>
  <c r="E312" i="3"/>
  <c r="E286" i="3"/>
  <c r="E141" i="3"/>
  <c r="E199" i="3"/>
  <c r="E167" i="3"/>
  <c r="E253" i="3"/>
  <c r="E212" i="3"/>
  <c r="E77" i="3"/>
  <c r="E117" i="3"/>
  <c r="E290" i="3"/>
  <c r="E61" i="3"/>
  <c r="E169" i="3"/>
  <c r="E215" i="3"/>
  <c r="E387" i="3"/>
  <c r="M6" i="3"/>
  <c r="E514" i="3"/>
  <c r="E99" i="3"/>
  <c r="E437" i="3"/>
  <c r="E334" i="3"/>
  <c r="E355" i="3"/>
  <c r="E149" i="3"/>
  <c r="E180" i="3"/>
  <c r="E221" i="3"/>
  <c r="E91" i="3"/>
  <c r="E254" i="3"/>
  <c r="E134" i="3"/>
  <c r="E130" i="3"/>
  <c r="E189" i="3"/>
  <c r="E230" i="3"/>
  <c r="E294" i="3"/>
  <c r="E320" i="3"/>
  <c r="E407" i="3"/>
  <c r="V6" i="3"/>
  <c r="E551" i="3"/>
  <c r="E559" i="3"/>
  <c r="E358" i="3"/>
  <c r="E231" i="3"/>
  <c r="E157" i="3"/>
  <c r="E177" i="3"/>
  <c r="E419" i="3"/>
  <c r="E295" i="3"/>
  <c r="E480" i="3"/>
  <c r="E492" i="3"/>
  <c r="E309" i="3"/>
  <c r="I101" i="43"/>
  <c r="I109" i="43" s="1"/>
  <c r="D101" i="43"/>
  <c r="E22" i="43"/>
  <c r="F101" i="43"/>
  <c r="F107" i="43" s="1"/>
  <c r="F22" i="43"/>
  <c r="D22" i="43" s="1"/>
  <c r="Y11" i="43"/>
  <c r="Y13" i="43" s="1"/>
  <c r="AC11" i="43"/>
  <c r="AC13" i="43" s="1"/>
  <c r="AG11" i="43"/>
  <c r="AG13" i="43" s="1"/>
  <c r="Z7" i="43"/>
  <c r="AB11" i="43"/>
  <c r="AB13" i="43" s="1"/>
  <c r="AF11" i="43"/>
  <c r="AF13" i="43" s="1"/>
  <c r="AJ11" i="43"/>
  <c r="AJ13" i="43" s="1"/>
  <c r="H101" i="43"/>
  <c r="H103" i="43" s="1"/>
  <c r="N104" i="46"/>
  <c r="C101" i="43"/>
  <c r="C107" i="43" s="1"/>
  <c r="E330" i="3"/>
  <c r="E376" i="3"/>
  <c r="E40" i="3"/>
  <c r="E166" i="3"/>
  <c r="E316" i="3"/>
  <c r="E30" i="3"/>
  <c r="E467" i="3"/>
  <c r="E249" i="3"/>
  <c r="E33" i="3"/>
  <c r="E81" i="3"/>
  <c r="E228" i="3"/>
  <c r="E259" i="3"/>
  <c r="E420" i="3"/>
  <c r="E521" i="3"/>
  <c r="E51" i="40"/>
  <c r="F27" i="6"/>
  <c r="E56" i="39"/>
  <c r="E424" i="3"/>
  <c r="J6" i="3"/>
  <c r="E401" i="3"/>
  <c r="E70" i="3"/>
  <c r="E182" i="3"/>
  <c r="E211" i="3"/>
  <c r="E273" i="3"/>
  <c r="E377" i="3"/>
  <c r="E572" i="3"/>
  <c r="E109" i="3"/>
  <c r="E484" i="3"/>
  <c r="E46" i="3"/>
  <c r="E200" i="3"/>
  <c r="E371" i="3"/>
  <c r="E84" i="3"/>
  <c r="E184" i="3"/>
  <c r="E68" i="3"/>
  <c r="E264" i="3"/>
  <c r="E21" i="3"/>
  <c r="E451" i="3"/>
  <c r="E187" i="3"/>
  <c r="E504" i="3"/>
  <c r="E248" i="3"/>
  <c r="E51" i="3"/>
  <c r="K6" i="3"/>
  <c r="E13" i="3"/>
  <c r="E57" i="3"/>
  <c r="E240" i="3"/>
  <c r="E378" i="3"/>
  <c r="E110" i="3"/>
  <c r="E65" i="3"/>
  <c r="E386" i="3"/>
  <c r="E250" i="3"/>
  <c r="E222" i="3"/>
  <c r="Q6" i="3"/>
  <c r="E481" i="3"/>
  <c r="E490" i="3"/>
  <c r="AH6" i="3"/>
  <c r="AC6" i="3" s="1"/>
  <c r="E498" i="3"/>
  <c r="E483" i="3"/>
  <c r="E463"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439" i="3"/>
  <c r="E277" i="3"/>
  <c r="E472" i="3"/>
  <c r="E556" i="3"/>
  <c r="E452" i="3"/>
  <c r="E104" i="3"/>
  <c r="E131" i="3"/>
  <c r="E155" i="3"/>
  <c r="E297" i="3"/>
  <c r="E348" i="3"/>
  <c r="E375" i="3"/>
  <c r="E58" i="3"/>
  <c r="E540" i="3"/>
  <c r="E47" i="3"/>
  <c r="E195" i="3"/>
  <c r="E266" i="3"/>
  <c r="E584" i="3"/>
  <c r="E87" i="3"/>
  <c r="E341" i="3"/>
  <c r="E154" i="3"/>
  <c r="E561" i="3"/>
  <c r="E159" i="3"/>
  <c r="E133" i="3"/>
  <c r="E406" i="3"/>
  <c r="E497" i="3"/>
  <c r="E470" i="3"/>
  <c r="E37" i="3"/>
  <c r="E152" i="3"/>
  <c r="E192" i="3"/>
  <c r="E241" i="3"/>
  <c r="E363" i="3"/>
  <c r="E389" i="3"/>
  <c r="E76" i="3"/>
  <c r="E462" i="3"/>
  <c r="E98" i="3"/>
  <c r="E163" i="3"/>
  <c r="E307" i="3"/>
  <c r="E66" i="3"/>
  <c r="E127" i="3"/>
  <c r="Y6" i="3"/>
  <c r="E179" i="3"/>
  <c r="E82" i="3"/>
  <c r="E533" i="3"/>
  <c r="E560" i="3"/>
  <c r="E360" i="3"/>
  <c r="E494" i="3"/>
  <c r="E26" i="3"/>
  <c r="E95" i="3"/>
  <c r="E132" i="3"/>
  <c r="E258" i="3"/>
  <c r="E292" i="3"/>
  <c r="E349" i="3"/>
  <c r="E544" i="3"/>
  <c r="E59" i="3"/>
  <c r="E446" i="3"/>
  <c r="E138" i="3"/>
  <c r="E209" i="3"/>
  <c r="E354" i="3"/>
  <c r="E48" i="3"/>
  <c r="E284" i="3"/>
  <c r="E19" i="3"/>
  <c r="E323" i="3"/>
  <c r="AZ14" i="3"/>
  <c r="BA5" i="3"/>
  <c r="E58" i="40"/>
  <c r="E63" i="39"/>
  <c r="E59" i="40"/>
  <c r="E60" i="40"/>
  <c r="E65" i="39"/>
  <c r="E30" i="6"/>
  <c r="K14" i="1"/>
  <c r="F31" i="6"/>
  <c r="P8" i="1"/>
  <c r="N102" i="43"/>
  <c r="N105" i="43"/>
  <c r="N104" i="43"/>
  <c r="N103" i="43"/>
  <c r="N106" i="43"/>
  <c r="N107" i="43"/>
  <c r="N109" i="43"/>
  <c r="K103" i="43"/>
  <c r="K102" i="43"/>
  <c r="K105" i="43"/>
  <c r="K107" i="43"/>
  <c r="K104" i="43"/>
  <c r="K106" i="43"/>
  <c r="K109" i="43"/>
  <c r="H102" i="43"/>
  <c r="I104" i="43"/>
  <c r="D109" i="43"/>
  <c r="D105" i="43"/>
  <c r="D103" i="43"/>
  <c r="D106" i="43"/>
  <c r="D102" i="43"/>
  <c r="D104" i="43"/>
  <c r="D107"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11" i="67"/>
  <c r="J10" i="67" s="1"/>
  <c r="J5" i="67" s="1"/>
  <c r="F11" i="15"/>
  <c r="M11" i="15"/>
  <c r="F11" i="67"/>
  <c r="F1" i="15"/>
  <c r="Q52" i="15"/>
  <c r="J18" i="67"/>
  <c r="F1" i="67"/>
  <c r="Q52" i="67"/>
  <c r="Q60" i="15"/>
  <c r="Q73" i="15"/>
  <c r="Q61" i="67"/>
  <c r="Q74" i="67"/>
  <c r="Q74" i="15"/>
  <c r="Q61" i="15"/>
  <c r="M23" i="78"/>
  <c r="F7" i="78"/>
  <c r="F43" i="79"/>
  <c r="F42" i="78"/>
  <c r="F36" i="78"/>
  <c r="F43" i="78"/>
  <c r="F8" i="79"/>
  <c r="F37" i="79"/>
  <c r="M27" i="78"/>
  <c r="F38" i="79"/>
  <c r="M22" i="78"/>
  <c r="M6" i="78"/>
  <c r="F36" i="79"/>
  <c r="M24" i="79"/>
  <c r="F16" i="79"/>
  <c r="F38" i="78"/>
  <c r="C16" i="15"/>
  <c r="M8" i="78"/>
  <c r="F9" i="79"/>
  <c r="C76" i="79"/>
  <c r="F9" i="78"/>
  <c r="M23" i="79"/>
  <c r="F26" i="79"/>
  <c r="L48" i="78"/>
  <c r="AE7" i="1"/>
  <c r="F13" i="78"/>
  <c r="F13" i="79"/>
  <c r="F6" i="78"/>
  <c r="M6" i="79"/>
  <c r="F42" i="79"/>
  <c r="F26" i="78"/>
  <c r="M9" i="78"/>
  <c r="M26" i="79"/>
  <c r="F16" i="78"/>
  <c r="F8" i="78"/>
  <c r="F7" i="79"/>
  <c r="M29" i="79"/>
  <c r="L48" i="79"/>
  <c r="L47" i="79"/>
  <c r="M29" i="78"/>
  <c r="M9" i="79"/>
  <c r="F37" i="78"/>
  <c r="F6" i="79"/>
  <c r="M28" i="78"/>
  <c r="M22" i="79"/>
  <c r="C76" i="78"/>
  <c r="M26" i="78"/>
  <c r="M27" i="79"/>
  <c r="F40" i="78"/>
  <c r="J15" i="78"/>
  <c r="J15" i="79"/>
  <c r="F40" i="79"/>
  <c r="L47" i="78"/>
  <c r="M8" i="79"/>
  <c r="M24" i="78"/>
  <c r="M28" i="79"/>
  <c r="H44" i="78" l="1"/>
  <c r="P28" i="80"/>
  <c r="O28" i="80"/>
  <c r="N28" i="80"/>
  <c r="M28" i="80"/>
  <c r="J10" i="15"/>
  <c r="J5" i="15" s="1"/>
  <c r="J24" i="15" s="1"/>
  <c r="F65" i="78"/>
  <c r="I54" i="78"/>
  <c r="L60" i="78"/>
  <c r="J60" i="78"/>
  <c r="Q48" i="78" s="1"/>
  <c r="L56" i="78"/>
  <c r="L57" i="78"/>
  <c r="J59" i="78"/>
  <c r="J57" i="78"/>
  <c r="J55" i="78" s="1"/>
  <c r="J58" i="78" s="1"/>
  <c r="Q50" i="78" s="1"/>
  <c r="J53" i="78"/>
  <c r="L58" i="78"/>
  <c r="N59" i="78"/>
  <c r="M59" i="78"/>
  <c r="L59" i="78" s="1"/>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J53" i="79"/>
  <c r="F71" i="78"/>
  <c r="F64" i="78"/>
  <c r="F51" i="78"/>
  <c r="F68" i="79"/>
  <c r="F68" i="78"/>
  <c r="F51" i="79"/>
  <c r="N59" i="79"/>
  <c r="L58" i="79"/>
  <c r="M59" i="79"/>
  <c r="L59" i="79" s="1"/>
  <c r="C27" i="79"/>
  <c r="C27" i="78"/>
  <c r="M6" i="1"/>
  <c r="Q16" i="1"/>
  <c r="F106" i="43"/>
  <c r="F105" i="43"/>
  <c r="E16" i="6"/>
  <c r="F24" i="78"/>
  <c r="C24" i="78" s="1"/>
  <c r="F24" i="79"/>
  <c r="C53" i="79"/>
  <c r="C53" i="78"/>
  <c r="C10" i="78"/>
  <c r="AA10" i="39"/>
  <c r="J10" i="40"/>
  <c r="W10" i="40" s="1"/>
  <c r="H10" i="40"/>
  <c r="AB10" i="40" s="1"/>
  <c r="J10" i="39"/>
  <c r="W10" i="39" s="1"/>
  <c r="F10" i="40"/>
  <c r="S10" i="40" s="1"/>
  <c r="H10" i="39"/>
  <c r="U10" i="39" s="1"/>
  <c r="W32" i="39"/>
  <c r="AC32" i="39"/>
  <c r="M28" i="43"/>
  <c r="G20" i="43" s="1"/>
  <c r="P28" i="43"/>
  <c r="O28" i="43"/>
  <c r="F102" i="43"/>
  <c r="F104" i="43"/>
  <c r="P60" i="71"/>
  <c r="P59" i="71"/>
  <c r="D33" i="71"/>
  <c r="C34" i="71"/>
  <c r="B9" i="71"/>
  <c r="B8" i="71" s="1"/>
  <c r="B7" i="71" s="1"/>
  <c r="B6" i="71" s="1"/>
  <c r="B5" i="71" s="1"/>
  <c r="S10" i="71"/>
  <c r="C8" i="71"/>
  <c r="D9" i="71"/>
  <c r="T58" i="71"/>
  <c r="D58" i="71"/>
  <c r="E13" i="71"/>
  <c r="E12" i="71" s="1"/>
  <c r="E11" i="71" s="1"/>
  <c r="E10" i="71" s="1"/>
  <c r="V14" i="71"/>
  <c r="F109" i="43"/>
  <c r="T26" i="71"/>
  <c r="D26" i="71"/>
  <c r="F103" i="43"/>
  <c r="F68" i="39"/>
  <c r="E70" i="39"/>
  <c r="Q59" i="71"/>
  <c r="Q60" i="71"/>
  <c r="T38" i="71"/>
  <c r="D38" i="71"/>
  <c r="T50" i="71"/>
  <c r="D50" i="71"/>
  <c r="K81" i="39"/>
  <c r="L81" i="39" s="1"/>
  <c r="M81" i="39" s="1"/>
  <c r="C103" i="43"/>
  <c r="I102" i="43"/>
  <c r="H107" i="43"/>
  <c r="C104" i="43"/>
  <c r="I105" i="43"/>
  <c r="H106" i="43"/>
  <c r="H104" i="43"/>
  <c r="C102" i="43"/>
  <c r="C106" i="43"/>
  <c r="C109" i="43"/>
  <c r="I103" i="43"/>
  <c r="I106" i="43"/>
  <c r="I107" i="43"/>
  <c r="H105" i="43"/>
  <c r="H109" i="43"/>
  <c r="AZ5" i="3"/>
  <c r="E3" i="6" s="1"/>
  <c r="E27" i="6"/>
  <c r="E31" i="6" s="1"/>
  <c r="U10" i="40"/>
  <c r="H6" i="3"/>
  <c r="E6" i="3" s="1"/>
  <c r="E66" i="39"/>
  <c r="M14" i="1"/>
  <c r="C34" i="69"/>
  <c r="K16" i="1"/>
  <c r="AC10" i="40"/>
  <c r="K24" i="6"/>
  <c r="M24" i="6" s="1"/>
  <c r="I24" i="6" s="1"/>
  <c r="S24" i="6" s="1"/>
  <c r="C23" i="43"/>
  <c r="C21" i="43" s="1"/>
  <c r="S6" i="43"/>
  <c r="S7" i="43"/>
  <c r="S3" i="43"/>
  <c r="S5" i="43"/>
  <c r="S4" i="43"/>
  <c r="S2" i="43"/>
  <c r="C115" i="43"/>
  <c r="D113"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6" i="78"/>
  <c r="C16" i="79"/>
  <c r="F41" i="15"/>
  <c r="AC10" i="39" l="1"/>
  <c r="G20" i="80"/>
  <c r="E41" i="80" s="1"/>
  <c r="C41" i="80" s="1"/>
  <c r="C49" i="79"/>
  <c r="C48" i="79" s="1"/>
  <c r="C66" i="79" s="1"/>
  <c r="J26" i="15"/>
  <c r="J29" i="15" s="1"/>
  <c r="J10" i="79"/>
  <c r="J5" i="79" s="1"/>
  <c r="J26" i="79" s="1"/>
  <c r="C49" i="78"/>
  <c r="C48" i="78" s="1"/>
  <c r="C66" i="78" s="1"/>
  <c r="E41" i="43"/>
  <c r="C41" i="43" s="1"/>
  <c r="C20" i="43"/>
  <c r="T3" i="43" s="1"/>
  <c r="V3" i="43" s="1"/>
  <c r="C5" i="78"/>
  <c r="C38" i="78" s="1"/>
  <c r="F69" i="15"/>
  <c r="F27" i="11"/>
  <c r="F27" i="69"/>
  <c r="F27" i="68"/>
  <c r="F28" i="12"/>
  <c r="C29" i="12" s="1"/>
  <c r="D28" i="12" s="1"/>
  <c r="Q52" i="79"/>
  <c r="F1" i="79"/>
  <c r="L46" i="79"/>
  <c r="O6" i="1"/>
  <c r="P6" i="1" s="1"/>
  <c r="C32" i="79"/>
  <c r="C33" i="79"/>
  <c r="Q61" i="78"/>
  <c r="Q74" i="78"/>
  <c r="Q73" i="79"/>
  <c r="Q60" i="79"/>
  <c r="Q57" i="79"/>
  <c r="Q66" i="79"/>
  <c r="J10" i="78"/>
  <c r="J5" i="78" s="1"/>
  <c r="Q73" i="78"/>
  <c r="Q60" i="78"/>
  <c r="Q66" i="78"/>
  <c r="Q57" i="78"/>
  <c r="Q52" i="78"/>
  <c r="F1" i="78"/>
  <c r="Q61" i="79"/>
  <c r="Q74" i="79"/>
  <c r="C32" i="78"/>
  <c r="C33" i="78"/>
  <c r="L46" i="78"/>
  <c r="C38" i="79"/>
  <c r="C24" i="79"/>
  <c r="AA10" i="40"/>
  <c r="AB10" i="39"/>
  <c r="T34" i="71"/>
  <c r="D34" i="71"/>
  <c r="E9" i="71"/>
  <c r="E8" i="71" s="1"/>
  <c r="E7" i="71" s="1"/>
  <c r="E6" i="71" s="1"/>
  <c r="E5" i="71" s="1"/>
  <c r="V10" i="71"/>
  <c r="AY6" i="3"/>
  <c r="F70" i="39"/>
  <c r="G68" i="39"/>
  <c r="C7" i="71"/>
  <c r="D8" i="71"/>
  <c r="K26" i="6"/>
  <c r="M26" i="6" s="1"/>
  <c r="I26" i="6" s="1"/>
  <c r="S26" i="6" s="1"/>
  <c r="K22" i="6"/>
  <c r="M22" i="6" s="1"/>
  <c r="I22" i="6" s="1"/>
  <c r="S22" i="6" s="1"/>
  <c r="K23" i="6"/>
  <c r="M23" i="6" s="1"/>
  <c r="I23" i="6" s="1"/>
  <c r="S23" i="6" s="1"/>
  <c r="K20" i="6"/>
  <c r="K19" i="6"/>
  <c r="S6" i="1" s="1"/>
  <c r="K25" i="6"/>
  <c r="M25" i="6" s="1"/>
  <c r="I25" i="6" s="1"/>
  <c r="S25" i="6" s="1"/>
  <c r="K21" i="6"/>
  <c r="D19" i="11"/>
  <c r="C19" i="11" s="1"/>
  <c r="C20" i="11" s="1"/>
  <c r="C28" i="11" s="1"/>
  <c r="C27" i="11" s="1"/>
  <c r="L18" i="9"/>
  <c r="D3" i="34"/>
  <c r="D14" i="12"/>
  <c r="D37" i="11"/>
  <c r="D3" i="21"/>
  <c r="C17" i="4"/>
  <c r="B4" i="52" s="1"/>
  <c r="B43" i="72" s="1"/>
  <c r="D3" i="37"/>
  <c r="E6" i="6"/>
  <c r="D3" i="33"/>
  <c r="M18" i="9"/>
  <c r="B118" i="9" s="1"/>
  <c r="B14" i="74" s="1"/>
  <c r="B1" i="74" s="1"/>
  <c r="C8" i="74" s="1"/>
  <c r="AY87" i="3"/>
  <c r="AY51" i="3"/>
  <c r="AY34" i="3"/>
  <c r="AY207" i="3"/>
  <c r="AY144" i="3"/>
  <c r="AY124" i="3"/>
  <c r="AY95" i="3"/>
  <c r="AY42" i="3"/>
  <c r="AY152" i="3"/>
  <c r="AY281" i="3"/>
  <c r="AY111" i="3"/>
  <c r="AY168" i="3"/>
  <c r="AY253" i="3"/>
  <c r="AY236" i="3"/>
  <c r="AY382" i="3"/>
  <c r="AY366" i="3"/>
  <c r="AY303" i="3"/>
  <c r="AY473" i="3"/>
  <c r="AY460" i="3"/>
  <c r="AY441" i="3"/>
  <c r="AY67" i="3"/>
  <c r="AY196" i="3"/>
  <c r="AY139" i="3"/>
  <c r="AY74" i="3"/>
  <c r="AY123" i="3"/>
  <c r="AY204" i="3"/>
  <c r="AY252" i="3"/>
  <c r="AY363" i="3"/>
  <c r="AY489" i="3"/>
  <c r="AY412"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18" i="3"/>
  <c r="AY90" i="3"/>
  <c r="AY75" i="3"/>
  <c r="AY387" i="3"/>
  <c r="AY444" i="3"/>
  <c r="AY43" i="3"/>
  <c r="AY229" i="3"/>
  <c r="AY83" i="3"/>
  <c r="AY66" i="3"/>
  <c r="AY23" i="3"/>
  <c r="AY176" i="3"/>
  <c r="AY155" i="3"/>
  <c r="AY115" i="3"/>
  <c r="AY59" i="3"/>
  <c r="AY188" i="3"/>
  <c r="AY131" i="3"/>
  <c r="AY276" i="3"/>
  <c r="AY58" i="3"/>
  <c r="AY297" i="3"/>
  <c r="AY268" i="3"/>
  <c r="AY225" i="3"/>
  <c r="AY371" i="3"/>
  <c r="AY335" i="3"/>
  <c r="AY318" i="3"/>
  <c r="AY470" i="3"/>
  <c r="AY428" i="3"/>
  <c r="AY103" i="3"/>
  <c r="AY50" i="3"/>
  <c r="AY160" i="3"/>
  <c r="AY289" i="3"/>
  <c r="AY183" i="3"/>
  <c r="AY261" i="3"/>
  <c r="AY284" i="3"/>
  <c r="AY209" i="3"/>
  <c r="AY319" i="3"/>
  <c r="AY455"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98" i="3"/>
  <c r="AY171" i="3"/>
  <c r="AY163" i="3"/>
  <c r="AY237" i="3"/>
  <c r="AY334" i="3"/>
  <c r="AY497" i="3"/>
  <c r="AY116" i="3"/>
  <c r="AY212" i="3"/>
  <c r="AY343" i="3"/>
  <c r="AY478" i="3"/>
  <c r="AY417" i="3"/>
  <c r="AY573" i="3"/>
  <c r="AY539" i="3"/>
  <c r="AY100" i="3"/>
  <c r="AY84" i="3"/>
  <c r="AY20" i="3"/>
  <c r="AY193" i="3"/>
  <c r="AY173" i="3"/>
  <c r="AY134" i="3"/>
  <c r="AY286" i="3"/>
  <c r="AY247" i="3"/>
  <c r="AY326" i="3"/>
  <c r="AY557" i="3"/>
  <c r="AY105" i="3"/>
  <c r="AY52" i="3"/>
  <c r="AY162" i="3"/>
  <c r="AY291"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31" i="3"/>
  <c r="AY147" i="3"/>
  <c r="AY350" i="3"/>
  <c r="AY425" i="3"/>
  <c r="AY199" i="3"/>
  <c r="AY244" i="3"/>
  <c r="AY355" i="3"/>
  <c r="AY481" i="3"/>
  <c r="AY404" i="3"/>
  <c r="AY562" i="3"/>
  <c r="BO6" i="3"/>
  <c r="AY89" i="3"/>
  <c r="AY53" i="3"/>
  <c r="AY36" i="3"/>
  <c r="AY379" i="3"/>
  <c r="AY436" i="3"/>
  <c r="AY540" i="3"/>
  <c r="AY69" i="3"/>
  <c r="AY198" i="3"/>
  <c r="AY141"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82" i="3"/>
  <c r="AY132" i="3"/>
  <c r="AY292" i="3"/>
  <c r="AY220" i="3"/>
  <c r="AY486" i="3"/>
  <c r="AY526" i="3"/>
  <c r="AY269" i="3"/>
  <c r="AY390" i="3"/>
  <c r="AY311" i="3"/>
  <c r="AY447" i="3"/>
  <c r="AY535" i="3"/>
  <c r="AY574" i="3"/>
  <c r="AY555" i="3"/>
  <c r="AY85" i="3"/>
  <c r="AY68" i="3"/>
  <c r="AY25" i="3"/>
  <c r="AY178" i="3"/>
  <c r="AY157" i="3"/>
  <c r="AY117"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37" i="3"/>
  <c r="AY54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3" i="3"/>
  <c r="AY64" i="3"/>
  <c r="AY174" i="3"/>
  <c r="AY113" i="3"/>
  <c r="AY250" i="3"/>
  <c r="AY361" i="3"/>
  <c r="AY305" i="3"/>
  <c r="AY479" i="3"/>
  <c r="AY445" i="3"/>
  <c r="AY402" i="3"/>
  <c r="AY505" i="3"/>
  <c r="AY522" i="3"/>
  <c r="AY551" i="3"/>
  <c r="BP6"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2" i="3"/>
  <c r="AY146" i="3"/>
  <c r="AY126" i="3"/>
  <c r="AY302"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1" i="3"/>
  <c r="AY21" i="3"/>
  <c r="AY153" i="3"/>
  <c r="AY267" i="3"/>
  <c r="AY396" i="3"/>
  <c r="AY337" i="3"/>
  <c r="AY320" i="3"/>
  <c r="AY476" i="3"/>
  <c r="AY434" i="3"/>
  <c r="AY415" i="3"/>
  <c r="AY538" i="3"/>
  <c r="AY515" i="3"/>
  <c r="AY545"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26" i="6"/>
  <c r="C35" i="69"/>
  <c r="C38" i="69"/>
  <c r="O14" i="1"/>
  <c r="M16" i="1"/>
  <c r="N16" i="1" s="1"/>
  <c r="K27"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AE8" i="1"/>
  <c r="AE6" i="1"/>
  <c r="C17" i="79"/>
  <c r="O16" i="1" l="1"/>
  <c r="C20" i="80"/>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C29" i="68"/>
  <c r="D27" i="68" s="1"/>
  <c r="F45" i="69"/>
  <c r="C29" i="69"/>
  <c r="D27" i="69" s="1"/>
  <c r="C47" i="69"/>
  <c r="D45" i="69" s="1"/>
  <c r="C47" i="11"/>
  <c r="D45" i="11" s="1"/>
  <c r="C29" i="11"/>
  <c r="D27" i="11" s="1"/>
  <c r="D7" i="71"/>
  <c r="C6" i="71"/>
  <c r="C5" i="71" s="1"/>
  <c r="P14" i="1"/>
  <c r="P16" i="1" s="1"/>
  <c r="C11" i="12" s="1"/>
  <c r="C12" i="12" s="1"/>
  <c r="H68" i="39"/>
  <c r="G70" i="39"/>
  <c r="F34" i="11"/>
  <c r="C36" i="11" s="1"/>
  <c r="F11" i="12"/>
  <c r="F34" i="68"/>
  <c r="C36" i="68" s="1"/>
  <c r="M19" i="6"/>
  <c r="M20" i="6"/>
  <c r="I20" i="6" s="1"/>
  <c r="S20" i="6" s="1"/>
  <c r="S7" i="1"/>
  <c r="B2" i="34"/>
  <c r="B3" i="34" s="1"/>
  <c r="M21" i="6"/>
  <c r="I21" i="6" s="1"/>
  <c r="S21" i="6" s="1"/>
  <c r="S8" i="1"/>
  <c r="AR6" i="1"/>
  <c r="AQ6" i="1"/>
  <c r="T6" i="1"/>
  <c r="D17" i="12"/>
  <c r="C17" i="12" s="1"/>
  <c r="D26" i="6"/>
  <c r="R26" i="6" s="1"/>
  <c r="D8" i="6"/>
  <c r="D14" i="6"/>
  <c r="D12" i="6"/>
  <c r="D13" i="6"/>
  <c r="E61" i="40"/>
  <c r="H20" i="6"/>
  <c r="D25" i="6"/>
  <c r="D22" i="6"/>
  <c r="D24" i="6"/>
  <c r="D6" i="6"/>
  <c r="D10" i="6"/>
  <c r="D29" i="6"/>
  <c r="H23" i="6"/>
  <c r="D19" i="6"/>
  <c r="C18" i="4"/>
  <c r="D23" i="6"/>
  <c r="D5" i="6"/>
  <c r="D11" i="6"/>
  <c r="D28" i="6"/>
  <c r="H22" i="6"/>
  <c r="H24" i="6"/>
  <c r="M19" i="9"/>
  <c r="C118" i="9" s="1"/>
  <c r="C14" i="74" s="1"/>
  <c r="B2" i="74" s="1"/>
  <c r="D8" i="74" s="1"/>
  <c r="D15" i="6"/>
  <c r="D21" i="6"/>
  <c r="D20" i="6"/>
  <c r="D9" i="6"/>
  <c r="L19" i="9"/>
  <c r="H25" i="6"/>
  <c r="D20" i="12"/>
  <c r="C20" i="12" s="1"/>
  <c r="C18" i="12" s="1"/>
  <c r="D10" i="68"/>
  <c r="D10" i="11"/>
  <c r="C10" i="11" s="1"/>
  <c r="D10" i="69"/>
  <c r="L16" i="1"/>
  <c r="F50" i="68"/>
  <c r="F50" i="11"/>
  <c r="F50" i="69"/>
  <c r="I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F41" i="79"/>
  <c r="C14" i="79"/>
  <c r="C17" i="78"/>
  <c r="F41" i="78"/>
  <c r="C17" i="15"/>
  <c r="D5" i="71" l="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F69" i="78"/>
  <c r="J29" i="79"/>
  <c r="F69" i="79"/>
  <c r="J29" i="78"/>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C15" i="79"/>
  <c r="C18" i="79"/>
  <c r="C34" i="11"/>
  <c r="C38" i="11" s="1"/>
  <c r="C15" i="12"/>
  <c r="C34" i="68"/>
  <c r="C35" i="68" s="1"/>
  <c r="H70" i="39"/>
  <c r="I68" i="39"/>
  <c r="H21" i="6"/>
  <c r="C14" i="12"/>
  <c r="C37" i="11"/>
  <c r="D6" i="71"/>
  <c r="M20" i="43"/>
  <c r="M27" i="6"/>
  <c r="AR7" i="1"/>
  <c r="T7" i="1"/>
  <c r="AQ7" i="1"/>
  <c r="AQ8" i="1"/>
  <c r="T8" i="1"/>
  <c r="AR8" i="1"/>
  <c r="R21" i="6"/>
  <c r="R8" i="1" s="1"/>
  <c r="R20" i="6"/>
  <c r="R7" i="1" s="1"/>
  <c r="D30" i="6"/>
  <c r="R23" i="6"/>
  <c r="C10" i="69"/>
  <c r="C8" i="69" s="1"/>
  <c r="C5" i="69" s="1"/>
  <c r="D19" i="69"/>
  <c r="D19" i="68"/>
  <c r="C10" i="68"/>
  <c r="D27" i="6"/>
  <c r="R22" i="6"/>
  <c r="D16" i="6"/>
  <c r="C4" i="52"/>
  <c r="B45" i="72" s="1"/>
  <c r="A7" i="51"/>
  <c r="B7" i="72" s="1"/>
  <c r="A10" i="51"/>
  <c r="B9" i="72" s="1"/>
  <c r="R24" i="6"/>
  <c r="R25" i="6"/>
  <c r="H19" i="6"/>
  <c r="S19" i="6"/>
  <c r="S27" i="6" s="1"/>
  <c r="I27" i="6"/>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C14" i="15"/>
  <c r="C14" i="78"/>
  <c r="M21" i="78"/>
  <c r="F35" i="78"/>
  <c r="L51" i="67"/>
  <c r="C30" i="80" l="1"/>
  <c r="E30" i="80" s="1"/>
  <c r="E36" i="80"/>
  <c r="O33" i="43"/>
  <c r="G33" i="80"/>
  <c r="I33" i="80" s="1"/>
  <c r="G35" i="80"/>
  <c r="I35" i="80" s="1"/>
  <c r="G34" i="80"/>
  <c r="I34" i="80" s="1"/>
  <c r="E37" i="80"/>
  <c r="C26" i="43"/>
  <c r="B2" i="43" s="1"/>
  <c r="C27" i="43"/>
  <c r="C19" i="79"/>
  <c r="C20" i="79" s="1"/>
  <c r="C26" i="79" s="1"/>
  <c r="C15" i="78"/>
  <c r="C18" i="78"/>
  <c r="C15" i="15"/>
  <c r="C18" i="15"/>
  <c r="T16" i="1"/>
  <c r="C35" i="11"/>
  <c r="C33" i="11" s="1"/>
  <c r="C39" i="11" s="1"/>
  <c r="F63" i="78"/>
  <c r="C62" i="78" s="1"/>
  <c r="C34" i="78"/>
  <c r="C31" i="78" s="1"/>
  <c r="J20" i="78"/>
  <c r="C38" i="68"/>
  <c r="C16" i="12"/>
  <c r="C21" i="12" s="1"/>
  <c r="C22" i="12" s="1"/>
  <c r="I70" i="39"/>
  <c r="J68" i="39"/>
  <c r="D31" i="6"/>
  <c r="I6" i="6" s="1"/>
  <c r="C11" i="39" s="1"/>
  <c r="C19" i="69"/>
  <c r="C20" i="69" s="1"/>
  <c r="C25" i="69" s="1"/>
  <c r="D37" i="69"/>
  <c r="C37" i="69" s="1"/>
  <c r="C33" i="69" s="1"/>
  <c r="D37" i="68"/>
  <c r="C37" i="68" s="1"/>
  <c r="C19" i="68"/>
  <c r="C23" i="69"/>
  <c r="H27" i="6"/>
  <c r="R19" i="6"/>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E6" i="76"/>
  <c r="B6" i="76"/>
  <c r="C26" i="80" l="1"/>
  <c r="B2" i="80" s="1"/>
  <c r="C27" i="80"/>
  <c r="B3" i="43"/>
  <c r="C23" i="79"/>
  <c r="C29" i="79" s="1"/>
  <c r="C19" i="78"/>
  <c r="C20" i="78" s="1"/>
  <c r="C26" i="78" s="1"/>
  <c r="C19" i="15"/>
  <c r="C20" i="15" s="1"/>
  <c r="C26" i="15" s="1"/>
  <c r="C42" i="11"/>
  <c r="C33" i="68"/>
  <c r="C39" i="68" s="1"/>
  <c r="C46" i="68" s="1"/>
  <c r="C45" i="68" s="1"/>
  <c r="F11" i="39"/>
  <c r="J11" i="39"/>
  <c r="H11" i="39"/>
  <c r="K68" i="39"/>
  <c r="J70" i="39"/>
  <c r="I5" i="6"/>
  <c r="R27" i="6"/>
  <c r="R6" i="1"/>
  <c r="C24" i="68"/>
  <c r="C42" i="69"/>
  <c r="C39" i="69"/>
  <c r="C24" i="69"/>
  <c r="C22" i="69" s="1"/>
  <c r="C28" i="69"/>
  <c r="C27" i="69" s="1"/>
  <c r="C46" i="11"/>
  <c r="C45" i="11" s="1"/>
  <c r="C43" i="1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79"/>
  <c r="B7" i="76"/>
  <c r="E7" i="76"/>
  <c r="M21" i="15"/>
  <c r="M21" i="79"/>
  <c r="F35" i="15"/>
  <c r="E2" i="76" l="1"/>
  <c r="B2" i="76"/>
  <c r="B3" i="80"/>
  <c r="C23" i="15"/>
  <c r="C29" i="15" s="1"/>
  <c r="C57" i="15" s="1"/>
  <c r="C23" i="78"/>
  <c r="C29" i="78" s="1"/>
  <c r="C13" i="78" s="1"/>
  <c r="C57" i="79"/>
  <c r="J14" i="79"/>
  <c r="C36" i="79"/>
  <c r="J19" i="79"/>
  <c r="Q49" i="79"/>
  <c r="C13" i="79"/>
  <c r="F63" i="79"/>
  <c r="C62" i="79" s="1"/>
  <c r="C34" i="79"/>
  <c r="C31" i="79" s="1"/>
  <c r="J20" i="79"/>
  <c r="C41" i="11"/>
  <c r="C49" i="11" s="1"/>
  <c r="C51" i="11" s="1"/>
  <c r="C52" i="11" s="1"/>
  <c r="B2" i="11" s="1"/>
  <c r="B3" i="11" s="1"/>
  <c r="J20" i="15"/>
  <c r="C34" i="15"/>
  <c r="C31" i="15" s="1"/>
  <c r="F63" i="15"/>
  <c r="C62" i="15" s="1"/>
  <c r="R16" i="1"/>
  <c r="C43" i="68"/>
  <c r="C42" i="68"/>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B3" i="76" l="1"/>
  <c r="C6" i="68"/>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C41" i="68"/>
  <c r="C49" i="68" s="1"/>
  <c r="C51" i="68" s="1"/>
  <c r="L70" i="39"/>
  <c r="M68" i="39"/>
  <c r="C49" i="69"/>
  <c r="C51" i="69" s="1"/>
  <c r="C56" i="11"/>
  <c r="C57" i="11" s="1"/>
  <c r="R39" i="35"/>
  <c r="E38" i="35"/>
  <c r="M63" i="40"/>
  <c r="L65" i="40"/>
  <c r="L51" i="79"/>
  <c r="C61" i="78" l="1"/>
  <c r="C59" i="78" s="1"/>
  <c r="C58" i="78" s="1"/>
  <c r="C67" i="78" s="1"/>
  <c r="C68" i="78" s="1"/>
  <c r="C71" i="78" s="1"/>
  <c r="C37" i="15"/>
  <c r="C30" i="15" s="1"/>
  <c r="C39" i="15" s="1"/>
  <c r="Q69" i="15" s="1"/>
  <c r="C75" i="15"/>
  <c r="Q70" i="15"/>
  <c r="J13" i="15"/>
  <c r="J23" i="15" s="1"/>
  <c r="J16" i="15" s="1"/>
  <c r="J25" i="15" s="1"/>
  <c r="J13" i="78"/>
  <c r="J23" i="78" s="1"/>
  <c r="J16" i="78" s="1"/>
  <c r="J25" i="78" s="1"/>
  <c r="C30" i="78"/>
  <c r="C39" i="78" s="1"/>
  <c r="C40" i="78" s="1"/>
  <c r="C58" i="15"/>
  <c r="C67" i="15" s="1"/>
  <c r="C68" i="15" s="1"/>
  <c r="C71" i="15" s="1"/>
  <c r="C58" i="79"/>
  <c r="C67" i="79" s="1"/>
  <c r="C68" i="79" s="1"/>
  <c r="C71" i="79" s="1"/>
  <c r="C80" i="79"/>
  <c r="C79" i="79" s="1"/>
  <c r="J16" i="79"/>
  <c r="J25" i="79" s="1"/>
  <c r="Q67" i="79"/>
  <c r="C40" i="79"/>
  <c r="Q56" i="79" s="1"/>
  <c r="Q62" i="79" s="1"/>
  <c r="Q69" i="79"/>
  <c r="Q68" i="79" s="1"/>
  <c r="L46" i="15"/>
  <c r="Q66" i="15"/>
  <c r="Q57" i="15"/>
  <c r="M70" i="39"/>
  <c r="N68" i="39"/>
  <c r="C52" i="69"/>
  <c r="B2" i="69" s="1"/>
  <c r="B3" i="69" s="1"/>
  <c r="C39" i="35"/>
  <c r="B2" i="35" s="1"/>
  <c r="B3" i="35" s="1"/>
  <c r="C38" i="35"/>
  <c r="N63" i="40"/>
  <c r="M65" i="40"/>
  <c r="E43" i="35"/>
  <c r="F43" i="35" s="1"/>
  <c r="E42" i="35"/>
  <c r="F42" i="35" s="1"/>
  <c r="I43" i="35"/>
  <c r="J43" i="35" s="1"/>
  <c r="C40" i="15" l="1"/>
  <c r="C43" i="15" s="1"/>
  <c r="C80" i="15"/>
  <c r="C79" i="15" s="1"/>
  <c r="Q68" i="15"/>
  <c r="C80" i="78"/>
  <c r="C79" i="78" s="1"/>
  <c r="Q69" i="78"/>
  <c r="Q68" i="78" s="1"/>
  <c r="C46" i="79"/>
  <c r="Q65" i="79"/>
  <c r="Q75" i="79" s="1"/>
  <c r="C43" i="79"/>
  <c r="C46" i="78"/>
  <c r="Q65" i="78"/>
  <c r="Q75" i="78" s="1"/>
  <c r="Q56" i="78"/>
  <c r="Q62" i="78" s="1"/>
  <c r="C43" i="78"/>
  <c r="B2" i="78"/>
  <c r="C83" i="78"/>
  <c r="C82" i="78" s="1"/>
  <c r="Q47" i="78"/>
  <c r="Q53" i="78" s="1"/>
  <c r="B2" i="79"/>
  <c r="Q47" i="79"/>
  <c r="Q53" i="79" s="1"/>
  <c r="C83" i="79"/>
  <c r="C82" i="79" s="1"/>
  <c r="N70" i="39"/>
  <c r="O68" i="39"/>
  <c r="C57" i="69"/>
  <c r="C56" i="69" s="1"/>
  <c r="O63" i="40"/>
  <c r="O65" i="40" s="1"/>
  <c r="N65" i="40"/>
  <c r="AO6" i="1"/>
  <c r="L51" i="78"/>
  <c r="L51" i="15"/>
  <c r="AO8" i="1"/>
  <c r="Q67" i="78" l="1"/>
  <c r="Q67" i="15"/>
  <c r="Q65" i="15"/>
  <c r="Q75" i="15" s="1"/>
  <c r="B2" i="15"/>
  <c r="D8" i="12" s="1"/>
  <c r="Q47" i="15"/>
  <c r="Q53" i="15" s="1"/>
  <c r="Q56" i="15"/>
  <c r="Q62" i="15" s="1"/>
  <c r="C83" i="15"/>
  <c r="C82" i="15" s="1"/>
  <c r="C46" i="15"/>
  <c r="B6" i="70"/>
  <c r="B8" i="70"/>
  <c r="C8" i="12"/>
  <c r="E8" i="12"/>
  <c r="L8" i="12" s="1"/>
  <c r="B3" i="78"/>
  <c r="E6" i="12" s="1"/>
  <c r="B3" i="79"/>
  <c r="C6" i="12" s="1"/>
  <c r="O70" i="39"/>
  <c r="P68" i="39"/>
  <c r="J7" i="40"/>
  <c r="F7" i="40"/>
  <c r="H7" i="40"/>
  <c r="AO7" i="1"/>
  <c r="B7" i="70" l="1"/>
  <c r="B2" i="70" s="1"/>
  <c r="B3" i="70" s="1"/>
  <c r="B3" i="15"/>
  <c r="D6" i="12" s="1"/>
  <c r="C4" i="12"/>
  <c r="Q68" i="39"/>
  <c r="P70" i="39"/>
  <c r="U7" i="40"/>
  <c r="AB7" i="40"/>
  <c r="T42" i="40" s="1"/>
  <c r="G42" i="40" s="1"/>
  <c r="AA7" i="40"/>
  <c r="R42" i="40" s="1"/>
  <c r="S7" i="40"/>
  <c r="AC7" i="40"/>
  <c r="V42" i="40" s="1"/>
  <c r="I42" i="40" s="1"/>
  <c r="W7" i="40"/>
  <c r="C23" i="12" l="1"/>
  <c r="C31" i="12"/>
  <c r="R68" i="39"/>
  <c r="Q70" i="39"/>
  <c r="I46" i="40"/>
  <c r="J46" i="40" s="1"/>
  <c r="R43" i="40"/>
  <c r="E42" i="40"/>
  <c r="G47" i="40"/>
  <c r="H47" i="40" s="1"/>
  <c r="G46" i="40"/>
  <c r="H46" i="40" s="1"/>
  <c r="C30" i="12" l="1"/>
  <c r="C28" i="12" s="1"/>
  <c r="C27" i="12"/>
  <c r="C25" i="12" s="1"/>
  <c r="H7" i="39"/>
  <c r="J7" i="39"/>
  <c r="S68" i="39"/>
  <c r="S70" i="39" s="1"/>
  <c r="F7" i="39" s="1"/>
  <c r="R70" i="39"/>
  <c r="C42" i="40"/>
  <c r="C43" i="40"/>
  <c r="E47" i="40"/>
  <c r="F47" i="40" s="1"/>
  <c r="E46" i="40"/>
  <c r="F46" i="40" s="1"/>
  <c r="I47" i="40"/>
  <c r="J47" i="40" s="1"/>
  <c r="C32" i="12" l="1"/>
  <c r="B2" i="12" s="1"/>
  <c r="S7" i="39"/>
  <c r="AA7" i="39"/>
  <c r="R47" i="39" s="1"/>
  <c r="AC7" i="39"/>
  <c r="V47" i="39" s="1"/>
  <c r="I47" i="39" s="1"/>
  <c r="W7" i="39"/>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D21" i="9" l="1"/>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B60" i="39"/>
  <c r="F60" i="39" s="1"/>
  <c r="B64" i="39"/>
  <c r="F64" i="39" s="1"/>
  <c r="B57" i="39"/>
  <c r="F57" i="39" s="1"/>
  <c r="F66" i="39" l="1"/>
  <c r="B2" i="39" l="1"/>
  <c r="B3" i="39" s="1"/>
  <c r="C7" i="68" l="1"/>
  <c r="C5" i="68" s="1"/>
  <c r="C23" i="68" l="1"/>
  <c r="C20" i="68"/>
  <c r="C25" i="68" s="1"/>
  <c r="C22" i="68" l="1"/>
  <c r="C28" i="68"/>
  <c r="C27" i="68" s="1"/>
  <c r="C31" i="68" l="1"/>
  <c r="C52" i="68" s="1"/>
  <c r="B2" i="68" s="1"/>
  <c r="C19" i="9"/>
  <c r="C102" i="9" l="1"/>
  <c r="D22" i="9"/>
  <c r="G19" i="9"/>
  <c r="K21" i="9" s="1"/>
  <c r="C21" i="9"/>
  <c r="B3" i="68"/>
  <c r="C57" i="68"/>
  <c r="C56" i="68" s="1"/>
  <c r="C20" i="9"/>
  <c r="D35" i="9"/>
  <c r="D34" i="9"/>
  <c r="G21" i="9" l="1"/>
  <c r="C103" i="9"/>
  <c r="G20" i="9"/>
  <c r="C32" i="9" s="1"/>
  <c r="C35" i="9" l="1"/>
  <c r="C34" i="9" s="1"/>
  <c r="D118" i="9" l="1"/>
  <c r="D4" i="52" s="1"/>
  <c r="B47" i="72" s="1"/>
  <c r="D119" i="9" l="1"/>
  <c r="D5" i="52" s="1"/>
  <c r="B49" i="72" s="1"/>
  <c r="H118" i="9"/>
  <c r="H101" i="9" s="1"/>
  <c r="D14" i="74"/>
  <c r="B5" i="74" s="1"/>
  <c r="F118" i="9"/>
  <c r="G118" i="9" s="1"/>
  <c r="F14" i="74"/>
  <c r="I118" i="9"/>
  <c r="I4" i="52"/>
  <c r="H102" i="9"/>
  <c r="D7" i="53" s="1"/>
  <c r="B21" i="72" s="1"/>
  <c r="C105" i="9"/>
  <c r="H119" i="9"/>
  <c r="H5" i="52" s="1"/>
  <c r="H4" i="52"/>
  <c r="C104" i="9"/>
  <c r="C5" i="74" l="1"/>
  <c r="D5" i="74"/>
  <c r="G4" i="52"/>
  <c r="B52" i="72" s="1"/>
  <c r="E118" i="9"/>
  <c r="E4" i="52" s="1"/>
  <c r="B48" i="72" s="1"/>
  <c r="D45" i="9"/>
  <c r="D5" i="53"/>
  <c r="H109" i="9"/>
  <c r="M48" i="9"/>
  <c r="F119" i="9"/>
  <c r="F5" i="52" s="1"/>
  <c r="B53" i="72" s="1"/>
  <c r="F4" i="52"/>
  <c r="B51" i="72" s="1"/>
  <c r="E14" i="74"/>
  <c r="H110" i="9" l="1"/>
  <c r="D18" i="53" s="1"/>
  <c r="B35" i="72" s="1"/>
  <c r="D124" i="9"/>
  <c r="D16" i="53"/>
  <c r="M49" i="9"/>
  <c r="D6" i="53"/>
  <c r="B22" i="72" s="1"/>
  <c r="B20" i="72"/>
  <c r="C93" i="9"/>
  <c r="C86" i="9" s="1"/>
  <c r="C64" i="9"/>
  <c r="C63" i="9" s="1"/>
  <c r="C67" i="9" s="1"/>
  <c r="D55" i="9"/>
  <c r="M53" i="9" s="1"/>
  <c r="D53" i="9"/>
  <c r="C85" i="9"/>
  <c r="C72" i="9"/>
  <c r="D52" i="9"/>
  <c r="C78" i="9"/>
  <c r="C73" i="9" s="1"/>
  <c r="C79" i="9" l="1"/>
  <c r="C80" i="9" s="1"/>
  <c r="E80" i="9" s="1"/>
  <c r="E81" i="9" s="1"/>
  <c r="C68" i="9"/>
  <c r="D54" i="9" s="1"/>
  <c r="D59" i="9"/>
  <c r="M55" i="9" s="1"/>
  <c r="B34" i="72"/>
  <c r="D17" i="53"/>
  <c r="B36" i="72" s="1"/>
  <c r="L64" i="9"/>
  <c r="M64" i="9" s="1"/>
  <c r="L66" i="9"/>
  <c r="M66" i="9" s="1"/>
  <c r="L68" i="9"/>
  <c r="M68" i="9" s="1"/>
  <c r="L63" i="9"/>
  <c r="M63" i="9" s="1"/>
  <c r="L65" i="9"/>
  <c r="M65" i="9" s="1"/>
  <c r="L67" i="9"/>
  <c r="M67" i="9" s="1"/>
  <c r="C95" i="9"/>
  <c r="D10" i="52"/>
  <c r="H14" i="74"/>
  <c r="B7" i="74" s="1"/>
  <c r="D125" i="9"/>
  <c r="D11" i="52" s="1"/>
  <c r="M69" i="9" l="1"/>
  <c r="N69" i="9" s="1"/>
  <c r="C96" i="9"/>
  <c r="E96" i="9" s="1"/>
  <c r="E97" i="9" s="1"/>
  <c r="C7" i="74"/>
  <c r="D7" i="74"/>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<sst xmlns="http://schemas.openxmlformats.org/spreadsheetml/2006/main" count="9245" uniqueCount="3359">
  <si>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</si>
  <si>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</si>
  <si>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</si>
  <si>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</si>
  <si>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</si>
  <si>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</si>
  <si>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</si>
  <si>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</si>
  <si>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</si>
  <si>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</si>
  <si>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</si>
  <si>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</si>
  <si>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</si>
  <si>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</si>
  <si>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</si>
  <si>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</si>
  <si>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</si>
  <si>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</si>
  <si>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</si>
  <si>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</si>
  <si>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</si>
  <si>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</si>
  <si>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</si>
  <si>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</si>
  <si>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</si>
  <si>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</si>
  <si>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</si>
  <si>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</si>
  <si>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</si>
  <si>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</si>
  <si>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</si>
  <si>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</si>
  <si>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</si>
  <si>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</si>
  <si>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</si>
  <si>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</si>
  <si>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</si>
  <si>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</si>
  <si>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</si>
  <si>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</si>
  <si>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</si>
  <si>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</si>
  <si>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</si>
  <si>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</si>
  <si>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</si>
  <si>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</si>
  <si>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</si>
  <si>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</si>
  <si>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</si>
  <si>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</si>
  <si>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</si>
  <si>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</si>
  <si>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</si>
  <si>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</si>
  <si>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</si>
  <si>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</si>
  <si>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</si>
  <si>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</si>
  <si>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</si>
  <si>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</si>
  <si>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</si>
  <si>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</si>
  <si>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</si>
  <si>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</si>
  <si>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</si>
  <si>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</si>
  <si>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</si>
  <si>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</si>
  <si>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</si>
  <si>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</si>
  <si>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</si>
  <si>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</si>
  <si>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</si>
  <si>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</si>
  <si>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</si>
  <si>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</si>
  <si>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</si>
  <si>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</si>
  <si>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</si>
  <si>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</si>
  <si>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</si>
  <si>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</si>
  <si>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</si>
  <si>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</si>
  <si>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</si>
  <si>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</si>
  <si>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</si>
  <si>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</si>
  <si>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</si>
  <si>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</si>
  <si>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</si>
  <si>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</si>
  <si>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</si>
  <si>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</si>
  <si>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</si>
  <si>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</si>
  <si>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</si>
  <si>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</si>
  <si>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</si>
  <si>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</si>
  <si>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</si>
  <si>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</si>
  <si>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</si>
  <si>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</si>
  <si>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</si>
  <si>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</si>
  <si>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</si>
  <si>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</si>
  <si>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</si>
  <si>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</si>
  <si>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</si>
  <si>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</si>
  <si>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</si>
  <si>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</si>
  <si>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</si>
  <si>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</si>
  <si>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</si>
  <si>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</si>
  <si>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</si>
  <si>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</si>
  <si>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</si>
  <si>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</si>
  <si>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</si>
  <si>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</si>
  <si>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</si>
  <si>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</si>
  <si>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</si>
  <si>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</si>
  <si>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</si>
  <si>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</si>
  <si>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</si>
  <si>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</si>
  <si>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</si>
  <si>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</si>
  <si>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</si>
  <si>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</si>
  <si>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</si>
  <si>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</si>
  <si>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</si>
  <si>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</si>
  <si>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</si>
  <si>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</si>
  <si>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</si>
  <si>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</si>
  <si>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</si>
  <si>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</si>
  <si>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</si>
  <si>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</si>
  <si>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</si>
  <si>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</si>
  <si>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</si>
  <si>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</si>
  <si>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</si>
  <si>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</si>
  <si>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</si>
  <si>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</si>
  <si>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</si>
  <si>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</si>
  <si>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</si>
  <si>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</si>
  <si>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</si>
  <si>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</si>
  <si>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</si>
  <si>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</si>
  <si>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</si>
  <si>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</si>
  <si>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</si>
  <si>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</si>
  <si>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</si>
  <si>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</si>
  <si>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</si>
  <si>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</si>
  <si>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</si>
  <si>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</si>
  <si>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</si>
  <si>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</si>
  <si>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</si>
  <si>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</si>
  <si>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</si>
  <si>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</si>
  <si>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</si>
  <si>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</si>
  <si>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</si>
  <si>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</si>
  <si>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</si>
  <si>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</si>
  <si>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</si>
  <si>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</si>
  <si>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</si>
  <si>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</si>
  <si>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</si>
  <si>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</si>
  <si>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</si>
  <si>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</si>
  <si>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</si>
  <si>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</si>
  <si>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</si>
  <si>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</si>
  <si>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</si>
  <si>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</si>
  <si>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</si>
  <si>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</si>
  <si>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</si>
  <si>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</si>
  <si>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</si>
  <si>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</si>
  <si>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</si>
  <si>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</si>
  <si>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</si>
  <si>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</si>
  <si>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</si>
  <si>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</si>
  <si>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</si>
  <si>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</si>
  <si>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</si>
  <si>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</si>
  <si>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</si>
  <si>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</si>
  <si>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</si>
  <si>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</si>
  <si>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</si>
  <si>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</si>
  <si>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</si>
  <si>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</si>
  <si>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</si>
  <si>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</si>
  <si>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</si>
  <si>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</si>
  <si>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</si>
  <si>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</si>
  <si>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</si>
  <si>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</si>
  <si>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</si>
  <si>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</si>
  <si>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</si>
  <si>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</si>
  <si>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</si>
  <si>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</si>
  <si>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</si>
  <si>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</si>
  <si>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</si>
  <si>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</si>
  <si>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</si>
  <si>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</si>
  <si>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</si>
  <si>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</si>
  <si>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</si>
  <si>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</si>
  <si>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</si>
  <si>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</si>
  <si>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</si>
  <si>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</si>
  <si>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</si>
  <si>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</si>
  <si>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</si>
  <si>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</si>
  <si>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</si>
  <si>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</si>
  <si>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</si>
  <si>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</si>
  <si>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</si>
  <si>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</si>
  <si>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</si>
  <si>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</si>
  <si>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</si>
  <si>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</si>
  <si>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</si>
  <si>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</si>
  <si>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</si>
  <si>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</si>
  <si>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</si>
  <si>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</si>
  <si>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</si>
  <si>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</si>
  <si>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</si>
  <si>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</si>
  <si>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</si>
  <si>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</si>
  <si>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</si>
  <si>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</si>
  <si>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</si>
  <si>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</si>
  <si>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</si>
  <si>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</si>
  <si>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</si>
  <si>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</si>
  <si>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</si>
  <si>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</si>
  <si>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</si>
  <si>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</si>
  <si>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</si>
  <si>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</si>
  <si>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</si>
  <si>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</si>
  <si>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</si>
  <si>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</si>
  <si>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</si>
  <si>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</si>
  <si>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</si>
  <si>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</si>
  <si>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</si>
  <si>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</si>
  <si>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</si>
  <si>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</si>
  <si>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</si>
  <si>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</si>
  <si>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</si>
  <si>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</si>
  <si>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</si>
  <si>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</si>
  <si>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</si>
  <si>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</si>
  <si>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</si>
  <si>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</si>
  <si>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</si>
  <si>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</si>
  <si>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</si>
  <si>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</si>
  <si>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</si>
  <si>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</si>
  <si>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</si>
  <si>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</si>
  <si>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</si>
  <si>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</si>
  <si>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</si>
  <si>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</si>
  <si>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</si>
  <si>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</si>
  <si>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</si>
  <si>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</si>
  <si>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</si>
  <si>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</si>
  <si>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</si>
  <si>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</si>
  <si>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</si>
  <si>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</si>
  <si>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</si>
  <si>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</si>
  <si>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</si>
  <si>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</si>
  <si>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</si>
  <si>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</si>
  <si>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</si>
  <si>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</si>
  <si>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</si>
  <si>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</si>
  <si>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</si>
  <si>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</si>
  <si>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</si>
  <si>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</si>
  <si>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</si>
  <si>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</si>
  <si>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</si>
  <si>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</si>
  <si>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</si>
  <si>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</si>
  <si>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</si>
  <si>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</si>
  <si>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</si>
  <si>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</si>
  <si>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</si>
  <si>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</si>
  <si>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</si>
  <si>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</si>
  <si>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</si>
  <si>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</si>
  <si>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</si>
  <si>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</si>
  <si>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</si>
  <si>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</si>
  <si>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</si>
  <si>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</si>
  <si>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</si>
  <si>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</si>
  <si>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</si>
  <si>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</si>
  <si>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</si>
  <si>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</si>
  <si>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</si>
  <si>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</si>
  <si>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</si>
  <si>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</si>
  <si>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</si>
  <si>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</si>
  <si>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</si>
  <si>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</si>
  <si>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</si>
  <si>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</si>
  <si>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</si>
  <si>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</si>
  <si>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</si>
  <si>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</si>
  <si>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</si>
  <si>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</si>
  <si>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</si>
  <si>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</si>
  <si>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</si>
  <si>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</si>
  <si>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</si>
  <si>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</si>
  <si>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</si>
  <si>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</si>
  <si>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</si>
  <si>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</si>
  <si>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</si>
  <si>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</si>
  <si>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</si>
  <si>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</si>
  <si>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</si>
  <si>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</si>
  <si>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</si>
  <si>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</si>
  <si>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</si>
  <si>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</si>
  <si>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</si>
  <si>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</si>
  <si>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</si>
  <si>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</si>
  <si>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</si>
  <si>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</si>
  <si>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</si>
  <si>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</si>
  <si>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</si>
  <si>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</si>
  <si>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</si>
  <si>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</si>
  <si>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</si>
  <si>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</si>
  <si>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</si>
  <si>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</si>
  <si>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</si>
  <si>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</si>
  <si>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</si>
  <si>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</si>
  <si>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</si>
  <si>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</si>
  <si>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</si>
  <si>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</si>
  <si>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</si>
  <si>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</si>
  <si>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</si>
  <si>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</si>
  <si>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</si>
  <si>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</si>
  <si>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</si>
  <si>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</si>
  <si>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</si>
  <si>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</si>
  <si>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</si>
  <si>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</si>
  <si>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</si>
  <si>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</si>
  <si>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</si>
  <si>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</si>
  <si>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</si>
  <si>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</si>
  <si>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</si>
  <si>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</si>
  <si>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</si>
  <si>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</si>
  <si>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</si>
  <si>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</si>
  <si>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</si>
  <si>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</si>
  <si>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</si>
  <si>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</si>
  <si>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</si>
  <si>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</si>
  <si>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</si>
  <si>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</si>
  <si>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</si>
  <si>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</si>
  <si>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</si>
  <si>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</si>
  <si>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</si>
  <si>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</si>
  <si>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</si>
  <si>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</si>
  <si>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</si>
  <si>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</si>
  <si>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</si>
  <si>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</si>
  <si>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</si>
  <si>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</si>
  <si>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</si>
  <si>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</si>
  <si>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</si>
  <si>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</si>
  <si>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</si>
  <si>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</si>
  <si>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</si>
  <si>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</si>
  <si>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</si>
  <si>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</si>
  <si>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</si>
  <si>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</si>
  <si>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</si>
  <si>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</si>
  <si>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</si>
  <si>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</si>
  <si>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</si>
  <si>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</si>
  <si>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</si>
  <si>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</si>
  <si>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</si>
  <si>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</si>
  <si>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</si>
  <si>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</si>
  <si>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</si>
  <si>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</si>
  <si>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</si>
  <si>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</si>
  <si>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</si>
  <si>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</si>
  <si>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</si>
  <si>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</si>
  <si>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</si>
  <si>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</si>
  <si>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</si>
  <si>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</si>
  <si>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</si>
  <si>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</si>
  <si>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</si>
  <si>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</si>
  <si>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</si>
  <si>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</si>
  <si>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</si>
  <si>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</si>
  <si>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</si>
  <si>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</si>
  <si>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</si>
  <si>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</si>
  <si>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</si>
  <si>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</si>
  <si>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</si>
  <si>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</si>
  <si>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</si>
  <si>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</si>
  <si>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</si>
  <si>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</si>
  <si>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</si>
  <si>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</si>
  <si>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</si>
  <si>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</si>
  <si>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</si>
  <si>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</si>
  <si>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</si>
  <si>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</si>
  <si>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</si>
  <si>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</si>
  <si>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</si>
  <si>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</si>
  <si>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</si>
  <si>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</si>
  <si>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</si>
  <si>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</si>
  <si>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</si>
  <si>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</si>
  <si>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</si>
  <si>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</si>
  <si>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</si>
  <si>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</si>
  <si>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</si>
  <si>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</si>
  <si>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</si>
  <si>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</si>
  <si>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</si>
  <si>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</si>
  <si>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</si>
  <si>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</si>
  <si>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</si>
  <si>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</si>
  <si>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</si>
  <si>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</si>
  <si>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</si>
  <si>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</si>
  <si>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</si>
  <si>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</si>
  <si>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</si>
  <si>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</si>
  <si>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</si>
  <si>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</si>
  <si>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</si>
  <si>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</si>
  <si>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</si>
  <si>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</si>
  <si>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</si>
  <si>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</si>
  <si>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</si>
  <si>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</si>
  <si>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</si>
  <si>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</si>
  <si>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</si>
  <si>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</si>
  <si>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</si>
  <si>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</si>
  <si>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</si>
  <si>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</si>
  <si>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</si>
  <si>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</si>
  <si>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</si>
  <si>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</si>
  <si>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</si>
  <si>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</si>
  <si>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</si>
  <si>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</si>
  <si>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</si>
  <si>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</si>
  <si>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</si>
  <si>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</si>
  <si>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</si>
  <si>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</si>
  <si>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</si>
  <si>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</si>
  <si>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</si>
  <si>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</si>
  <si>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</si>
  <si>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</si>
  <si>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</si>
  <si>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</si>
  <si>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</si>
  <si>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</si>
  <si>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</si>
  <si>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</si>
  <si>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</si>
  <si>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</si>
  <si>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</si>
  <si>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</si>
  <si>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</si>
  <si>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</si>
  <si>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</si>
  <si>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</si>
  <si>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</si>
  <si>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</si>
  <si>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</si>
  <si>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</si>
  <si>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</si>
  <si>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</si>
  <si>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</si>
  <si>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</si>
  <si>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</si>
  <si>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</si>
  <si>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</si>
  <si>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</si>
  <si>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</si>
  <si>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</si>
  <si>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</si>
  <si>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</si>
  <si>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</si>
  <si>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</si>
  <si>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</si>
  <si>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</si>
  <si>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</si>
  <si>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</si>
  <si>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</si>
  <si>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</si>
  <si>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</si>
  <si>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</si>
  <si>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</si>
  <si>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</si>
  <si>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</si>
  <si>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</si>
  <si>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</si>
  <si>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</si>
  <si>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</si>
  <si>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</si>
  <si>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</si>
  <si>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</si>
  <si>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</si>
  <si>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</si>
  <si>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</si>
  <si>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</si>
  <si>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</si>
  <si>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</si>
  <si>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</si>
  <si>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</si>
  <si>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</si>
  <si>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</si>
  <si>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</si>
  <si>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</si>
  <si>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</si>
  <si>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</si>
  <si>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</si>
  <si>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</si>
  <si>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</si>
  <si>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</si>
  <si>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</si>
  <si>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</si>
  <si>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</si>
  <si>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</si>
  <si>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</si>
  <si>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</si>
  <si>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</si>
  <si>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</si>
  <si>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</si>
  <si>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</si>
  <si>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</si>
  <si>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</si>
  <si>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</si>
  <si>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</si>
  <si>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</si>
  <si>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</si>
  <si>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</si>
  <si>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</si>
  <si>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</si>
  <si>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</si>
  <si>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</si>
  <si>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</si>
  <si>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</si>
  <si>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</si>
  <si>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</si>
  <si>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</si>
  <si>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</si>
  <si>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</si>
  <si>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</si>
  <si>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</si>
  <si>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</si>
  <si>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</si>
  <si>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</si>
  <si>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</si>
  <si>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</si>
  <si>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</si>
  <si>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</si>
  <si>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</si>
  <si>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</si>
  <si>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</si>
  <si>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</si>
  <si>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</si>
  <si>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</si>
  <si>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</si>
  <si>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</si>
  <si>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</si>
  <si>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</si>
  <si>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</si>
  <si>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</si>
  <si>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</si>
  <si>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</si>
  <si>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</si>
  <si>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</si>
  <si>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</si>
  <si>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</si>
  <si>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</si>
  <si>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</si>
  <si>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</si>
  <si>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</si>
  <si>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</si>
  <si>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</si>
  <si>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</si>
  <si>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</si>
  <si>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</si>
  <si>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</si>
  <si>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</si>
  <si>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</si>
  <si>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</si>
  <si>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</si>
  <si>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</si>
  <si>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</si>
  <si>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</si>
  <si>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</si>
  <si>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</si>
  <si>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</si>
  <si>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</si>
  <si>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</si>
  <si>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</si>
  <si>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</si>
  <si>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</si>
  <si>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</si>
  <si>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</si>
  <si>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</si>
  <si>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</si>
  <si>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</si>
  <si>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</si>
  <si>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</si>
  <si>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</si>
  <si>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</si>
  <si>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</si>
  <si>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</si>
  <si>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</si>
  <si>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</si>
  <si>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</si>
  <si>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</si>
  <si>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</si>
  <si>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</si>
  <si>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</si>
  <si>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</si>
  <si>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</si>
  <si>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</si>
  <si>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</si>
  <si>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</si>
  <si>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</si>
  <si>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</si>
  <si>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</si>
  <si>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</si>
  <si>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</si>
  <si>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</si>
  <si>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</si>
  <si>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</si>
  <si>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</si>
  <si>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</si>
  <si>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</si>
  <si>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</si>
  <si>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</si>
  <si>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</si>
  <si>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</si>
  <si>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</si>
  <si>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</si>
  <si>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</si>
  <si>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</si>
  <si>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</si>
  <si>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</si>
  <si>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</si>
  <si>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</si>
  <si>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</si>
  <si>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</si>
  <si>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</si>
  <si>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</si>
  <si>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</si>
  <si>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</si>
  <si>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</si>
  <si>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</si>
  <si>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</si>
  <si>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</si>
  <si>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</si>
  <si>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</si>
  <si>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</si>
  <si>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</si>
  <si>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</si>
  <si>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</si>
  <si>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</si>
  <si>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</si>
  <si>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</si>
  <si>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</si>
  <si>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</si>
  <si>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</si>
  <si>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</si>
  <si>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</si>
  <si>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</si>
  <si>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</si>
  <si>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</si>
  <si>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</si>
  <si>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</si>
  <si>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</si>
  <si>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</si>
  <si>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</si>
  <si>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</si>
  <si>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</si>
  <si>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</si>
  <si>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</si>
  <si>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</si>
  <si>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</si>
  <si>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</si>
  <si>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</si>
  <si>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</si>
  <si>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</si>
  <si>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</si>
  <si>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</si>
  <si>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</si>
  <si>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</si>
  <si>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</si>
  <si>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</si>
  <si>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</si>
  <si>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</si>
  <si>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</si>
  <si>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</si>
  <si>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</si>
  <si>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</si>
  <si>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</si>
  <si>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</si>
  <si>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</si>
  <si>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</si>
  <si>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</si>
  <si>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</si>
  <si>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</si>
  <si>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</si>
  <si>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</si>
  <si>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</si>
  <si>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</si>
  <si>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</si>
  <si>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</si>
  <si>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</si>
  <si>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</si>
  <si>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</si>
  <si>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</si>
  <si>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</si>
  <si>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</si>
  <si>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</si>
  <si>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</si>
  <si>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</si>
  <si>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</si>
  <si>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</si>
  <si>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</si>
  <si>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</si>
  <si>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</si>
  <si>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</si>
  <si>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</si>
  <si>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</si>
  <si>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</si>
  <si>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</si>
  <si>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</si>
  <si>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</si>
  <si>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</si>
  <si>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</si>
  <si>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</si>
  <si>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</si>
  <si>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</si>
  <si>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</si>
  <si>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</si>
  <si>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</si>
  <si>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</si>
  <si>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</si>
  <si>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</si>
  <si>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</si>
  <si>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</si>
  <si>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</si>
  <si>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</si>
  <si>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</si>
  <si>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</si>
  <si>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</si>
  <si>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</si>
  <si>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</si>
  <si>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</si>
  <si>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</si>
  <si>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</si>
  <si>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</si>
  <si>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</si>
  <si>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</si>
  <si>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</si>
  <si>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</si>
  <si>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</si>
  <si>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</si>
  <si>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</si>
  <si>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</si>
  <si>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</si>
  <si>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</si>
  <si>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</si>
  <si>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</si>
  <si>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</si>
  <si>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</si>
  <si>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</si>
  <si>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</si>
  <si>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</si>
  <si>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</si>
  <si>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</si>
  <si>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</si>
  <si>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</si>
  <si>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</si>
  <si>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</si>
  <si>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</si>
  <si>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</si>
  <si>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</si>
  <si>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</si>
  <si>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</si>
  <si>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</si>
  <si>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</si>
  <si>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</si>
  <si>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</si>
  <si>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</si>
  <si>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</si>
  <si>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</si>
  <si>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</si>
  <si>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</si>
  <si>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</si>
  <si>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</si>
  <si>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</si>
  <si>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</si>
  <si>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</si>
  <si>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</si>
  <si>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</si>
  <si>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</si>
  <si>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</si>
  <si>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</si>
  <si>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</si>
  <si>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</si>
  <si>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</si>
  <si>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</si>
  <si>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</si>
  <si>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</si>
  <si>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</si>
  <si>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</si>
  <si>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</si>
  <si>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</si>
  <si>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</si>
  <si>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</si>
  <si>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</si>
  <si>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</si>
  <si>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</si>
  <si>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</si>
  <si>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</si>
  <si>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</si>
  <si>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</si>
  <si>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</si>
  <si>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</si>
  <si>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</si>
  <si>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</si>
  <si>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</si>
  <si>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</si>
  <si>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</si>
  <si>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</si>
  <si>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</si>
  <si>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</si>
  <si>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</si>
  <si>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</si>
  <si>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</si>
  <si>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</si>
  <si>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</si>
  <si>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</si>
  <si>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</si>
  <si>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</si>
  <si>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</si>
  <si>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</si>
  <si>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</si>
  <si>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</si>
  <si>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</si>
  <si>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</si>
  <si>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</si>
  <si>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</si>
  <si>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</si>
  <si>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</si>
  <si>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</si>
  <si>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</si>
  <si>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</si>
  <si>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</si>
  <si>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</si>
  <si>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</si>
  <si>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</si>
  <si>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</si>
  <si>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</si>
  <si>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</si>
  <si>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</si>
  <si>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</si>
  <si>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</si>
  <si>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</si>
  <si>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</si>
  <si>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</si>
  <si>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</si>
  <si>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</si>
  <si>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</si>
  <si>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</si>
  <si>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</si>
  <si>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</si>
  <si>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</si>
  <si>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</si>
  <si>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</si>
  <si>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</si>
  <si>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</si>
  <si>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</si>
  <si>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</si>
  <si>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</si>
  <si>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</si>
  <si>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</si>
  <si>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</si>
  <si>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</si>
  <si>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</si>
  <si>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</si>
  <si>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</si>
  <si>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</si>
  <si>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</si>
  <si>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</si>
  <si>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</si>
  <si>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</si>
  <si>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</si>
  <si>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</si>
  <si>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</si>
  <si>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</si>
  <si>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</si>
  <si>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</si>
  <si>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</si>
  <si>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</si>
  <si>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</si>
  <si>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</si>
  <si>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</si>
  <si>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</si>
  <si>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</si>
  <si>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</si>
  <si>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</si>
  <si>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</si>
  <si>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</si>
  <si>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</si>
  <si>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</si>
  <si>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</si>
  <si>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</si>
  <si>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</si>
  <si>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</si>
  <si>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</si>
  <si>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</si>
  <si>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</si>
  <si>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</si>
  <si>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</si>
  <si>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</si>
  <si>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</si>
  <si>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</si>
  <si>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</si>
  <si>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</si>
  <si>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</si>
  <si>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</si>
  <si>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</si>
  <si>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</si>
  <si>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</si>
  <si>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</si>
  <si>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</si>
  <si>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</si>
  <si>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</si>
  <si>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</si>
  <si>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</si>
  <si>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</si>
  <si>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</si>
  <si>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</si>
  <si>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</si>
  <si>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</si>
  <si>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</si>
  <si>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</si>
  <si>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</si>
  <si>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</si>
  <si>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</si>
  <si>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</si>
  <si>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</si>
  <si>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</si>
  <si>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</si>
  <si>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</si>
  <si>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</si>
  <si>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</si>
  <si>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</si>
  <si>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</si>
  <si>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</si>
  <si>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</si>
  <si>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</si>
  <si>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</si>
  <si>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</si>
  <si>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</si>
  <si>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</si>
  <si>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</si>
  <si>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</si>
  <si>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</si>
  <si>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</si>
  <si>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</si>
  <si>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</si>
  <si>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</si>
  <si>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</si>
  <si>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</si>
  <si>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</si>
  <si>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</si>
  <si>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</si>
  <si>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</si>
  <si>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</si>
  <si>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</si>
  <si>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</si>
  <si>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</si>
  <si>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</si>
  <si>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</si>
  <si>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</si>
  <si>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</si>
  <si>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</si>
  <si>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</si>
  <si>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</si>
  <si>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</si>
  <si>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</si>
  <si>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</si>
  <si>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</si>
  <si>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</si>
  <si>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</si>
  <si>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</si>
  <si>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</si>
  <si>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</si>
  <si>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</si>
  <si>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</si>
  <si>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</si>
  <si>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</si>
  <si>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</si>
  <si>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</si>
  <si>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</si>
  <si>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</si>
  <si>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</si>
  <si>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</si>
  <si>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</si>
  <si>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</si>
  <si>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</si>
  <si>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</si>
  <si>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</si>
  <si>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</si>
  <si>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</si>
  <si>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</si>
  <si>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</si>
  <si>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</si>
  <si>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</si>
  <si>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</si>
  <si>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</si>
  <si>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</si>
  <si>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</si>
  <si>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</si>
  <si>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</si>
  <si>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</si>
  <si>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</si>
  <si>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</si>
  <si>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</si>
  <si>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</si>
  <si>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</si>
  <si>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</si>
  <si>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</si>
  <si>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</si>
  <si>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</si>
  <si>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</si>
  <si>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</si>
  <si>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</si>
  <si>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</si>
  <si>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</si>
  <si>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</si>
  <si>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</si>
  <si>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</si>
  <si>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</si>
  <si>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</si>
  <si>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</si>
  <si>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</si>
  <si>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</si>
  <si>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</si>
  <si>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</si>
  <si>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</si>
  <si>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</si>
  <si>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</si>
  <si>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</si>
  <si>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</si>
  <si>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</si>
  <si>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</si>
  <si>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</si>
  <si>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</si>
  <si>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</si>
  <si>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</si>
  <si>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</si>
  <si>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</si>
  <si>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</si>
  <si>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</si>
  <si>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</si>
  <si>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</si>
  <si>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</si>
  <si>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</si>
  <si>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</si>
  <si>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</si>
  <si>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</si>
  <si>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</si>
  <si>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</si>
  <si>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</si>
  <si>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</si>
  <si>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</si>
  <si>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</si>
  <si>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</si>
  <si>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</si>
  <si>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</si>
  <si>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</si>
  <si>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</si>
  <si>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</si>
  <si>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</si>
  <si>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</si>
  <si>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</si>
  <si>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</si>
  <si>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</si>
  <si>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</si>
  <si>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</si>
  <si>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</si>
  <si>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</si>
  <si>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</si>
  <si>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</si>
  <si>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</si>
  <si>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</si>
  <si>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</si>
  <si>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</si>
  <si>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</si>
  <si>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</si>
  <si>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</si>
  <si>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</si>
  <si>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</si>
  <si>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</si>
  <si>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</si>
  <si>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</si>
  <si>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</si>
  <si>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</si>
  <si>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</si>
  <si>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</si>
  <si>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</si>
  <si>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</si>
  <si>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</si>
  <si>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</si>
  <si>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</si>
  <si>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</si>
  <si>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</si>
  <si>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</si>
  <si>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</si>
  <si>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</si>
  <si>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</si>
  <si>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</si>
  <si>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</si>
  <si>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</si>
  <si>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</si>
  <si>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</si>
  <si>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</si>
  <si>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</si>
  <si>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</si>
  <si>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</si>
  <si>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</si>
  <si>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</si>
  <si>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</si>
  <si>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</si>
  <si>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</si>
  <si>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</si>
  <si>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</si>
  <si>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</si>
  <si>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</si>
  <si>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</si>
  <si>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</si>
  <si>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</si>
  <si>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</si>
  <si>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</si>
  <si>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</si>
  <si>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</si>
  <si>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</si>
  <si>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</si>
  <si>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</si>
  <si>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</si>
  <si>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</si>
  <si>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</si>
  <si>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</si>
  <si>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</si>
  <si>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</si>
  <si>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</si>
  <si>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</si>
  <si>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</si>
  <si>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</si>
  <si>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</si>
  <si>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</si>
  <si>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</si>
  <si>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</si>
  <si>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</si>
  <si>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</si>
  <si>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</si>
  <si>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</si>
  <si>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</si>
  <si>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</si>
  <si>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</si>
  <si>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</si>
  <si>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</si>
  <si>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</si>
  <si>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</si>
  <si>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</si>
  <si>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</si>
  <si>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</si>
  <si>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</si>
  <si>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</si>
  <si>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</si>
  <si>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</si>
  <si>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</si>
  <si>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</si>
  <si>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</si>
  <si>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</si>
  <si>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</si>
  <si>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</si>
  <si>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</si>
  <si>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</si>
  <si>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</si>
  <si>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</si>
  <si>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</si>
  <si>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</si>
  <si>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</si>
  <si>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</si>
  <si>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</si>
  <si>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</si>
  <si>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</si>
  <si>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</si>
  <si>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</si>
  <si>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</si>
  <si>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</si>
  <si>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</si>
  <si>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</si>
  <si>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</si>
  <si>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</si>
  <si>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</si>
  <si>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</si>
  <si>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</si>
  <si>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</si>
  <si>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</si>
  <si>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</si>
  <si>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</si>
  <si>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</si>
  <si>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</si>
  <si>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</si>
  <si>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</si>
  <si>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</si>
  <si>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</si>
  <si>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</si>
  <si>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</si>
  <si>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</si>
  <si>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</si>
  <si>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</si>
  <si>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</si>
  <si>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</si>
  <si>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</si>
  <si>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</si>
  <si>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</si>
  <si>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</si>
  <si>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</si>
  <si>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</si>
  <si>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</si>
  <si>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</si>
  <si>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</si>
  <si>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</si>
  <si>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</si>
  <si>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</si>
  <si>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</si>
  <si>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</si>
  <si>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</si>
  <si>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</si>
  <si>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</si>
  <si>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</si>
  <si>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</si>
  <si>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</si>
  <si>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</si>
  <si>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</si>
  <si>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</si>
  <si>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</si>
  <si>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</si>
  <si>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</si>
  <si>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</si>
  <si>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</si>
  <si>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</si>
  <si>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</si>
  <si>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</si>
  <si>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</si>
  <si>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</si>
  <si>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</si>
  <si>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</si>
  <si>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</si>
  <si>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</si>
  <si>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</si>
  <si>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</si>
  <si>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</si>
  <si>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</si>
  <si>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</si>
  <si>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</si>
  <si>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</si>
  <si>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</si>
  <si>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</si>
  <si>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</si>
  <si>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</si>
  <si>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</si>
  <si>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</si>
  <si>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</si>
  <si>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</si>
  <si>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</si>
  <si>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</si>
  <si>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</si>
  <si>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</si>
  <si>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</si>
  <si>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</si>
  <si>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</si>
  <si>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</si>
  <si>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</si>
  <si>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</si>
  <si>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</si>
  <si>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</si>
  <si>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</si>
  <si>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</si>
  <si>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</si>
  <si>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</si>
  <si>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</si>
  <si>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</si>
  <si>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</si>
  <si>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</si>
  <si>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</si>
  <si>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</si>
  <si>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</si>
  <si>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</si>
  <si>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</si>
  <si>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</si>
  <si>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</si>
  <si>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</si>
  <si>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</si>
  <si>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</si>
  <si>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</si>
  <si>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</si>
  <si>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</si>
  <si>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</si>
  <si>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</si>
  <si>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</si>
  <si>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</si>
  <si>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</si>
  <si>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</si>
  <si>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</si>
  <si>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</si>
  <si>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</si>
  <si>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</si>
  <si>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</si>
  <si>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</si>
  <si>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</si>
  <si>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</si>
  <si>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</si>
  <si>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</si>
  <si>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</si>
  <si>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</si>
  <si>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</si>
  <si>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</si>
  <si>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</si>
  <si>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</si>
  <si>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</si>
  <si>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</si>
  <si>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</si>
  <si>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</si>
  <si>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</si>
  <si>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</si>
  <si>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</si>
  <si>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</si>
  <si>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</si>
  <si>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</si>
  <si>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</si>
  <si>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</si>
  <si>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</si>
  <si>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</si>
  <si>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</si>
  <si>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</si>
  <si>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</si>
  <si>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</si>
  <si>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</si>
  <si>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</si>
  <si>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</si>
  <si>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</si>
  <si>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</si>
  <si>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</si>
  <si>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</si>
  <si>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</si>
  <si>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</si>
  <si>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</si>
  <si>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</si>
  <si>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</si>
  <si>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</si>
  <si>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</si>
  <si>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</si>
  <si>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</si>
  <si>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</si>
  <si>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</si>
  <si>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</si>
  <si>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</si>
  <si>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</si>
  <si>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</si>
  <si>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</si>
  <si>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</si>
  <si>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</si>
  <si>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</si>
  <si>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</si>
  <si>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</si>
  <si>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</si>
  <si>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</si>
  <si>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</si>
  <si>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</si>
  <si>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</si>
  <si>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</si>
  <si>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</si>
  <si>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</si>
  <si>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</si>
  <si>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</si>
  <si>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</si>
  <si>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</si>
  <si>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</si>
  <si>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</si>
  <si>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</si>
  <si>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</si>
  <si>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</si>
  <si>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</si>
  <si>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</si>
  <si>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</si>
  <si>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</si>
  <si>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</si>
  <si>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</si>
  <si>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</si>
  <si>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</si>
  <si>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</si>
  <si>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</si>
  <si>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</si>
  <si>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</si>
  <si>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</si>
  <si>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</si>
  <si>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</si>
  <si>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</si>
  <si>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</si>
  <si>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</si>
  <si>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</si>
  <si>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</si>
  <si>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</si>
  <si>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</si>
  <si>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</si>
  <si>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</si>
  <si>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</si>
  <si>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</si>
  <si>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</si>
  <si>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</si>
  <si>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</si>
  <si>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</si>
  <si>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</si>
  <si>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</si>
  <si>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</si>
  <si>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</si>
  <si>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</si>
  <si>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</si>
  <si>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</si>
  <si>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</si>
  <si>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</si>
  <si>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</si>
  <si>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</si>
  <si>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</si>
  <si>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</si>
  <si>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</si>
  <si>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</si>
  <si>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</si>
  <si>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</si>
  <si>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</si>
  <si>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</si>
  <si>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</si>
  <si>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</si>
  <si>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</si>
  <si>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</si>
  <si>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</si>
  <si>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</si>
  <si>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</si>
  <si>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</si>
  <si>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</si>
  <si>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</si>
  <si>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</si>
  <si>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</si>
  <si>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</si>
  <si>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</si>
  <si>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</si>
  <si>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</si>
  <si>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</si>
  <si>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</si>
  <si>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</si>
  <si>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</si>
  <si>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</si>
  <si>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</si>
  <si>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</si>
  <si>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</si>
  <si>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</si>
  <si>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</si>
  <si>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</si>
  <si>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</si>
  <si>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</si>
  <si>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</si>
  <si>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</si>
  <si>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</si>
  <si>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</si>
  <si>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</si>
  <si>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</si>
  <si>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</si>
  <si>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</si>
  <si>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</si>
  <si>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</si>
  <si>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</si>
  <si>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</si>
  <si>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</si>
  <si>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</si>
  <si>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</si>
  <si>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</si>
  <si>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</si>
  <si>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</si>
  <si>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</si>
  <si>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</si>
  <si>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</si>
  <si>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</si>
  <si>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</si>
  <si>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</si>
  <si>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</si>
  <si>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</si>
  <si>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</si>
  <si>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</si>
  <si>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</si>
  <si>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</si>
  <si>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</si>
  <si>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</si>
  <si>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</si>
  <si>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</si>
  <si>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</si>
  <si>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</si>
  <si>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</si>
  <si>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</si>
  <si>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</si>
  <si>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</si>
  <si>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</si>
  <si>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</si>
  <si>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</si>
  <si>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</si>
  <si>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</si>
  <si>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</si>
  <si>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</si>
  <si>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</si>
  <si>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</si>
  <si>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</si>
  <si>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</si>
  <si>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</si>
  <si>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</si>
  <si>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</si>
  <si>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</si>
  <si>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</si>
  <si>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</si>
  <si>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</si>
  <si>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</si>
  <si>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</si>
  <si>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</si>
  <si>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</si>
  <si>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</si>
  <si>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</si>
  <si>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</si>
  <si>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</si>
  <si>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</si>
  <si>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</si>
  <si>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</si>
  <si>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</si>
  <si>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</si>
  <si>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</si>
  <si>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</si>
  <si>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</si>
  <si>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</si>
  <si>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</si>
  <si>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</si>
  <si>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</si>
  <si>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</si>
  <si>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</si>
  <si>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</si>
  <si>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</si>
  <si>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</si>
  <si>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</si>
  <si>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</si>
  <si>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</si>
  <si>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</si>
  <si>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</si>
  <si>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</si>
  <si>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</si>
  <si>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</si>
  <si>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</si>
  <si>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</si>
  <si>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</si>
  <si>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</si>
  <si>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</si>
  <si>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</si>
  <si>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</si>
  <si>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</si>
  <si>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</si>
  <si>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</si>
  <si>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</si>
  <si>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</si>
  <si>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</si>
  <si>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</si>
  <si>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</si>
  <si>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</si>
  <si>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</si>
  <si>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</si>
  <si>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</si>
  <si>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</si>
  <si>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</si>
  <si>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</si>
  <si>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</si>
  <si>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</si>
  <si>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</si>
  <si>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</si>
  <si>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</si>
  <si>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</si>
  <si>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</si>
  <si>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</si>
  <si>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</si>
  <si>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</si>
  <si>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</si>
  <si>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</si>
  <si>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</si>
  <si>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</si>
  <si>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</si>
  <si>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</si>
  <si>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</si>
  <si>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</si>
  <si>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</si>
  <si>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</si>
  <si>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</si>
  <si>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</si>
  <si>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</si>
  <si>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</si>
  <si>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</si>
  <si>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</si>
  <si>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</si>
  <si>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</si>
  <si>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</si>
  <si>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</si>
  <si>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</si>
  <si>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</si>
  <si>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</si>
  <si>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</si>
  <si>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</si>
  <si>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</si>
  <si>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</si>
  <si>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</si>
  <si>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</si>
  <si>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</si>
  <si>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</si>
  <si>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</si>
  <si>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</si>
  <si>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</si>
  <si>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</si>
  <si>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</si>
  <si>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</si>
  <si>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</si>
  <si>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</si>
  <si>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</si>
  <si>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</si>
  <si>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</si>
  <si>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</si>
  <si>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</si>
  <si>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</si>
  <si>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</si>
  <si>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</si>
  <si>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</si>
  <si>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</si>
  <si>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</si>
  <si>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</si>
  <si>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</si>
  <si>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</si>
  <si>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</si>
  <si>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</si>
  <si>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</si>
  <si>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</si>
  <si>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</si>
  <si>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</si>
  <si>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</si>
  <si>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</si>
  <si>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</si>
  <si>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</si>
  <si>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</si>
  <si>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</si>
  <si>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</si>
  <si>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</si>
  <si>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</si>
  <si>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</si>
  <si>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</si>
  <si>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</si>
  <si>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</si>
  <si>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</si>
  <si>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</si>
  <si>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</si>
  <si>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</si>
  <si>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</si>
  <si>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</si>
  <si>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</si>
  <si>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</si>
  <si>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</si>
  <si>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</si>
  <si>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</si>
  <si>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</si>
  <si>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</si>
  <si>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</si>
  <si>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</si>
  <si>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</si>
  <si>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</si>
  <si>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</si>
  <si>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</si>
  <si>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</si>
  <si>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</si>
  <si>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</si>
  <si>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</si>
  <si>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</si>
  <si>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</si>
  <si>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</si>
  <si>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</si>
  <si>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</si>
  <si>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</si>
  <si>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</si>
  <si>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</si>
  <si>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</si>
  <si>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</si>
  <si>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</si>
  <si>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</si>
  <si>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</si>
  <si>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</si>
  <si>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</si>
  <si>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</si>
  <si>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</si>
  <si>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</si>
  <si>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</si>
  <si>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</si>
  <si>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</si>
  <si>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</si>
  <si>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</si>
  <si>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</si>
  <si>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</si>
  <si>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</si>
  <si>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</si>
  <si>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</si>
  <si>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</si>
  <si>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</si>
  <si>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</si>
  <si>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</si>
  <si>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</si>
  <si>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</si>
  <si>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</si>
  <si>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</si>
  <si>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</si>
  <si>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</si>
  <si>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</si>
  <si>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</si>
  <si>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</si>
  <si>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</si>
  <si>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</si>
  <si>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</si>
  <si>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</si>
  <si>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</si>
  <si>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</si>
  <si>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</si>
  <si>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</si>
  <si>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</si>
  <si>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</si>
  <si>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</si>
  <si>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</si>
  <si>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</si>
  <si>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</si>
  <si>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</si>
  <si>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</si>
  <si>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</si>
  <si>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</si>
  <si>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</si>
  <si>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</si>
  <si>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</si>
  <si>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</si>
  <si>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</si>
  <si>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</si>
  <si>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</si>
  <si>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</si>
  <si>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</si>
  <si>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</si>
  <si>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</si>
  <si>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</si>
  <si>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</si>
  <si>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</si>
  <si>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</si>
  <si>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</si>
  <si>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</si>
  <si>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</si>
  <si>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</si>
  <si>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</si>
  <si>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</si>
  <si>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</si>
  <si>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</si>
  <si>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</si>
  <si>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</si>
  <si>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</si>
  <si>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</si>
  <si>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</si>
  <si>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</si>
  <si>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</si>
  <si>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</si>
  <si>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</si>
  <si>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</si>
  <si>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</si>
  <si>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</si>
  <si>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</si>
  <si>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</si>
  <si>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</si>
  <si>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</si>
  <si>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</si>
  <si>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</si>
  <si>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</si>
  <si>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</si>
  <si>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</si>
  <si>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</si>
  <si>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</si>
  <si>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</si>
  <si>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</si>
  <si>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</si>
  <si>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</si>
  <si>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</si>
  <si>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</si>
  <si>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</si>
  <si>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</si>
  <si>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</si>
  <si>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</si>
  <si>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</si>
  <si>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</si>
  <si>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</si>
  <si>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</si>
  <si>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</si>
  <si>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</si>
  <si>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</si>
  <si>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</si>
  <si>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</si>
  <si>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</si>
  <si>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</si>
  <si>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</si>
  <si>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</si>
  <si>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</si>
  <si>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</si>
  <si>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</si>
  <si>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</si>
  <si>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</si>
  <si>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</si>
  <si>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</si>
  <si>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</si>
  <si>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</si>
  <si>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</si>
  <si>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</si>
  <si>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</si>
  <si>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</si>
  <si>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</si>
  <si>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</si>
  <si>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</si>
  <si>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</si>
  <si>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</si>
  <si>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</si>
  <si>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</si>
  <si>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</si>
  <si>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</si>
  <si>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</si>
  <si>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</si>
  <si>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</si>
  <si>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</si>
  <si>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</si>
  <si>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</si>
  <si>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</si>
  <si>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</si>
  <si>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</si>
  <si>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</si>
  <si>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</si>
  <si>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</si>
  <si>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</si>
  <si>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</si>
  <si>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</si>
  <si>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</si>
  <si>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</si>
  <si>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</si>
  <si>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</si>
  <si>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</si>
  <si>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</si>
  <si>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</si>
  <si>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</si>
  <si>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</si>
  <si>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</si>
  <si>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</si>
  <si>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</si>
  <si>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</si>
  <si>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</si>
  <si>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</si>
  <si>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</si>
  <si>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</si>
  <si>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</si>
  <si>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</si>
  <si>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</si>
  <si>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</si>
  <si>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</si>
  <si>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</si>
  <si>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</si>
  <si>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</si>
  <si>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</si>
  <si>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</si>
  <si>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</si>
  <si>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</si>
  <si>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</si>
  <si>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</si>
  <si>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</si>
  <si>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</si>
  <si>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</si>
  <si>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</si>
  <si>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</si>
  <si>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</si>
  <si>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</si>
  <si>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</si>
  <si>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</si>
  <si>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</si>
  <si>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</si>
  <si>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</si>
  <si>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</si>
  <si>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</si>
  <si>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</si>
  <si>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</si>
  <si>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</si>
  <si>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</si>
  <si>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</si>
  <si>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</si>
  <si>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</si>
  <si>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</si>
  <si>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</si>
  <si>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</si>
  <si>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</si>
  <si>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</si>
  <si>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</si>
  <si>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</si>
  <si>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</si>
  <si>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</si>
  <si>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</si>
  <si>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</si>
  <si>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</si>
  <si>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</si>
  <si>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</si>
  <si>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</si>
  <si>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</si>
  <si>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</si>
  <si>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</si>
  <si>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</si>
  <si>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</si>
  <si>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</si>
  <si>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</si>
  <si>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</si>
  <si>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</si>
  <si>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</si>
  <si>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</si>
  <si>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</si>
  <si>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</si>
  <si>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</si>
  <si>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</si>
  <si>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</si>
  <si>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</si>
  <si>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</si>
  <si>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</si>
  <si>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</si>
  <si>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</si>
  <si>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</si>
  <si>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</si>
  <si>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</si>
  <si>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</si>
  <si>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</si>
  <si>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</si>
  <si>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</si>
  <si>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</si>
  <si>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</si>
  <si>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</si>
  <si>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</si>
  <si>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</si>
  <si>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</si>
  <si>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</si>
  <si>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</si>
  <si>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</si>
  <si>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</si>
  <si>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</si>
  <si>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</si>
  <si>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</si>
  <si>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</si>
  <si>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</si>
  <si>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</si>
  <si>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</si>
  <si>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</si>
  <si>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</si>
  <si>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</si>
  <si>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</si>
  <si>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</si>
  <si>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</si>
  <si>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</si>
  <si>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</si>
  <si>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</si>
  <si>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</si>
  <si>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</si>
  <si>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</si>
  <si>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</si>
  <si>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</si>
  <si>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</si>
  <si>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</si>
  <si>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</si>
  <si>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</si>
  <si>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</si>
  <si>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</si>
  <si>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</si>
  <si>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</si>
  <si>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</si>
  <si>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</si>
  <si>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</si>
  <si>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</si>
  <si>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</si>
  <si>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</si>
  <si>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</si>
  <si>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</si>
  <si>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</si>
  <si>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</si>
  <si>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</si>
  <si>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</si>
  <si>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</si>
  <si>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</si>
  <si>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</si>
  <si>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</si>
  <si>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</si>
  <si>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</si>
  <si>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</si>
  <si>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</si>
  <si>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</si>
  <si>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</si>
  <si>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</si>
  <si>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</si>
  <si>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</si>
  <si>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</si>
  <si>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</si>
  <si>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</si>
  <si>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</si>
  <si>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</si>
  <si>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</si>
  <si>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</si>
  <si>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</si>
  <si>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</si>
  <si>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</si>
  <si>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</si>
  <si>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</si>
  <si>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</si>
  <si>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</si>
  <si>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</si>
  <si>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</si>
  <si>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</si>
  <si>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</si>
  <si>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</si>
  <si>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</si>
  <si>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</si>
  <si>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</si>
  <si>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</si>
  <si>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</si>
  <si>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</si>
  <si>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</si>
  <si>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</si>
  <si>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</si>
  <si>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</si>
  <si>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</si>
  <si>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</si>
  <si>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</si>
  <si>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</si>
  <si>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</si>
  <si>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</si>
  <si>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</si>
  <si>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</si>
  <si>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</si>
  <si>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</si>
  <si>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</si>
  <si>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</si>
  <si>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</si>
  <si>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</si>
  <si>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</si>
  <si>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</si>
  <si>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</si>
  <si>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</si>
  <si>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</si>
  <si>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</si>
  <si>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</si>
  <si>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</si>
  <si>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</si>
  <si>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</si>
  <si>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</si>
  <si>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</si>
  <si>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</si>
  <si>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</si>
  <si>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</si>
  <si>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</si>
  <si>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</si>
  <si>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</si>
  <si>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</si>
  <si>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</si>
  <si>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</si>
  <si>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</si>
  <si>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</si>
  <si>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</si>
  <si>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</si>
  <si>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</si>
  <si>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</si>
  <si>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</si>
  <si>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</si>
  <si>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</si>
  <si>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</si>
  <si>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</si>
  <si>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</si>
  <si>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</si>
  <si>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</si>
  <si>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</si>
  <si>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</si>
  <si>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</si>
  <si>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</si>
  <si>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</si>
  <si>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</si>
  <si>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</si>
  <si>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</si>
  <si>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</si>
  <si>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</si>
  <si>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</si>
  <si>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</si>
  <si>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</si>
  <si>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</si>
  <si>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</si>
  <si>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</si>
  <si>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</si>
  <si>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</si>
  <si>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</si>
  <si>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</si>
  <si>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</si>
  <si>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</si>
  <si>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</si>
  <si>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</si>
  <si>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</si>
  <si>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</si>
  <si>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</si>
  <si>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</si>
  <si>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</si>
  <si>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</si>
  <si>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</si>
  <si>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</si>
  <si>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</si>
  <si>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</si>
  <si>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</si>
  <si>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</si>
  <si>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</si>
  <si>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</si>
  <si>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</si>
  <si>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</si>
  <si>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</si>
  <si>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</si>
  <si>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</si>
  <si>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</si>
  <si>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</si>
  <si>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</si>
  <si>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</si>
  <si>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</si>
  <si>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</si>
  <si>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</si>
  <si>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</si>
  <si>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</si>
  <si>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</si>
  <si>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</si>
  <si>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</si>
  <si>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</si>
  <si>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</si>
  <si>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</si>
  <si>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</si>
  <si>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</si>
  <si>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</si>
  <si>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</si>
  <si>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</si>
  <si>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</si>
  <si>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</si>
  <si>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</si>
  <si>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</si>
  <si>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</si>
  <si>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</si>
  <si>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</si>
  <si>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</si>
  <si>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</si>
  <si>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</si>
  <si>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</si>
  <si>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</si>
  <si>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</si>
  <si>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</si>
  <si>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</si>
  <si>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</si>
  <si>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</si>
  <si>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</si>
  <si>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</si>
  <si>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</si>
  <si>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</si>
  <si>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</si>
  <si>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</si>
  <si>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</si>
  <si>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</si>
  <si>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</si>
  <si>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</si>
  <si>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</si>
  <si>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</si>
  <si>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</si>
  <si>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</si>
  <si>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</si>
  <si>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</si>
  <si>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</si>
  <si>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</si>
  <si>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</si>
  <si>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</si>
  <si>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</si>
  <si>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</si>
  <si>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</si>
  <si>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</si>
  <si>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</si>
  <si>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</si>
  <si>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</si>
  <si>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</si>
  <si>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</si>
  <si>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</si>
  <si>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</si>
  <si>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</si>
  <si>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</si>
  <si>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</si>
  <si>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</si>
  <si>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</si>
  <si>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</si>
  <si>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</si>
  <si>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</si>
  <si>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</si>
  <si>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</si>
  <si>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</si>
  <si>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</si>
  <si>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</si>
  <si>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</si>
  <si>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</si>
  <si>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</si>
  <si>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</si>
  <si>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</si>
  <si>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</si>
  <si>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</si>
  <si>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</si>
  <si>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</si>
  <si>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</si>
  <si>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</si>
  <si>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</si>
  <si>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</si>
  <si>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</si>
  <si>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</si>
  <si>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</si>
  <si>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</si>
  <si>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</si>
  <si>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</si>
  <si>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</si>
  <si>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</si>
  <si>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</si>
  <si>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</si>
  <si>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</si>
  <si>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</si>
  <si>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</si>
  <si>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</si>
  <si>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</si>
  <si>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</si>
  <si>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</si>
  <si>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</si>
  <si>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</si>
  <si>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</si>
  <si>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</si>
  <si>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</si>
  <si>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</si>
  <si>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</si>
  <si>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</si>
  <si>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</si>
  <si>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</si>
  <si>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</si>
  <si>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</si>
  <si>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</si>
  <si>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</si>
  <si>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</si>
  <si>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</si>
  <si>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</si>
  <si>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</si>
  <si>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</si>
  <si>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</si>
  <si>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</si>
  <si>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</si>
  <si>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</si>
  <si>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</si>
  <si>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</si>
  <si>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</si>
  <si>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</si>
  <si>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</si>
  <si>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</si>
  <si>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</si>
  <si>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</si>
  <si>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</si>
  <si>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</si>
  <si>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</si>
  <si>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</si>
  <si>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</si>
  <si>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</si>
  <si>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</si>
  <si>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</si>
  <si>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</si>
  <si>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</si>
  <si>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</si>
  <si>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</si>
  <si>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</si>
  <si>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</si>
  <si>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</si>
  <si>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</si>
  <si>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</si>
  <si>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</si>
  <si>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</si>
  <si>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</si>
  <si>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</si>
  <si>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</si>
  <si>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</si>
  <si>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</si>
  <si>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</si>
  <si>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</si>
  <si>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</si>
  <si>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</si>
  <si>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</si>
  <si>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</si>
  <si>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</si>
  <si>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</si>
  <si>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</si>
  <si>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</si>
  <si>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</si>
  <si>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</si>
  <si>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</si>
  <si>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</si>
  <si>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</si>
  <si>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</si>
  <si>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</si>
  <si>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</si>
  <si>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</si>
  <si>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</si>
  <si>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</si>
  <si>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</si>
  <si>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</si>
  <si>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</si>
  <si>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</si>
  <si>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</si>
  <si>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</si>
  <si>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</si>
  <si>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</si>
  <si>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</si>
  <si>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</si>
  <si>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</si>
  <si>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</si>
  <si>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</si>
  <si>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</si>
  <si>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</si>
  <si>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</si>
  <si>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</si>
  <si>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</si>
  <si>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</si>
  <si>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</si>
  <si>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</si>
  <si>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</si>
  <si>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</si>
  <si>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</si>
  <si>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</si>
  <si>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</si>
  <si>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</si>
  <si>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</si>
  <si>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</si>
  <si>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</si>
  <si>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</si>
  <si>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</si>
  <si>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</si>
  <si>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</si>
  <si>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</si>
  <si>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</si>
  <si>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</si>
  <si>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</si>
  <si>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</si>
  <si>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</si>
  <si>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</si>
  <si>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</si>
  <si>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</si>
  <si>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</si>
  <si>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</si>
  <si>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</si>
  <si>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</si>
  <si>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</si>
  <si>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</si>
  <si>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</si>
  <si>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</si>
  <si>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</si>
  <si>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</si>
  <si>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</si>
  <si>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</si>
  <si>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</si>
  <si>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</si>
  <si>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</si>
  <si>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</si>
  <si>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</si>
  <si>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</si>
  <si>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</si>
  <si>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</si>
  <si>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</si>
  <si>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</si>
  <si>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</si>
  <si>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</si>
  <si>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</si>
  <si>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</si>
  <si>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</si>
  <si>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</si>
  <si>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</si>
  <si>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</si>
  <si>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</si>
  <si>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</si>
  <si>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</si>
  <si>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</si>
  <si>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</si>
  <si>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</si>
  <si>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</si>
  <si>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</si>
  <si>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</si>
  <si>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</si>
  <si>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</si>
  <si>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</si>
  <si>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</si>
  <si>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</si>
  <si>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</si>
  <si>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</si>
  <si>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</si>
  <si>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</si>
  <si>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</si>
  <si>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</si>
  <si>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</si>
  <si>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</si>
  <si>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</si>
  <si>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</si>
  <si>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</si>
  <si>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</si>
  <si>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</si>
  <si>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</si>
  <si>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</si>
  <si>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</si>
  <si>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</si>
  <si>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</si>
  <si>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</si>
  <si>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</si>
  <si>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</si>
  <si>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</si>
  <si>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</si>
  <si>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</si>
  <si>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</si>
  <si>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</si>
  <si>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</si>
  <si>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</si>
  <si>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</si>
  <si>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</si>
  <si>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</si>
  <si>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</si>
  <si>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</si>
  <si>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</si>
  <si>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</si>
  <si>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</si>
  <si>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</si>
  <si>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</si>
  <si>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</si>
  <si>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</si>
  <si>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</si>
  <si>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</si>
  <si>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</si>
  <si>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</si>
  <si>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</si>
  <si>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</si>
  <si>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</si>
  <si>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</si>
  <si>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</si>
  <si>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</si>
  <si>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</si>
  <si>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</si>
  <si>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</si>
  <si>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</si>
  <si>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</si>
  <si>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</si>
  <si>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</si>
  <si>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</si>
  <si>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</si>
  <si>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</si>
  <si>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</si>
  <si>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</si>
  <si>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</si>
  <si>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</si>
  <si>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</si>
  <si>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</si>
  <si>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</si>
  <si>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</si>
  <si>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</si>
  <si>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</si>
  <si>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</si>
  <si>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</si>
  <si>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</si>
  <si>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</si>
  <si>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</si>
  <si>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</si>
  <si>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</si>
  <si>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</si>
  <si>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</si>
  <si>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</si>
  <si>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</si>
  <si>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</si>
  <si>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</si>
  <si>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</si>
  <si>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</si>
  <si>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</si>
  <si>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</si>
  <si>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</si>
  <si>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</si>
  <si>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</si>
  <si>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</si>
  <si>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</si>
  <si>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</si>
  <si>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</si>
  <si>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</si>
  <si>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</si>
  <si>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</si>
  <si>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</si>
  <si>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</si>
  <si>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</si>
  <si>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</si>
  <si>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</si>
  <si>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</si>
  <si>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</si>
  <si>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</si>
  <si>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</si>
  <si>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</si>
  <si>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</si>
  <si>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</si>
  <si>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</si>
  <si>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</si>
  <si>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</si>
  <si>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</si>
  <si>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</si>
  <si>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</si>
  <si>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</si>
  <si>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</si>
  <si>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</si>
  <si>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</si>
  <si>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</si>
  <si>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</si>
  <si>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</si>
  <si>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</si>
  <si>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</si>
  <si>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</si>
  <si>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</si>
  <si>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</si>
  <si>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</si>
  <si>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</si>
  <si>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</si>
  <si>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</si>
  <si>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</si>
  <si>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</si>
  <si>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</si>
  <si>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</si>
  <si>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</si>
  <si>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</si>
  <si>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</si>
  <si>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</si>
  <si>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</si>
  <si>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</si>
  <si>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</si>
  <si>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</si>
  <si>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</si>
  <si>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</si>
  <si>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</si>
  <si>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</si>
  <si>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</si>
  <si>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</si>
  <si>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</si>
  <si>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</si>
  <si>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</si>
  <si>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</si>
  <si>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</si>
  <si>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</si>
  <si>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</si>
  <si>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</si>
  <si>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</si>
  <si>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</si>
  <si>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</si>
  <si>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</si>
  <si>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</si>
  <si>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</si>
  <si>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</si>
  <si>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</si>
  <si>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</si>
  <si>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</si>
  <si>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</si>
  <si>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</si>
  <si>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</si>
  <si>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</si>
  <si>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</si>
  <si>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</si>
  <si>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</si>
  <si>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</si>
  <si>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</si>
  <si>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</si>
  <si>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</si>
  <si>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</si>
  <si>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</si>
  <si>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</si>
  <si>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</si>
  <si>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</si>
  <si>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</si>
  <si>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</si>
  <si>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</si>
  <si>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</si>
  <si>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</si>
  <si>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</si>
  <si>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</si>
  <si>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</si>
  <si>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</si>
  <si>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</si>
  <si>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</si>
  <si>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</si>
  <si>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</si>
  <si>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</si>
  <si>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</si>
  <si>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</si>
  <si>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</si>
  <si>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</si>
  <si>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</si>
  <si>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</si>
  <si>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</si>
  <si>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</si>
  <si>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</si>
  <si>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</si>
  <si>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</si>
  <si>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</si>
  <si>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</si>
  <si>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</si>
  <si>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</si>
  <si>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</si>
  <si>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</si>
  <si>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</si>
  <si>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</si>
  <si>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</si>
  <si>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</si>
  <si>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</si>
  <si>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</si>
  <si>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</si>
  <si>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</si>
  <si>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</si>
  <si>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</si>
  <si>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</si>
  <si>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</si>
  <si>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</si>
  <si>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</si>
  <si>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</si>
  <si>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</si>
  <si>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</si>
  <si>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</si>
  <si>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</si>
  <si>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</si>
  <si>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</si>
  <si>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</si>
  <si>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</si>
  <si>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</si>
  <si>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</si>
  <si>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</si>
  <si>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</si>
  <si>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</si>
  <si>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</si>
  <si>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</si>
  <si>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</si>
  <si>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</si>
  <si>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</si>
  <si>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</si>
  <si>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</si>
  <si>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</si>
  <si>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</si>
  <si>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</si>
  <si>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</si>
  <si>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</si>
  <si>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</si>
  <si>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</si>
  <si>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</si>
  <si>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</si>
  <si>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</si>
  <si>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</si>
  <si>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</si>
  <si>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</si>
  <si>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</si>
  <si>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</si>
  <si>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</si>
  <si>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</si>
  <si>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</si>
  <si>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</si>
  <si>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</si>
  <si>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</si>
  <si>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</si>
  <si>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</si>
  <si>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</si>
  <si>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</si>
  <si>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</si>
  <si>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</si>
  <si>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</si>
  <si>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</si>
  <si>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</si>
  <si>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</si>
  <si>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</si>
  <si>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</si>
  <si>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</si>
  <si>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</si>
  <si>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</si>
  <si>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</si>
  <si>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</si>
  <si>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</si>
  <si>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</si>
  <si>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</si>
  <si>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</si>
  <si>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</si>
  <si>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</si>
  <si>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</si>
  <si>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</si>
  <si>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</si>
  <si>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</si>
  <si>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</si>
  <si>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</si>
  <si>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</si>
  <si>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</si>
  <si>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</si>
  <si>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</si>
  <si>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</si>
  <si>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</si>
  <si>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</si>
  <si>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</si>
  <si>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</si>
  <si>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</si>
  <si>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</si>
  <si>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</si>
  <si>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</si>
  <si>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</si>
  <si>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</si>
  <si>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</si>
  <si>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</si>
  <si>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</si>
  <si>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</si>
  <si>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</si>
  <si>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</si>
  <si>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</si>
  <si>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</si>
  <si>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</si>
  <si>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</si>
  <si>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</si>
  <si>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</si>
  <si>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</si>
  <si>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</si>
  <si>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</si>
  <si>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</si>
  <si>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</si>
  <si>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</si>
  <si>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</si>
  <si>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</si>
  <si>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</si>
  <si>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</si>
  <si>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</si>
  <si>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</si>
  <si>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</si>
  <si>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</si>
  <si>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</si>
  <si>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</si>
  <si>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</si>
  <si>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</si>
  <si>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</si>
  <si>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</si>
  <si>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</si>
  <si>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</si>
  <si>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</si>
  <si>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</si>
  <si>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</si>
  <si>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</si>
  <si>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</si>
  <si>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</si>
  <si>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</si>
  <si>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</si>
  <si>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</si>
  <si>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</si>
  <si>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</si>
  <si>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</si>
  <si>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</si>
  <si>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</si>
  <si>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</si>
  <si>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</si>
  <si>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</si>
  <si>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</si>
  <si>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</si>
  <si>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</si>
  <si>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</si>
  <si>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</si>
  <si>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</si>
  <si>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</si>
  <si>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</si>
  <si>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</si>
  <si>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</si>
  <si>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</si>
  <si>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</si>
  <si>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</si>
  <si>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</si>
  <si>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</si>
  <si>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</si>
  <si>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</si>
  <si>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</si>
  <si>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</si>
  <si>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</si>
  <si>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</si>
  <si>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</si>
  <si>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</si>
  <si>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</si>
  <si>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</si>
  <si>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</si>
  <si>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</si>
  <si>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</si>
  <si>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</si>
  <si>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</si>
  <si>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</si>
  <si>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</si>
  <si>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</si>
  <si>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</si>
  <si>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</si>
  <si>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</si>
  <si>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</si>
  <si>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</si>
  <si>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</si>
  <si>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</si>
  <si>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</si>
  <si>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</si>
  <si>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</si>
  <si>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</si>
  <si>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</si>
  <si>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</si>
  <si>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</si>
  <si>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</si>
  <si>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</si>
  <si>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</si>
  <si>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</si>
  <si>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</si>
  <si>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</si>
  <si>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</si>
  <si>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</si>
  <si>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</si>
  <si>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</si>
  <si>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</si>
  <si>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</si>
  <si>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</si>
  <si>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</si>
  <si>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</si>
  <si>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</si>
  <si>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</si>
  <si>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</si>
  <si>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</si>
  <si>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</si>
  <si>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</si>
  <si>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</si>
  <si>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</si>
  <si>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</si>
  <si>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</si>
  <si>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</si>
  <si>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</si>
  <si>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</si>
  <si>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</si>
  <si>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</si>
  <si>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</si>
  <si>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</si>
  <si>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</si>
  <si>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</si>
  <si>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</si>
  <si>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</si>
  <si>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</si>
  <si>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</si>
  <si>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</si>
  <si>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</si>
  <si>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</si>
  <si>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</si>
  <si>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</si>
  <si>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</si>
  <si>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</si>
  <si>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</si>
  <si>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</si>
  <si>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</si>
  <si>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</si>
  <si>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</si>
  <si>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</si>
  <si>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</si>
  <si>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</si>
  <si>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</si>
  <si>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</si>
  <si>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</si>
  <si>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</si>
  <si>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</si>
  <si>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</si>
  <si>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</si>
  <si>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</si>
  <si>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</si>
  <si>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</si>
  <si>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</si>
  <si>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王鹏</t>
  </si>
  <si>
    <t>郑燚</t>
  </si>
  <si>
    <t>抵押</t>
  </si>
  <si>
    <t>房地产抵押价值</t>
  </si>
  <si>
    <t>已注销</t>
  </si>
  <si>
    <t>北京市四合庄兴鹏投资管理中心</t>
  </si>
  <si>
    <t>北京市四合庄兴鹏投资管理中心</t>
    <phoneticPr fontId="6" type="noConversion"/>
  </si>
  <si>
    <r>
      <rPr>
        <sz val="10"/>
        <color indexed="8"/>
        <rFont val="宋体"/>
        <family val="3"/>
        <charset val="134"/>
      </rPr>
      <t>农商银行</t>
    </r>
    <r>
      <rPr>
        <sz val="10"/>
        <color indexed="8"/>
        <rFont val="Arial"/>
        <family val="2"/>
      </rPr>
      <t>-</t>
    </r>
    <r>
      <rPr>
        <sz val="10"/>
        <color indexed="8"/>
        <rFont val="宋体"/>
        <family val="3"/>
        <charset val="134"/>
      </rPr>
      <t>丰台支行</t>
    </r>
    <phoneticPr fontId="6" type="noConversion"/>
  </si>
  <si>
    <t>北京市</t>
  </si>
  <si>
    <r>
      <rPr>
        <sz val="10"/>
        <color theme="9" tint="-0.249977111117893"/>
        <rFont val="宋体"/>
        <family val="3"/>
        <charset val="134"/>
      </rPr>
      <t>丰台区科技园东区三期</t>
    </r>
    <r>
      <rPr>
        <sz val="10"/>
        <color theme="9" tint="-0.249977111117893"/>
        <rFont val="Arial"/>
        <family val="2"/>
      </rPr>
      <t>1516-51</t>
    </r>
    <r>
      <rPr>
        <sz val="10"/>
        <color theme="9" tint="-0.249977111117893"/>
        <rFont val="宋体"/>
        <family val="3"/>
        <charset val="134"/>
      </rPr>
      <t>地块</t>
    </r>
    <phoneticPr fontId="6" type="noConversion"/>
  </si>
  <si>
    <t>企业</t>
  </si>
  <si>
    <t>出让</t>
  </si>
  <si>
    <t>复印件</t>
  </si>
  <si>
    <t>是</t>
  </si>
  <si>
    <t>否</t>
  </si>
  <si>
    <t>在建</t>
  </si>
  <si>
    <t>综合项目（商业、办公）</t>
  </si>
  <si>
    <t>无</t>
  </si>
  <si>
    <t>通路</t>
  </si>
  <si>
    <t>通电</t>
  </si>
  <si>
    <t>通讯</t>
  </si>
  <si>
    <t>通上水</t>
  </si>
  <si>
    <t>通下水</t>
  </si>
  <si>
    <t>燃气</t>
  </si>
  <si>
    <r>
      <t>1#</t>
    </r>
    <r>
      <rPr>
        <sz val="10"/>
        <color indexed="8"/>
        <rFont val="宋体"/>
        <family val="3"/>
        <charset val="134"/>
      </rPr>
      <t>商业办公楼</t>
    </r>
    <phoneticPr fontId="3" type="noConversion"/>
  </si>
  <si>
    <t>地上</t>
  </si>
  <si>
    <t>底商</t>
  </si>
  <si>
    <t>办公楼</t>
  </si>
  <si>
    <r>
      <t>2#商业办公楼</t>
    </r>
    <r>
      <rPr>
        <sz val="10"/>
        <color indexed="8"/>
        <rFont val="宋体"/>
        <family val="3"/>
        <charset val="134"/>
      </rPr>
      <t/>
    </r>
  </si>
  <si>
    <r>
      <t>3#商业办公楼</t>
    </r>
    <r>
      <rPr>
        <sz val="10"/>
        <color indexed="8"/>
        <rFont val="宋体"/>
        <family val="3"/>
        <charset val="134"/>
      </rPr>
      <t/>
    </r>
  </si>
  <si>
    <r>
      <t>4#商业办公楼</t>
    </r>
    <r>
      <rPr>
        <sz val="10"/>
        <color indexed="8"/>
        <rFont val="宋体"/>
        <family val="3"/>
        <charset val="134"/>
      </rPr>
      <t/>
    </r>
  </si>
  <si>
    <r>
      <t>5#</t>
    </r>
    <r>
      <rPr>
        <sz val="10"/>
        <color indexed="8"/>
        <rFont val="宋体"/>
        <family val="3"/>
        <charset val="134"/>
      </rPr>
      <t>商业</t>
    </r>
    <phoneticPr fontId="3" type="noConversion"/>
  </si>
  <si>
    <r>
      <t>6#商业</t>
    </r>
    <r>
      <rPr>
        <sz val="10"/>
        <color indexed="8"/>
        <rFont val="宋体"/>
        <family val="3"/>
        <charset val="134"/>
      </rPr>
      <t/>
    </r>
  </si>
  <si>
    <r>
      <t>7#</t>
    </r>
    <r>
      <rPr>
        <sz val="10"/>
        <color indexed="8"/>
        <rFont val="宋体"/>
        <family val="3"/>
        <charset val="134"/>
      </rPr>
      <t>商业及地下车库</t>
    </r>
    <phoneticPr fontId="3" type="noConversion"/>
  </si>
  <si>
    <t>地下</t>
  </si>
  <si>
    <t>车库</t>
  </si>
  <si>
    <t>商业</t>
    <phoneticPr fontId="7" type="noConversion"/>
  </si>
  <si>
    <t>办公</t>
    <phoneticPr fontId="7" type="noConversion"/>
  </si>
  <si>
    <t>地下车库</t>
    <phoneticPr fontId="7" type="noConversion"/>
  </si>
  <si>
    <t>工程进度</t>
  </si>
  <si>
    <r>
      <t>2#商业办公楼</t>
    </r>
    <r>
      <rPr>
        <sz val="10"/>
        <color indexed="8"/>
        <rFont val="宋体"/>
        <family val="3"/>
        <charset val="134"/>
      </rPr>
      <t/>
    </r>
    <phoneticPr fontId="3" type="noConversion"/>
  </si>
  <si>
    <r>
      <t>3#商业办公楼</t>
    </r>
    <r>
      <rPr>
        <sz val="10"/>
        <color indexed="8"/>
        <rFont val="宋体"/>
        <family val="3"/>
        <charset val="134"/>
      </rPr>
      <t/>
    </r>
    <phoneticPr fontId="3" type="noConversion"/>
  </si>
  <si>
    <r>
      <t>4#商业办公楼</t>
    </r>
    <r>
      <rPr>
        <sz val="10"/>
        <color indexed="8"/>
        <rFont val="宋体"/>
        <family val="3"/>
        <charset val="134"/>
      </rPr>
      <t/>
    </r>
    <phoneticPr fontId="3" type="noConversion"/>
  </si>
  <si>
    <r>
      <t>6#商业</t>
    </r>
    <r>
      <rPr>
        <sz val="10"/>
        <color indexed="8"/>
        <rFont val="宋体"/>
        <family val="3"/>
        <charset val="134"/>
      </rPr>
      <t/>
    </r>
    <phoneticPr fontId="3" type="noConversion"/>
  </si>
  <si>
    <t>楼号</t>
    <phoneticPr fontId="3" type="noConversion"/>
  </si>
  <si>
    <t>建筑面积</t>
    <phoneticPr fontId="3" type="noConversion"/>
  </si>
  <si>
    <t>工程进度</t>
    <phoneticPr fontId="3" type="noConversion"/>
  </si>
  <si>
    <t>封顶</t>
    <phoneticPr fontId="3" type="noConversion"/>
  </si>
  <si>
    <r>
      <rPr>
        <sz val="10"/>
        <color indexed="8"/>
        <rFont val="宋体"/>
        <family val="3"/>
        <charset val="134"/>
      </rPr>
      <t>正在进行</t>
    </r>
    <r>
      <rPr>
        <sz val="10"/>
        <color indexed="8"/>
        <rFont val="Arial"/>
        <family val="2"/>
      </rPr>
      <t>11</t>
    </r>
    <r>
      <rPr>
        <sz val="10"/>
        <color indexed="8"/>
        <rFont val="宋体"/>
        <family val="3"/>
        <charset val="134"/>
      </rPr>
      <t>层</t>
    </r>
    <phoneticPr fontId="3" type="noConversion"/>
  </si>
  <si>
    <t>正在进行9层</t>
    <phoneticPr fontId="3" type="noConversion"/>
  </si>
  <si>
    <t>工程情况</t>
    <phoneticPr fontId="3" type="noConversion"/>
  </si>
  <si>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</si>
  <si>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</si>
  <si>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</si>
  <si>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</si>
  <si>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</si>
  <si>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</si>
  <si>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</si>
  <si>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</si>
  <si>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</si>
  <si>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</si>
  <si>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</si>
  <si>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</si>
  <si>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</si>
  <si>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</si>
  <si>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</si>
  <si>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</si>
  <si>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</si>
  <si>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</si>
  <si>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</si>
  <si>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</si>
  <si>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</si>
  <si>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</si>
  <si>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</si>
  <si>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</si>
  <si>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</si>
  <si>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</si>
  <si>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</si>
  <si>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</si>
  <si>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</si>
  <si>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</si>
  <si>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</si>
  <si>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</si>
  <si>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</si>
  <si>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</si>
  <si>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</si>
  <si>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</si>
  <si>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</si>
  <si>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</si>
  <si>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</si>
  <si>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</si>
  <si>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</si>
  <si>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</si>
  <si>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</si>
  <si>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</si>
  <si>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</si>
  <si>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</si>
  <si>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</si>
  <si>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</si>
  <si>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</si>
  <si>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</si>
  <si>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菜户营、西罗园</t>
  </si>
  <si>
    <t>丰台区卢沟桥乡</t>
  </si>
  <si>
    <t>招标</t>
  </si>
  <si>
    <t>京土整储招(丰)[2018]014号</t>
  </si>
  <si>
    <t>F3其他类多功能用地</t>
  </si>
  <si>
    <t>≤40%</t>
  </si>
  <si>
    <t>≤150</t>
  </si>
  <si>
    <t>含租赁用地</t>
  </si>
  <si>
    <t>已完工</t>
  </si>
  <si>
    <t>2018-05-31</t>
  </si>
  <si>
    <t>2018-07-06</t>
  </si>
  <si>
    <t>已成交</t>
  </si>
  <si>
    <t>中证机构间报价系统股份有限公司和中国银河证券股份有限公司联合体</t>
  </si>
  <si>
    <t>中证机构间报价系统股份有限公司</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</si>
  <si>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</si>
  <si>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</si>
  <si>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</si>
  <si>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</si>
  <si>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</si>
  <si>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</si>
  <si>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</si>
  <si>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</si>
  <si>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</si>
  <si>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</si>
  <si>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</si>
  <si>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华夏人寿保险股份有限公司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</si>
  <si>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</si>
  <si>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</si>
  <si>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</si>
  <si>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</si>
  <si>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</si>
  <si>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</si>
  <si>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华润置地有限公司,中国金茂控股集团有限公司,北京首都开发股份有限公司</t>
  </si>
  <si>
    <t>商业40年办公50年</t>
  </si>
  <si>
    <t>丰台区花乡四合庄(中关村科技园丰台园东区三期)1516-28-B地块</t>
  </si>
  <si>
    <t>世界公园、宛平</t>
  </si>
  <si>
    <t>丰台区花乡四合庄</t>
  </si>
  <si>
    <t>京土整储挂(丰)[2015]038号</t>
  </si>
  <si>
    <t>2015-09-11</t>
  </si>
  <si>
    <t>2015-10-08</t>
  </si>
  <si>
    <t>2015-10-21</t>
  </si>
  <si>
    <t>宁波方兴投资咨询有限公司和碧桂园(北京)投资有限公司联合体</t>
  </si>
  <si>
    <t>中国金茂控股集团有限公司,碧桂园控股有限公司,保利发展控股集团股份有限公司</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</si>
  <si>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</si>
  <si>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</si>
  <si>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</si>
  <si>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</si>
  <si>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</si>
  <si>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</si>
  <si>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</si>
  <si>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</si>
  <si>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中铁置业集团有限公司</t>
  </si>
  <si>
    <t>丰台区花乡四合庄(中关村科技园丰台园东区三期)1516-12-A地块</t>
  </si>
  <si>
    <t>京土整储挂(丰)[2015]025号</t>
  </si>
  <si>
    <t>2015-06-11</t>
  </si>
  <si>
    <t>2015-07-01</t>
  </si>
  <si>
    <t>2015-07-15</t>
  </si>
  <si>
    <t>北京金丰融晟投资管理有限公司</t>
  </si>
  <si>
    <t>金融街控股股份有限公司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</si>
  <si>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</si>
  <si>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</si>
  <si>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</si>
  <si>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</si>
  <si>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</si>
  <si>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</si>
  <si>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</si>
  <si>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</si>
  <si>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</si>
  <si>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</si>
  <si>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</si>
  <si>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</si>
  <si>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</si>
  <si>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大连万达集团股份有限公司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</si>
  <si>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</si>
  <si>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</si>
  <si>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</si>
  <si>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</si>
  <si>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</si>
  <si>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</si>
  <si>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</si>
  <si>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t>
  </si>
  <si>
    <t>丰台区花乡樊家村</t>
  </si>
  <si>
    <t>京土整储挂(丰)[2014]081号</t>
  </si>
  <si>
    <t>B11零售商业用地</t>
  </si>
  <si>
    <t>2014-11-26</t>
  </si>
  <si>
    <t>2014-12-16</t>
  </si>
  <si>
    <t>2014-12-30</t>
  </si>
  <si>
    <t>北京龙湖中佰置业有限公司和北京泰瑞恒尚投资有限公司联合体</t>
  </si>
  <si>
    <t>龙湖集团控股有限公司</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</si>
  <si>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</si>
  <si>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</si>
  <si>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</si>
  <si>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</si>
  <si>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</si>
  <si>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</si>
  <si>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</si>
  <si>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</si>
  <si>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</si>
  <si>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</si>
  <si>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</si>
  <si>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</si>
  <si>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</si>
  <si>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</si>
  <si>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</si>
  <si>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</si>
  <si>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</si>
  <si>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</si>
  <si>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</si>
  <si>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</si>
  <si>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</si>
  <si>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</si>
  <si>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开工中</t>
  </si>
  <si>
    <t>2014-02-21</t>
  </si>
  <si>
    <t>2014-03-13</t>
  </si>
  <si>
    <t>2014-03-27</t>
  </si>
  <si>
    <t>商务金融</t>
  </si>
  <si>
    <t>商务金融</t>
    <phoneticPr fontId="31" type="noConversion"/>
  </si>
  <si>
    <t>其他类多功能</t>
  </si>
  <si>
    <t>其他类多功能</t>
    <phoneticPr fontId="31" type="noConversion"/>
  </si>
  <si>
    <t>一般</t>
  </si>
  <si>
    <t>较好</t>
  </si>
  <si>
    <t>七通</t>
  </si>
  <si>
    <t>双面临街</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</si>
  <si>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</si>
  <si>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</si>
  <si>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</si>
  <si>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</si>
  <si>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</si>
  <si>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</si>
  <si>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</si>
  <si>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</si>
  <si>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</si>
  <si>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</si>
  <si>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</si>
  <si>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</si>
  <si>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多面临街</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</si>
  <si>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</si>
  <si>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</si>
  <si>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</si>
  <si>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</si>
  <si>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</si>
  <si>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</si>
  <si>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</si>
  <si>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</si>
  <si>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</si>
  <si>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</si>
  <si>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自持20年</t>
    <phoneticPr fontId="31" type="noConversion"/>
  </si>
  <si>
    <t>恒泰广场、新年华购物中心</t>
    <phoneticPr fontId="31" type="noConversion"/>
  </si>
  <si>
    <t>万达广场、新年华购物中心</t>
    <phoneticPr fontId="31" type="noConversion"/>
  </si>
  <si>
    <t>丽泽商务区</t>
    <phoneticPr fontId="31" type="noConversion"/>
  </si>
  <si>
    <t>10号线、房山线</t>
    <phoneticPr fontId="31" type="noConversion"/>
  </si>
  <si>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</si>
  <si>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</si>
  <si>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</si>
  <si>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</si>
  <si>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</si>
  <si>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</si>
  <si>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</si>
  <si>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樊羊路</t>
    <phoneticPr fontId="31" type="noConversion"/>
  </si>
  <si>
    <t>丽泽路</t>
    <phoneticPr fontId="31" type="noConversion"/>
  </si>
  <si>
    <t>北京西站南路</t>
    <phoneticPr fontId="31" type="noConversion"/>
  </si>
  <si>
    <t>自持40年</t>
    <phoneticPr fontId="31" type="noConversion"/>
  </si>
  <si>
    <t>大观园、首都医科大学、中国戏曲学校</t>
    <phoneticPr fontId="31" type="noConversion"/>
  </si>
  <si>
    <t>未包含在土地购买价格中</t>
  </si>
  <si>
    <t>全部缴纳</t>
  </si>
  <si>
    <t>已包含在土地取得成本中</t>
  </si>
  <si>
    <t>在建（套用方法）</t>
  </si>
  <si>
    <t>押一</t>
  </si>
  <si>
    <t>按租金收入计税</t>
  </si>
  <si>
    <t>钢混</t>
  </si>
  <si>
    <t>非生产用房</t>
  </si>
  <si>
    <t>收益法</t>
  </si>
  <si>
    <t>自定义</t>
  </si>
  <si>
    <t>收益法车</t>
  </si>
  <si>
    <t>收益法车</t>
    <phoneticPr fontId="16" type="noConversion"/>
  </si>
  <si>
    <t>收益法商</t>
  </si>
  <si>
    <t>收益法商</t>
    <phoneticPr fontId="16" type="noConversion"/>
  </si>
  <si>
    <t>成本法</t>
  </si>
  <si>
    <t>项目全部</t>
  </si>
  <si>
    <t>1层</t>
    <phoneticPr fontId="3" type="noConversion"/>
  </si>
  <si>
    <t>2层</t>
    <phoneticPr fontId="3" type="noConversion"/>
  </si>
  <si>
    <t>3层</t>
    <phoneticPr fontId="3" type="noConversion"/>
  </si>
  <si>
    <t>地下1层</t>
    <phoneticPr fontId="3" type="noConversion"/>
  </si>
  <si>
    <t>系数</t>
    <phoneticPr fontId="3" type="noConversion"/>
  </si>
  <si>
    <t>租金</t>
    <phoneticPr fontId="3" type="noConversion"/>
  </si>
  <si>
    <t>假设开发法</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</si>
  <si>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</si>
  <si>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</si>
  <si>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</si>
  <si>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</si>
  <si>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</si>
  <si>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</si>
  <si>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</si>
  <si>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</si>
  <si>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</si>
  <si>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建设内容</t>
  </si>
  <si>
    <t>规划建筑面积</t>
  </si>
  <si>
    <t>地下商业</t>
  </si>
  <si>
    <t>设备及其他</t>
  </si>
  <si>
    <t>商务金融用地（办公类）</t>
  </si>
  <si>
    <t>按公示增长率计算</t>
  </si>
  <si>
    <t>2021-1</t>
    <phoneticPr fontId="3" type="noConversion"/>
  </si>
  <si>
    <t>2021-2</t>
    <phoneticPr fontId="140" type="noConversion"/>
  </si>
  <si>
    <t>楼层修正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</si>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</sst>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79" fillId="0" borderId="1" xfId="0" applyFont="1" applyBorder="1" applyAlignment="1" applyProtection="1">
      <alignment horizontal="right" vertical="center" wrapText="1"/>
      <protection locked="0"/>
    </xf>
    <xf numFmtId="0" fontId="49" fillId="0" borderId="1" xfId="0" applyFont="1" applyBorder="1" applyAlignment="1" applyProtection="1">
      <alignment horizontal="right" vertical="center" wrapText="1"/>
      <protection locked="0"/>
    </xf>
    <xf numFmtId="9" fontId="79" fillId="0" borderId="1" xfId="0" applyNumberFormat="1" applyFont="1" applyBorder="1" applyAlignment="1" applyProtection="1">
      <alignment horizontal="right" vertical="center" wrapText="1"/>
      <protection locked="0"/>
    </xf>
    <xf numFmtId="181" fontId="49" fillId="0" borderId="1" xfId="0" applyNumberFormat="1" applyFont="1" applyBorder="1" applyAlignment="1" applyProtection="1">
      <alignment horizontal="right" vertical="center" wrapText="1"/>
      <protection locked="0"/>
    </xf>
    <xf numFmtId="10" fontId="49" fillId="13" borderId="0" xfId="17" applyNumberFormat="1" applyFont="1" applyFill="1" applyAlignment="1" applyProtection="1">
      <alignment vertical="center"/>
      <protection locked="0"/>
    </xf>
    <xf numFmtId="0" fontId="255"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6" fillId="0" borderId="41" xfId="0" applyNumberFormat="1" applyFont="1" applyFill="1" applyBorder="1" applyAlignment="1" applyProtection="1">
      <alignment horizontal="center" vertical="center" wrapText="1"/>
      <protection locked="0"/>
    </xf>
    <xf numFmtId="0" fontId="255" fillId="5" borderId="0" xfId="0" applyFont="1" applyFill="1" applyAlignment="1"/>
    <xf numFmtId="0" fontId="257" fillId="0" borderId="44" xfId="0" applyNumberFormat="1" applyFont="1" applyFill="1" applyBorder="1" applyAlignment="1" applyProtection="1">
      <alignment horizontal="center" vertical="center" wrapText="1"/>
      <protection locked="0"/>
    </xf>
    <xf numFmtId="0" fontId="255" fillId="8" borderId="0" xfId="0" applyFont="1" applyFill="1" applyAlignment="1"/>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49" fontId="257" fillId="0" borderId="35"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2" fontId="49" fillId="0" borderId="1" xfId="0" applyNumberFormat="1" applyFont="1" applyBorder="1" applyAlignment="1" applyProtection="1">
      <alignment horizontal="left" vertical="center" wrapText="1"/>
      <protection locked="0"/>
    </xf>
    <xf numFmtId="2" fontId="49" fillId="13" borderId="0" xfId="0" applyNumberFormat="1" applyFont="1" applyFill="1" applyAlignment="1" applyProtection="1">
      <alignment horizontal="center" vertical="center"/>
      <protection locked="0"/>
    </xf>
    <xf numFmtId="0" fontId="260" fillId="13" borderId="0" xfId="0" applyFont="1" applyFill="1" applyAlignment="1" applyProtection="1">
      <alignment horizontal="center" vertical="center"/>
      <protection locked="0"/>
    </xf>
    <xf numFmtId="0" fontId="49" fillId="13" borderId="0" xfId="17" applyNumberFormat="1" applyFont="1" applyFill="1" applyAlignment="1" applyProtection="1">
      <alignment vertical="center"/>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60" fillId="7" borderId="0" xfId="0" applyFont="1" applyFill="1" applyProtection="1">
      <alignment vertical="center"/>
      <protection locked="0"/>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261" fillId="0" borderId="43" xfId="0" applyFont="1" applyBorder="1" applyAlignment="1">
      <alignment horizontal="center" vertical="center"/>
    </xf>
    <xf numFmtId="0" fontId="262" fillId="0" borderId="43" xfId="0" applyFont="1" applyBorder="1">
      <alignment vertical="center"/>
    </xf>
    <xf numFmtId="0" fontId="261" fillId="0" borderId="81" xfId="0" applyFont="1" applyBorder="1">
      <alignment vertical="center"/>
    </xf>
    <xf numFmtId="0" fontId="149" fillId="12" borderId="125" xfId="9" applyFont="1" applyFill="1" applyBorder="1" applyAlignment="1" applyProtection="1">
      <alignment horizontal="left" vertical="center" wrapText="1"/>
    </xf>
    <xf numFmtId="176" fontId="55" fillId="7" borderId="0" xfId="0" applyNumberFormat="1" applyFont="1" applyFill="1" applyAlignment="1" applyProtection="1">
      <alignment horizontal="center" vertical="center" wrapText="1"/>
      <protection locked="0"/>
    </xf>
    <xf numFmtId="2" fontId="60" fillId="0" borderId="1" xfId="8" applyNumberFormat="1"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81" fontId="103" fillId="19" borderId="1" xfId="0" applyNumberFormat="1" applyFont="1" applyFill="1" applyBorder="1" applyAlignment="1" applyProtection="1">
      <alignment horizontal="center" vertical="center"/>
      <protection locked="0"/>
    </xf>
    <xf numFmtId="0" fontId="46" fillId="19" borderId="23" xfId="0" applyFont="1" applyFill="1" applyBorder="1" applyAlignment="1" applyProtection="1">
      <alignment vertical="center"/>
      <protection locked="0"/>
    </xf>
    <xf numFmtId="177" fontId="46" fillId="19" borderId="1" xfId="1"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81" fontId="46" fillId="19" borderId="24" xfId="0" applyNumberFormat="1" applyFont="1" applyFill="1" applyBorder="1" applyAlignment="1" applyProtection="1">
      <alignment horizontal="center" vertical="center"/>
      <protection locked="0"/>
    </xf>
    <xf numFmtId="10" fontId="46" fillId="19" borderId="1" xfId="0" applyNumberFormat="1" applyFont="1" applyFill="1" applyBorder="1" applyAlignment="1" applyProtection="1">
      <alignment horizontal="center" vertical="center"/>
      <protection locked="0"/>
    </xf>
    <xf numFmtId="0" fontId="52" fillId="19" borderId="9"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1" fillId="0" borderId="63" xfId="0" applyFont="1" applyBorder="1" applyAlignment="1">
      <alignment horizontal="center" vertical="center"/>
    </xf>
    <xf numFmtId="0" fontId="261" fillId="0" borderId="64" xfId="0" applyFont="1" applyBorder="1" applyAlignment="1">
      <alignment horizontal="center" vertical="center"/>
    </xf>
    <xf numFmtId="0" fontId="261" fillId="0" borderId="65" xfId="0" applyFont="1" applyBorder="1" applyAlignment="1">
      <alignment horizontal="center" vertical="center"/>
    </xf>
    <xf numFmtId="0" fontId="261" fillId="0" borderId="27" xfId="0" applyFont="1" applyBorder="1" applyAlignment="1">
      <alignment horizontal="center" vertical="center"/>
    </xf>
    <xf numFmtId="0" fontId="261" fillId="0" borderId="81" xfId="0"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18</xdr:col>
      <xdr:colOff>112990</xdr:colOff>
      <xdr:row>58</xdr:row>
      <xdr:rowOff>18133</xdr:rowOff>
    </xdr:to>
    <xdr:pic>
      <xdr:nvPicPr>
        <xdr:cNvPr id="2" name="图片 1">
          <a:extLst>
            <a:ext uri="{FF2B5EF4-FFF2-40B4-BE49-F238E27FC236}">
              <a16:creationId xmlns="" xmlns:a16="http://schemas.microsoft.com/office/drawing/2014/main" id="{A3005CF8-74CA-42FF-98EA-BE7B9F26BE90}"/>
            </a:ext>
          </a:extLst>
        </xdr:cNvPr>
        <xdr:cNvPicPr>
          <a:picLocks noChangeAspect="1"/>
        </xdr:cNvPicPr>
      </xdr:nvPicPr>
      <xdr:blipFill>
        <a:blip xmlns:r="http://schemas.openxmlformats.org/officeDocument/2006/relationships" r:embed="rId1"/>
        <a:stretch>
          <a:fillRect/>
        </a:stretch>
      </xdr:blipFill>
      <xdr:spPr>
        <a:xfrm>
          <a:off x="609600" y="3535680"/>
          <a:ext cx="10476190" cy="73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北京市丰台区科技园东区三期1516-51地块出让国有建设用地使用权及在建建筑物房地产抵押价值预评估</v>
      </c>
    </row>
    <row r="3" spans="1:2" s="1358" customFormat="1">
      <c r="A3" s="1356" t="s">
        <v>1188</v>
      </c>
      <c r="B3" s="1357" t="str">
        <f>'预评函-封皮'!B40</f>
        <v>北京市四合庄兴鹏投资管理中心</v>
      </c>
    </row>
    <row r="4" spans="1:2" s="1358" customFormat="1">
      <c r="A4" s="1356" t="s">
        <v>1189</v>
      </c>
      <c r="B4" s="1357" t="str">
        <f ca="1">'预评函-封皮'!B46</f>
        <v>王鹏（注册号：1120050019)、郑燚（注册号：1120070131)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受贵公司委托，我公司对北京市丰台区科技园东区三期1516-51地块出让国有建设用地使用权及在建建筑物房地产抵押价值进行了预评估。</v>
      </c>
    </row>
    <row r="7" spans="1:2" s="1358" customFormat="1">
      <c r="A7" s="1356" t="s">
        <v>1231</v>
      </c>
      <c r="B7" s="1357" t="str">
        <f>'预评函-1'!A7</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为估价委托人在向农商银行-丰台支行办理贷款手续过程中，确定房地产抵押贷款额度提供参考依据而评估房地产抵押价值。</v>
      </c>
    </row>
    <row r="12" spans="1:2" s="1358" customFormat="1">
      <c r="A12" s="1356" t="s">
        <v>1193</v>
      </c>
      <c r="B12" s="1357" t="str">
        <f>'预评函-1'!A15</f>
        <v>2021年4月13日（评估专业人员实地查勘之日）</v>
      </c>
    </row>
    <row r="13" spans="1:2" s="1358" customFormat="1">
      <c r="A13" s="1356" t="s">
        <v>1194</v>
      </c>
      <c r="B13" s="1357"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200804</v>
      </c>
    </row>
    <row r="21" spans="1:2" s="1358" customFormat="1">
      <c r="A21" s="1356" t="s">
        <v>1202</v>
      </c>
      <c r="B21" s="1357">
        <f ca="1">'预评函-2'!D7</f>
        <v>18517</v>
      </c>
    </row>
    <row r="22" spans="1:2" s="1358" customFormat="1">
      <c r="A22" s="1356" t="s">
        <v>1203</v>
      </c>
      <c r="B22" s="1357" t="str">
        <f ca="1">'预评函-2'!D6</f>
        <v>贰拾亿零捌佰零肆万元整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200804</v>
      </c>
    </row>
    <row r="35" spans="1:2" s="1358" customFormat="1">
      <c r="A35" s="1356" t="s">
        <v>1242</v>
      </c>
      <c r="B35" s="1357">
        <f ca="1">'预评函-2'!D18</f>
        <v>18517</v>
      </c>
    </row>
    <row r="36" spans="1:2" s="1358" customFormat="1">
      <c r="A36" s="1356" t="s">
        <v>1209</v>
      </c>
      <c r="B36" s="1357" t="str">
        <f ca="1">'预评函-2'!D17</f>
        <v>贰拾亿零捌佰零肆万元整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北京市丰台区科技园东区三期1516-51地块出让国有建设用地使用权及在建建筑物房地产</v>
      </c>
    </row>
    <row r="42" spans="1:2" s="1358" customFormat="1">
      <c r="A42" s="1356" t="s">
        <v>1255</v>
      </c>
      <c r="B42" s="1357" t="str">
        <f>'预评函-3'!B2</f>
        <v>建筑面积</v>
      </c>
    </row>
    <row r="43" spans="1:2" s="1358" customFormat="1">
      <c r="A43" s="1356" t="s">
        <v>1256</v>
      </c>
      <c r="B43" s="1357">
        <f>'预评函-3'!B4</f>
        <v>108441.15</v>
      </c>
    </row>
    <row r="44" spans="1:2" s="1358" customFormat="1">
      <c r="A44" s="1356" t="s">
        <v>1240</v>
      </c>
      <c r="B44" s="1357" t="str">
        <f>'预评函-3'!C2</f>
        <v>(分摊)土地面积</v>
      </c>
    </row>
    <row r="45" spans="1:2" s="1358" customFormat="1">
      <c r="A45" s="1356" t="s">
        <v>1212</v>
      </c>
      <c r="B45" s="1357">
        <f>'预评函-3'!C4</f>
        <v>21904.55</v>
      </c>
    </row>
    <row r="46" spans="1:2" s="1358" customFormat="1">
      <c r="A46" s="1356" t="s">
        <v>1238</v>
      </c>
      <c r="B46" s="1357" t="str">
        <f>'预评函-3'!D2</f>
        <v>出让国有建设用地使用权价值</v>
      </c>
    </row>
    <row r="47" spans="1:2" s="1358" customFormat="1">
      <c r="A47" s="1356" t="s">
        <v>1213</v>
      </c>
      <c r="B47" s="1357">
        <f ca="1">'预评函-3'!D4</f>
        <v>167671</v>
      </c>
    </row>
    <row r="48" spans="1:2" s="1358" customFormat="1">
      <c r="A48" s="1356" t="s">
        <v>1214</v>
      </c>
      <c r="B48" s="1357">
        <f ca="1">'预评函-3'!E4</f>
        <v>15462</v>
      </c>
    </row>
    <row r="49" spans="1:2" s="1358" customFormat="1">
      <c r="A49" s="1356" t="s">
        <v>1215</v>
      </c>
      <c r="B49" s="1357" t="str">
        <f ca="1">'预评函-3'!D5</f>
        <v>壹拾陆亿柒仟陆佰柒拾壹万元整</v>
      </c>
    </row>
    <row r="50" spans="1:2" s="1358" customFormat="1">
      <c r="A50" s="1356" t="s">
        <v>1239</v>
      </c>
      <c r="B50" s="1357" t="str">
        <f>'预评函-3'!F2</f>
        <v>在建建筑物价值</v>
      </c>
    </row>
    <row r="51" spans="1:2" s="1358" customFormat="1">
      <c r="A51" s="1356" t="s">
        <v>1216</v>
      </c>
      <c r="B51" s="1357">
        <f ca="1">'预评函-3'!F4</f>
        <v>33133</v>
      </c>
    </row>
    <row r="52" spans="1:2" s="1358" customFormat="1">
      <c r="A52" s="1356" t="s">
        <v>1217</v>
      </c>
      <c r="B52" s="1357">
        <f ca="1">'预评函-3'!G4</f>
        <v>3055</v>
      </c>
    </row>
    <row r="53" spans="1:2" s="1358" customFormat="1">
      <c r="A53" s="1356" t="s">
        <v>1245</v>
      </c>
      <c r="B53" s="1357" t="str">
        <f ca="1">'预评函-3'!F5</f>
        <v>叁亿叁仟壹佰叁拾叁万元整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王鹏</v>
      </c>
    </row>
    <row r="71" spans="1:2">
      <c r="A71" s="1356" t="s">
        <v>1228</v>
      </c>
      <c r="B71" s="1357">
        <f ca="1">'预评函-4'!B4</f>
        <v>1120050019</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18" sqref="N18"/>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3031</v>
      </c>
      <c r="C17" s="1726"/>
    </row>
    <row r="18" spans="1:3">
      <c r="A18" s="1725" t="s">
        <v>1732</v>
      </c>
      <c r="B18" s="1725" t="s">
        <v>3328</v>
      </c>
      <c r="C18" s="1726"/>
    </row>
    <row r="19" spans="1:3">
      <c r="A19" s="1725" t="s">
        <v>1733</v>
      </c>
      <c r="B19" s="1725" t="s">
        <v>3330</v>
      </c>
      <c r="C19" s="1726"/>
    </row>
    <row r="20" spans="1:3">
      <c r="A20" s="1725" t="s">
        <v>1734</v>
      </c>
      <c r="B20" s="1725" t="s">
        <v>3347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科技园东区三期1516-51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51"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33" t="s">
        <v>832</v>
      </c>
      <c r="C54" s="1730" t="s">
        <v>1248</v>
      </c>
    </row>
    <row r="55" spans="1:4">
      <c r="A55" s="3151"/>
      <c r="B55" s="1733" t="s">
        <v>833</v>
      </c>
      <c r="C55" s="1730" t="s">
        <v>1249</v>
      </c>
    </row>
    <row r="56" spans="1:4">
      <c r="A56" s="3151"/>
      <c r="B56" s="1733" t="s">
        <v>834</v>
      </c>
      <c r="C56" s="1730" t="s">
        <v>1253</v>
      </c>
    </row>
    <row r="57" spans="1:4">
      <c r="A57" s="3151"/>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37" sqref="B37:D3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2910</v>
      </c>
      <c r="B1" s="3152"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153"/>
      <c r="D1" s="3153"/>
      <c r="E1" s="3153"/>
      <c r="F1" s="3153"/>
      <c r="G1" s="3153"/>
      <c r="H1" s="3153"/>
      <c r="I1" s="3154"/>
      <c r="J1" s="2688"/>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c r="T1" s="1924"/>
      <c r="U1" s="1924"/>
      <c r="V1" s="1924"/>
      <c r="W1" s="1924"/>
      <c r="X1" s="1924"/>
      <c r="Y1" s="1924"/>
      <c r="Z1" s="1924"/>
      <c r="AA1" s="1924"/>
      <c r="AB1" s="1924"/>
    </row>
    <row r="2" spans="1:28">
      <c r="A2" s="2584" t="s">
        <v>2911</v>
      </c>
      <c r="B2" s="2588"/>
      <c r="C2" s="2589"/>
      <c r="D2" s="2889"/>
      <c r="E2" s="2879"/>
      <c r="F2" s="2879"/>
      <c r="G2" s="2880"/>
      <c r="H2" s="2880"/>
      <c r="I2" s="2880"/>
      <c r="J2" s="2688"/>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c r="T2" s="1924"/>
      <c r="U2" s="1924"/>
      <c r="V2" s="1924"/>
      <c r="W2" s="1924"/>
      <c r="X2" s="1924"/>
      <c r="Y2" s="1924"/>
      <c r="Z2" s="1924"/>
      <c r="AA2" s="1924"/>
      <c r="AB2" s="1924"/>
    </row>
    <row r="3" spans="1:28">
      <c r="A3" s="308" t="s">
        <v>2912</v>
      </c>
      <c r="B3" s="2590">
        <v>44299</v>
      </c>
      <c r="C3" s="2591" t="s">
        <v>2913</v>
      </c>
      <c r="D3" s="2590">
        <f>B3</f>
        <v>44299</v>
      </c>
      <c r="E3" s="2880"/>
      <c r="F3" s="2880"/>
      <c r="G3" s="2880"/>
      <c r="H3" s="2880"/>
      <c r="I3" s="2880"/>
      <c r="J3" s="2688"/>
      <c r="K3" s="2585"/>
      <c r="L3" s="2586"/>
      <c r="M3" s="2586"/>
      <c r="N3" s="2587"/>
      <c r="O3" s="1755"/>
      <c r="P3" s="2587"/>
      <c r="Q3" s="2587"/>
      <c r="R3" s="2587"/>
      <c r="S3" s="1861"/>
      <c r="T3" s="1924"/>
      <c r="U3" s="1924"/>
      <c r="V3" s="1924"/>
      <c r="W3" s="1924"/>
      <c r="X3" s="1924"/>
      <c r="Y3" s="1924"/>
      <c r="Z3" s="1924"/>
      <c r="AA3" s="1924"/>
      <c r="AB3" s="1924"/>
    </row>
    <row r="4" spans="1:28" ht="13.5" thickBot="1">
      <c r="A4" s="1244" t="s">
        <v>2914</v>
      </c>
      <c r="B4" s="2592" t="s">
        <v>3053</v>
      </c>
      <c r="C4" s="2593">
        <f ca="1">SUMIF(注册房地产估价师,B4,估价师及机构信息!B3:B24)</f>
        <v>1120050019</v>
      </c>
      <c r="D4" s="2592" t="s">
        <v>3054</v>
      </c>
      <c r="E4" s="2594">
        <f ca="1">SUMIF(注册房地产估价师,D4,估价师及机构信息!B3:B24)</f>
        <v>1120070131</v>
      </c>
      <c r="F4" s="2592"/>
      <c r="G4" s="2594">
        <f>SUMIF(注册房地产估价师,F4,估价师及机构信息!B3:B24)</f>
        <v>0</v>
      </c>
      <c r="H4" s="2592"/>
      <c r="I4" s="2594">
        <f>SUMIF(注册房地产估价师,H4,估价师及机构信息!B3:B24)</f>
        <v>0</v>
      </c>
      <c r="J4" s="2657"/>
      <c r="K4" s="2595" t="str">
        <f ca="1">CONCATENATE(B4,"（注册号：",C4,")、",D4,"（注册号：",E4,")")</f>
        <v>王鹏（注册号：1120050019)、郑燚（注册号：1120070131)</v>
      </c>
      <c r="L4" s="2586"/>
      <c r="M4" s="2586"/>
      <c r="N4" s="2587"/>
      <c r="O4" s="1755"/>
      <c r="P4" s="2587"/>
      <c r="Q4" s="2587"/>
      <c r="R4" s="2587"/>
      <c r="S4" s="1861"/>
      <c r="T4" s="1924"/>
      <c r="U4" s="1924"/>
      <c r="V4" s="1924"/>
      <c r="W4" s="1924"/>
      <c r="X4" s="1924"/>
      <c r="Y4" s="1924"/>
      <c r="Z4" s="1924"/>
      <c r="AA4" s="1924"/>
      <c r="AB4" s="1924"/>
    </row>
    <row r="5" spans="1:28" ht="12" customHeight="1" thickTop="1">
      <c r="A5" s="2596" t="s">
        <v>2915</v>
      </c>
      <c r="B5" s="3052" t="s">
        <v>3059</v>
      </c>
      <c r="C5" s="2597"/>
      <c r="D5" s="2598"/>
      <c r="E5" s="2881"/>
      <c r="F5" s="2881"/>
      <c r="G5" s="2881"/>
      <c r="H5" s="2881"/>
      <c r="I5" s="2881"/>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2916</v>
      </c>
      <c r="B6" s="2600" t="s">
        <v>3060</v>
      </c>
      <c r="C6" s="2601"/>
      <c r="D6" s="2602"/>
      <c r="E6" s="2879"/>
      <c r="F6" s="2881"/>
      <c r="G6" s="2881"/>
      <c r="H6" s="2881"/>
      <c r="I6" s="2881"/>
      <c r="J6" s="2657"/>
      <c r="K6" s="2831" t="str">
        <f>IF(COUNTIF(B6,"*上海银行*"),"上海银行","")</f>
        <v/>
      </c>
      <c r="L6" s="2829"/>
      <c r="M6" s="2829"/>
      <c r="N6" s="2657"/>
      <c r="O6" s="2668"/>
      <c r="P6" s="2657"/>
      <c r="Q6" s="2657"/>
      <c r="R6" s="2657"/>
    </row>
    <row r="7" spans="1:28">
      <c r="A7" s="2599" t="s">
        <v>2917</v>
      </c>
      <c r="B7" s="2603"/>
      <c r="C7" s="2601"/>
      <c r="D7" s="2602"/>
      <c r="E7" s="2879"/>
      <c r="F7" s="2881"/>
      <c r="G7" s="2881"/>
      <c r="H7" s="2881"/>
      <c r="I7" s="2881"/>
      <c r="J7" s="2657"/>
      <c r="K7" s="2832"/>
      <c r="L7" s="2829"/>
      <c r="M7" s="2829"/>
      <c r="N7" s="2657"/>
      <c r="O7" s="2668"/>
      <c r="P7" s="2657"/>
      <c r="Q7" s="2657"/>
      <c r="R7" s="2657"/>
    </row>
    <row r="8" spans="1:28">
      <c r="A8" s="2604" t="s">
        <v>2918</v>
      </c>
      <c r="B8" s="2605" t="s">
        <v>3055</v>
      </c>
      <c r="C8" s="2606"/>
      <c r="D8" s="3155" t="s">
        <v>2919</v>
      </c>
      <c r="E8" s="2607" t="s">
        <v>3057</v>
      </c>
      <c r="F8" s="2608"/>
      <c r="G8" s="2880"/>
      <c r="H8" s="2880"/>
      <c r="I8" s="2880"/>
      <c r="J8" s="2657"/>
      <c r="K8" s="2830"/>
      <c r="L8" s="2829"/>
      <c r="M8" s="2829"/>
      <c r="N8" s="2657"/>
      <c r="O8" s="2668"/>
      <c r="P8" s="2657"/>
      <c r="Q8" s="2657"/>
      <c r="R8" s="2657"/>
    </row>
    <row r="9" spans="1:28" ht="13.5" thickBot="1">
      <c r="A9" s="2609" t="s">
        <v>2920</v>
      </c>
      <c r="B9" s="2610" t="s">
        <v>3056</v>
      </c>
      <c r="C9" s="2611"/>
      <c r="D9" s="3156"/>
      <c r="E9" s="2610"/>
      <c r="F9" s="2612"/>
      <c r="G9" s="2882"/>
      <c r="H9" s="2882"/>
      <c r="I9" s="2882"/>
      <c r="J9" s="2657"/>
      <c r="K9" s="2832"/>
      <c r="L9" s="2829"/>
      <c r="M9" s="2829"/>
      <c r="N9" s="2657"/>
      <c r="O9" s="2668"/>
      <c r="P9" s="2657"/>
      <c r="Q9" s="2657"/>
      <c r="R9" s="2657"/>
    </row>
    <row r="10" spans="1:28" ht="13.5" thickTop="1">
      <c r="A10" s="2613" t="s">
        <v>2921</v>
      </c>
      <c r="B10" s="2614" t="s">
        <v>3061</v>
      </c>
      <c r="C10" s="2615"/>
      <c r="D10" s="2598"/>
      <c r="E10" s="2616" t="s">
        <v>2922</v>
      </c>
      <c r="F10" s="2883" t="s">
        <v>3062</v>
      </c>
      <c r="G10" s="2884"/>
      <c r="H10" s="2885"/>
      <c r="I10" s="2886"/>
      <c r="J10" s="2657"/>
      <c r="K10" s="2832"/>
      <c r="L10" s="2829"/>
      <c r="M10" s="2829"/>
      <c r="N10" s="2657"/>
      <c r="O10" s="2668"/>
      <c r="P10" s="2657"/>
      <c r="Q10" s="2657"/>
      <c r="R10" s="2657"/>
    </row>
    <row r="11" spans="1:28">
      <c r="A11" s="2617" t="s">
        <v>2923</v>
      </c>
      <c r="B11" s="2618" t="s">
        <v>3063</v>
      </c>
      <c r="C11" s="2619"/>
      <c r="D11" s="2620"/>
      <c r="E11" s="2587"/>
      <c r="F11" s="2587"/>
      <c r="G11" s="2587"/>
      <c r="H11" s="2587"/>
      <c r="I11" s="2587"/>
      <c r="J11" s="2657"/>
      <c r="K11" s="2832"/>
      <c r="L11" s="2829"/>
      <c r="M11" s="2829"/>
      <c r="N11" s="2657"/>
      <c r="O11" s="2668"/>
      <c r="P11" s="2657"/>
      <c r="Q11" s="2657"/>
      <c r="R11" s="2657"/>
    </row>
    <row r="12" spans="1:28">
      <c r="A12" s="2621" t="s">
        <v>2924</v>
      </c>
      <c r="B12" s="2618" t="s">
        <v>3064</v>
      </c>
      <c r="C12" s="329" t="s">
        <v>2925</v>
      </c>
      <c r="D12" s="2622" t="s">
        <v>2926</v>
      </c>
      <c r="E12" s="2622" t="s">
        <v>2927</v>
      </c>
      <c r="F12" s="2622" t="s">
        <v>2928</v>
      </c>
      <c r="G12" s="2622" t="s">
        <v>2929</v>
      </c>
      <c r="H12" s="2622" t="s">
        <v>2930</v>
      </c>
      <c r="I12" s="2622" t="s">
        <v>2931</v>
      </c>
      <c r="J12" s="2657"/>
      <c r="K12" s="2832"/>
      <c r="L12" s="2829"/>
      <c r="M12" s="2829"/>
      <c r="N12" s="2657"/>
      <c r="O12" s="2668"/>
      <c r="P12" s="2657"/>
      <c r="Q12" s="2657"/>
      <c r="R12" s="2657"/>
    </row>
    <row r="13" spans="1:28">
      <c r="A13" s="1235"/>
      <c r="B13" s="2623"/>
      <c r="C13" s="2624" t="s">
        <v>2932</v>
      </c>
      <c r="D13" s="959"/>
      <c r="E13" s="959">
        <v>56366</v>
      </c>
      <c r="F13" s="959">
        <v>60019</v>
      </c>
      <c r="G13" s="959">
        <v>60019</v>
      </c>
      <c r="H13" s="959"/>
      <c r="I13" s="959"/>
      <c r="J13" s="2657"/>
      <c r="K13" s="2832"/>
      <c r="L13" s="2829"/>
      <c r="M13" s="2829"/>
      <c r="N13" s="2657"/>
      <c r="O13" s="2668"/>
      <c r="P13" s="2657"/>
      <c r="Q13" s="2657"/>
      <c r="R13" s="2657"/>
    </row>
    <row r="14" spans="1:28">
      <c r="A14" s="1235"/>
      <c r="B14" s="2623"/>
      <c r="C14" s="2624" t="s">
        <v>2933</v>
      </c>
      <c r="D14" s="2625"/>
      <c r="E14" s="2625">
        <v>40</v>
      </c>
      <c r="F14" s="2625">
        <v>50</v>
      </c>
      <c r="G14" s="2625">
        <v>50</v>
      </c>
      <c r="H14" s="2625"/>
      <c r="I14" s="2625"/>
      <c r="J14" s="2657"/>
      <c r="K14" s="2833"/>
      <c r="L14" s="2829"/>
      <c r="M14" s="2829"/>
      <c r="N14" s="2657"/>
      <c r="O14" s="2668"/>
      <c r="P14" s="2657"/>
      <c r="Q14" s="2657"/>
      <c r="R14" s="2657"/>
    </row>
    <row r="15" spans="1:28">
      <c r="A15" s="326"/>
      <c r="B15" s="2626"/>
      <c r="C15" s="2627" t="s">
        <v>2934</v>
      </c>
      <c r="D15" s="2628" t="str">
        <f>IF(B12="出让",IF(D13="","",ROUNDDOWN(MIN((D13-$D$3)/365,D14),2)),D14)</f>
        <v/>
      </c>
      <c r="E15" s="2628">
        <f>IF(B12="出让",IF(E13="","",ROUNDDOWN(MIN((E13-$D$3)/365,E14),2)),E14)</f>
        <v>33.06</v>
      </c>
      <c r="F15" s="2628">
        <f>IF(B12="出让",IF(F13="","",ROUNDDOWN(MIN((F13-$D$3)/365,F14),2)),F14)</f>
        <v>43.06</v>
      </c>
      <c r="G15" s="2628">
        <f>IF(B12="出让",IF(G13="","",ROUNDDOWN(MIN((G13-$D$3)/365,G14),2)),G14)</f>
        <v>43.06</v>
      </c>
      <c r="H15" s="2628" t="str">
        <f>IF(B12="出让",IF(H13="","",ROUNDDOWN(MIN((H13-$D$3)/365,H14),2)),H14)</f>
        <v/>
      </c>
      <c r="I15" s="2628" t="str">
        <f>IF(B12="出让",IF(I13="","",ROUNDDOWN(MIN((I13-$D$3)/365,I14),2)),I14)</f>
        <v/>
      </c>
      <c r="J15" s="2657"/>
      <c r="K15" s="2834"/>
      <c r="L15" s="2669"/>
      <c r="M15" s="2669"/>
      <c r="N15" s="2725"/>
      <c r="O15" s="2669"/>
      <c r="P15" s="2725"/>
      <c r="Q15" s="2657"/>
      <c r="R15" s="2657"/>
    </row>
    <row r="16" spans="1:28">
      <c r="A16" s="2616" t="s">
        <v>2935</v>
      </c>
      <c r="B16" s="3162"/>
      <c r="C16" s="3163"/>
      <c r="D16" s="3164"/>
      <c r="E16" s="2631" t="s">
        <v>2936</v>
      </c>
      <c r="F16" s="3165"/>
      <c r="G16" s="3166"/>
      <c r="H16" s="3166"/>
      <c r="I16" s="3167"/>
      <c r="J16" s="2657"/>
      <c r="K16" s="2834"/>
      <c r="L16" s="2669"/>
      <c r="M16" s="2669"/>
      <c r="N16" s="2725"/>
      <c r="O16" s="2669"/>
      <c r="P16" s="2725"/>
      <c r="Q16" s="2657"/>
      <c r="R16" s="2657"/>
    </row>
    <row r="17" spans="1:28">
      <c r="A17" s="319" t="s">
        <v>2937</v>
      </c>
      <c r="B17" s="308" t="s">
        <v>2938</v>
      </c>
      <c r="C17" s="11">
        <f>'数据-汇总表'!E3</f>
        <v>108441.15</v>
      </c>
      <c r="D17" s="2538" t="s">
        <v>2939</v>
      </c>
      <c r="E17" s="3168" t="s">
        <v>2940</v>
      </c>
      <c r="F17" s="3169"/>
      <c r="G17" s="3169"/>
      <c r="H17" s="3169"/>
      <c r="I17" s="3170"/>
      <c r="J17" s="2657"/>
      <c r="K17" s="2835"/>
      <c r="L17" s="2669"/>
      <c r="M17" s="2669"/>
      <c r="N17" s="2725"/>
      <c r="O17" s="2669"/>
      <c r="P17" s="2725"/>
      <c r="Q17" s="2657"/>
      <c r="R17" s="2657"/>
      <c r="S17" s="2657"/>
      <c r="T17" s="2657"/>
      <c r="U17" s="2657"/>
      <c r="V17" s="2657"/>
    </row>
    <row r="18" spans="1:28" ht="24.75" thickBot="1">
      <c r="A18" s="2632" t="s">
        <v>2941</v>
      </c>
      <c r="B18" s="1244" t="s">
        <v>2942</v>
      </c>
      <c r="C18" s="2633">
        <f>'数据-汇总表'!D3</f>
        <v>21904.55</v>
      </c>
      <c r="D18" s="1246" t="s">
        <v>2943</v>
      </c>
      <c r="E18" s="3171" t="s">
        <v>2944</v>
      </c>
      <c r="F18" s="3172"/>
      <c r="G18" s="3172"/>
      <c r="H18" s="3172"/>
      <c r="I18" s="3173"/>
      <c r="J18" s="2657"/>
      <c r="K18" s="2835"/>
      <c r="L18" s="2669"/>
      <c r="M18" s="2669"/>
      <c r="N18" s="2725"/>
      <c r="O18" s="2669"/>
      <c r="P18" s="2725"/>
      <c r="Q18" s="2657"/>
      <c r="R18" s="2657"/>
      <c r="S18" s="2657"/>
      <c r="T18" s="2657"/>
      <c r="U18" s="2657"/>
      <c r="V18" s="2657"/>
    </row>
    <row r="19" spans="1:28" ht="39.75" thickTop="1" thickBot="1">
      <c r="A19" s="333" t="s">
        <v>1741</v>
      </c>
      <c r="B19" s="313" t="s">
        <v>2945</v>
      </c>
      <c r="C19" s="1742" t="s">
        <v>3066</v>
      </c>
      <c r="D19" s="1743" t="s">
        <v>2946</v>
      </c>
      <c r="E19" s="1744" t="s">
        <v>3067</v>
      </c>
      <c r="F19" s="1745" t="str">
        <f>IF(AND(C19="是",E19="否"),"是否提供他项权证或相关说明","")</f>
        <v>是否提供他项权证或相关说明</v>
      </c>
      <c r="G19" s="1746" t="s">
        <v>3067</v>
      </c>
      <c r="H19" s="2881"/>
      <c r="I19" s="2881"/>
      <c r="J19" s="2657"/>
      <c r="K19" s="2832"/>
      <c r="L19" s="2829"/>
      <c r="M19" s="2829"/>
      <c r="N19" s="2725"/>
      <c r="O19" s="2669"/>
      <c r="P19" s="2725"/>
      <c r="Q19" s="2657"/>
      <c r="R19" s="2657"/>
      <c r="S19" s="2657"/>
      <c r="T19" s="2657"/>
      <c r="U19" s="2657"/>
      <c r="V19" s="2657"/>
    </row>
    <row r="20" spans="1:28">
      <c r="A20" s="2849" t="s">
        <v>2947</v>
      </c>
      <c r="B20" s="3158" t="s">
        <v>2948</v>
      </c>
      <c r="C20" s="3159"/>
      <c r="D20" s="3160" t="s">
        <v>2949</v>
      </c>
      <c r="E20" s="3161"/>
      <c r="F20" s="2864" t="s">
        <v>1742</v>
      </c>
      <c r="G20" s="2881"/>
      <c r="H20" s="2881"/>
      <c r="I20" s="2881"/>
      <c r="J20" s="2657"/>
      <c r="K20" s="3157"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2951</v>
      </c>
      <c r="C21" s="2851" t="s">
        <v>3065</v>
      </c>
      <c r="D21" s="1747" t="s">
        <v>2952</v>
      </c>
      <c r="E21" s="2852" t="s">
        <v>70</v>
      </c>
      <c r="F21" s="2865"/>
      <c r="G21" s="2881"/>
      <c r="H21" s="2881"/>
      <c r="I21" s="2881"/>
      <c r="J21" s="2657"/>
      <c r="K21" s="31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2953</v>
      </c>
      <c r="C22" s="2851" t="s">
        <v>1743</v>
      </c>
      <c r="D22" s="2880"/>
      <c r="E22" s="2880"/>
      <c r="F22" s="2880"/>
      <c r="G22" s="2881"/>
      <c r="H22" s="2881"/>
      <c r="I22" s="2881"/>
      <c r="J22" s="2657"/>
      <c r="K22" s="31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2954</v>
      </c>
      <c r="B23" s="2718" t="s">
        <v>2955</v>
      </c>
      <c r="C23" s="2855">
        <v>43629</v>
      </c>
      <c r="D23" s="2856" t="s">
        <v>2955</v>
      </c>
      <c r="E23" s="2857"/>
      <c r="F23" s="2880"/>
      <c r="G23" s="2881"/>
      <c r="H23" s="2881"/>
      <c r="I23" s="2881"/>
      <c r="J23" s="2657"/>
      <c r="K23" s="2836"/>
      <c r="L23" s="2692"/>
      <c r="M23" s="2829"/>
      <c r="N23" s="2725"/>
      <c r="O23" s="2669"/>
      <c r="P23" s="2725"/>
      <c r="Q23" s="2657"/>
      <c r="R23" s="2657"/>
      <c r="S23" s="2657"/>
      <c r="T23" s="2657"/>
      <c r="U23" s="2657"/>
      <c r="V23" s="2657"/>
    </row>
    <row r="24" spans="1:28">
      <c r="A24" s="2854"/>
      <c r="B24" s="2718" t="s">
        <v>1744</v>
      </c>
      <c r="C24" s="2858"/>
      <c r="D24" s="2854" t="s">
        <v>1744</v>
      </c>
      <c r="E24" s="2859"/>
      <c r="F24" s="2880"/>
      <c r="G24" s="2881"/>
      <c r="H24" s="2881"/>
      <c r="I24" s="2881"/>
      <c r="J24" s="2657"/>
      <c r="K24" s="2836"/>
      <c r="L24" s="2692"/>
      <c r="M24" s="2829"/>
      <c r="N24" s="2725"/>
      <c r="O24" s="2669"/>
      <c r="P24" s="2725"/>
      <c r="Q24" s="2657"/>
      <c r="R24" s="2657"/>
      <c r="S24" s="2657"/>
      <c r="T24" s="2657"/>
      <c r="U24" s="2657"/>
      <c r="V24" s="2657"/>
    </row>
    <row r="25" spans="1:28">
      <c r="A25" s="2854"/>
      <c r="B25" s="2718" t="s">
        <v>1745</v>
      </c>
      <c r="C25" s="2858"/>
      <c r="D25" s="2854" t="s">
        <v>1745</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1746</v>
      </c>
      <c r="C26" s="2862"/>
      <c r="D26" s="2860" t="s">
        <v>1746</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75" t="s">
        <v>2956</v>
      </c>
      <c r="B27" s="326" t="s">
        <v>2957</v>
      </c>
      <c r="C27" s="2634" t="s">
        <v>3069</v>
      </c>
      <c r="D27" s="2635"/>
      <c r="E27" s="2881"/>
      <c r="F27" s="2881"/>
      <c r="G27" s="2881"/>
      <c r="H27" s="2881"/>
      <c r="I27" s="2881"/>
      <c r="J27" s="2657"/>
      <c r="K27" s="2834"/>
      <c r="L27" s="2669"/>
      <c r="M27" s="2669"/>
      <c r="N27" s="2725"/>
      <c r="O27" s="2669"/>
      <c r="P27" s="2725"/>
      <c r="Q27" s="2657"/>
      <c r="R27" s="2657"/>
      <c r="S27" s="2657"/>
      <c r="T27" s="2657"/>
      <c r="U27" s="2657"/>
      <c r="V27" s="2657"/>
    </row>
    <row r="28" spans="1:28">
      <c r="A28" s="3175"/>
      <c r="B28" s="308" t="s">
        <v>2958</v>
      </c>
      <c r="C28" s="2636" t="s">
        <v>3070</v>
      </c>
      <c r="D28" s="2637"/>
      <c r="E28" s="2881"/>
      <c r="F28" s="2881"/>
      <c r="G28" s="2881"/>
      <c r="H28" s="2881"/>
      <c r="I28" s="2881"/>
      <c r="J28" s="2657"/>
      <c r="K28" s="2832"/>
      <c r="L28" s="2829"/>
      <c r="M28" s="2829"/>
      <c r="N28" s="2657"/>
      <c r="O28" s="2668"/>
      <c r="P28" s="2657"/>
      <c r="Q28" s="2657"/>
      <c r="R28" s="2657"/>
      <c r="S28" s="2657"/>
      <c r="T28" s="2657"/>
      <c r="U28" s="2657"/>
      <c r="V28" s="2657"/>
    </row>
    <row r="29" spans="1:28">
      <c r="A29" s="3175"/>
      <c r="B29" s="308" t="s">
        <v>2959</v>
      </c>
      <c r="C29" s="2638" t="s">
        <v>3067</v>
      </c>
      <c r="D29" s="2639"/>
      <c r="E29" s="2881"/>
      <c r="F29" s="2881"/>
      <c r="G29" s="2881"/>
      <c r="H29" s="2881"/>
      <c r="I29" s="2881"/>
      <c r="J29" s="2657"/>
      <c r="K29" s="2832"/>
      <c r="L29" s="2829"/>
      <c r="M29" s="2829"/>
      <c r="N29" s="2657"/>
      <c r="O29" s="2668"/>
      <c r="P29" s="2657"/>
      <c r="Q29" s="2657"/>
      <c r="R29" s="2657"/>
      <c r="S29" s="2657"/>
      <c r="T29" s="2657"/>
      <c r="U29" s="2657"/>
      <c r="V29" s="2657"/>
    </row>
    <row r="30" spans="1:28">
      <c r="A30" s="3176"/>
      <c r="B30" s="308" t="s">
        <v>2960</v>
      </c>
      <c r="C30" s="3177"/>
      <c r="D30" s="3178"/>
      <c r="E30" s="2881"/>
      <c r="F30" s="2881"/>
      <c r="G30" s="2881"/>
      <c r="H30" s="2881"/>
      <c r="I30" s="2881"/>
      <c r="J30" s="2657"/>
      <c r="K30" s="2832"/>
      <c r="L30" s="2829"/>
      <c r="M30" s="2829"/>
      <c r="N30" s="2657"/>
      <c r="O30" s="2668"/>
      <c r="P30" s="2657"/>
      <c r="Q30" s="2657"/>
      <c r="R30" s="2657"/>
      <c r="S30" s="2657"/>
      <c r="T30" s="2657"/>
      <c r="U30" s="2657"/>
      <c r="V30" s="2657"/>
    </row>
    <row r="31" spans="1:28">
      <c r="A31" s="3179" t="s">
        <v>2961</v>
      </c>
      <c r="B31" s="2640" t="s">
        <v>3068</v>
      </c>
      <c r="C31" s="2539" t="str">
        <f>IF(B31="现房","成新及维护状况正常否",IF(B31="在建","工程状态是否正常",IF(B31="土地","是否闲置","-")))</f>
        <v>工程状态是否正常</v>
      </c>
      <c r="D31" s="1551"/>
      <c r="E31" s="2641"/>
      <c r="F31" s="2881"/>
      <c r="G31" s="2881"/>
      <c r="H31" s="2881"/>
      <c r="I31" s="2881"/>
      <c r="J31" s="2657"/>
      <c r="K31" s="2831"/>
      <c r="L31" s="2829"/>
      <c r="M31" s="2829"/>
      <c r="N31" s="2657"/>
      <c r="O31" s="2668"/>
      <c r="P31" s="2657"/>
      <c r="Q31" s="2657"/>
      <c r="R31" s="2657"/>
      <c r="S31" s="2657"/>
      <c r="T31" s="2657"/>
      <c r="U31" s="2657"/>
      <c r="V31" s="2657"/>
    </row>
    <row r="32" spans="1:28">
      <c r="A32" s="3180"/>
      <c r="B32" s="2640"/>
      <c r="C32" s="2539" t="str">
        <f>IF(B32="现房","成新及维护状况是否正常",IF(B32="在建","工程状态是否正常",IF(B32="土地","是否闲置","-")))</f>
        <v>-</v>
      </c>
      <c r="D32" s="1551"/>
      <c r="E32" s="2641"/>
      <c r="F32" s="2881"/>
      <c r="G32" s="2881"/>
      <c r="H32" s="2881"/>
      <c r="I32" s="2881"/>
      <c r="J32" s="2657"/>
      <c r="K32" s="2832"/>
      <c r="L32" s="2829"/>
      <c r="M32" s="2829"/>
      <c r="N32" s="2657"/>
      <c r="O32" s="2668"/>
      <c r="P32" s="2657"/>
      <c r="Q32" s="2657"/>
      <c r="R32" s="2657"/>
      <c r="S32" s="2657"/>
      <c r="T32" s="2657"/>
      <c r="U32" s="2657"/>
      <c r="V32" s="2657"/>
    </row>
    <row r="33" spans="1:30">
      <c r="A33" s="3180"/>
      <c r="B33" s="2643"/>
      <c r="C33" s="1769" t="str">
        <f>IF(B33="现房","成新及维护状况是否正常",IF(B33="在建","工程状态是否正常",IF(B33="土地","是否闲置","-")))</f>
        <v>-</v>
      </c>
      <c r="D33" s="1543"/>
      <c r="E33" s="2644"/>
      <c r="F33" s="2881"/>
      <c r="G33" s="2881"/>
      <c r="H33" s="2881"/>
      <c r="I33" s="2881"/>
      <c r="J33" s="2657"/>
      <c r="K33" s="2832"/>
      <c r="L33" s="2829"/>
      <c r="M33" s="2829"/>
      <c r="N33" s="2657"/>
      <c r="O33" s="2668"/>
      <c r="P33" s="2657"/>
      <c r="Q33" s="2657"/>
      <c r="R33" s="2657"/>
      <c r="S33" s="2657"/>
      <c r="T33" s="2657"/>
      <c r="U33" s="2657"/>
      <c r="V33" s="2657"/>
    </row>
    <row r="34" spans="1:30">
      <c r="A34" s="308" t="s">
        <v>2962</v>
      </c>
      <c r="B34" s="2207" t="s">
        <v>3071</v>
      </c>
      <c r="C34" s="2207" t="s">
        <v>3072</v>
      </c>
      <c r="D34" s="2207" t="s">
        <v>3073</v>
      </c>
      <c r="E34" s="2207" t="s">
        <v>3074</v>
      </c>
      <c r="F34" s="2207" t="s">
        <v>3075</v>
      </c>
      <c r="G34" s="2207" t="s">
        <v>3076</v>
      </c>
      <c r="H34" s="2207"/>
      <c r="I34" s="2881"/>
      <c r="J34" s="2657"/>
      <c r="K34" s="2645">
        <f>COUNTIF(B34:H34,"——")</f>
        <v>0</v>
      </c>
      <c r="L34" s="329" t="s">
        <v>2963</v>
      </c>
      <c r="M34" s="329" t="s">
        <v>2964</v>
      </c>
      <c r="N34" s="329" t="s">
        <v>2965</v>
      </c>
      <c r="O34" s="329" t="s">
        <v>2966</v>
      </c>
      <c r="P34" s="329" t="s">
        <v>2967</v>
      </c>
      <c r="Q34" s="329" t="s">
        <v>2968</v>
      </c>
      <c r="R34" s="329" t="s">
        <v>2969</v>
      </c>
      <c r="S34" s="3174" t="s">
        <v>2970</v>
      </c>
      <c r="T34" s="2646" t="str">
        <f>NUMBERSTRING(7-K34,1)&amp;"通"</f>
        <v>七通</v>
      </c>
      <c r="U34" s="2657"/>
      <c r="V34" s="2657"/>
    </row>
    <row r="35" spans="1:30">
      <c r="A35" s="2647"/>
      <c r="B35" s="3181" t="s">
        <v>2971</v>
      </c>
      <c r="C35" s="3181"/>
      <c r="D35" s="3181"/>
      <c r="E35" s="3181"/>
      <c r="F35" s="673">
        <f>C10</f>
        <v>0</v>
      </c>
      <c r="G35" s="2881"/>
      <c r="H35" s="2881"/>
      <c r="I35" s="2881"/>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74"/>
      <c r="T35" s="335" t="str">
        <f>IF(T34="一通",L35,IF(T34="二通",M35,IF(T34="三通",N35,IF(T34="四通",O35,IF(T34="五通",P35,IF(T34="六通",Q35,R35))))))</f>
        <v>通路、通电、通讯、通上水、通下水、燃气、</v>
      </c>
      <c r="U35" s="2657"/>
      <c r="V35" s="2657"/>
    </row>
    <row r="36" spans="1:30">
      <c r="A36" s="2648"/>
      <c r="B36" s="673" t="s">
        <v>2927</v>
      </c>
      <c r="C36" s="673" t="s">
        <v>2928</v>
      </c>
      <c r="D36" s="673" t="s">
        <v>2926</v>
      </c>
      <c r="E36" s="673" t="s">
        <v>2931</v>
      </c>
      <c r="F36" s="2887"/>
      <c r="G36" s="2881"/>
      <c r="H36" s="2881"/>
      <c r="I36" s="2881"/>
      <c r="J36" s="2657"/>
      <c r="K36" s="2832"/>
      <c r="L36" s="2829"/>
      <c r="M36" s="2829"/>
      <c r="N36" s="2657"/>
      <c r="O36" s="2668"/>
      <c r="P36" s="2657"/>
      <c r="Q36" s="2657"/>
      <c r="R36" s="2657"/>
      <c r="S36" s="2657"/>
      <c r="T36" s="2657"/>
      <c r="U36" s="2657"/>
      <c r="V36" s="2657"/>
    </row>
    <row r="37" spans="1:30">
      <c r="A37" s="2847" t="s">
        <v>2972</v>
      </c>
      <c r="B37" s="2649" t="s">
        <v>523</v>
      </c>
      <c r="C37" s="2649" t="s">
        <v>523</v>
      </c>
      <c r="D37" s="2649" t="s">
        <v>523</v>
      </c>
      <c r="E37" s="2649"/>
      <c r="F37" s="2887"/>
      <c r="G37" s="2881"/>
      <c r="H37" s="2881"/>
      <c r="I37" s="2881"/>
      <c r="J37" s="2657"/>
      <c r="K37" s="2832"/>
      <c r="L37" s="2829"/>
      <c r="M37" s="2829"/>
      <c r="N37" s="2657"/>
      <c r="O37" s="2668"/>
      <c r="P37" s="2657"/>
      <c r="Q37" s="2657"/>
      <c r="R37" s="2657"/>
      <c r="S37" s="2657"/>
      <c r="T37" s="2657"/>
      <c r="U37" s="2657"/>
      <c r="V37" s="2657"/>
    </row>
    <row r="38" spans="1:30" ht="13.5" thickBot="1">
      <c r="A38" s="2848" t="s">
        <v>2973</v>
      </c>
      <c r="B38" s="2650" t="s">
        <v>346</v>
      </c>
      <c r="C38" s="2650" t="s">
        <v>346</v>
      </c>
      <c r="D38" s="2650" t="s">
        <v>346</v>
      </c>
      <c r="E38" s="2650"/>
      <c r="F38" s="2888"/>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2974</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9"/>
      <c r="M40" s="2669"/>
      <c r="N40" s="2725"/>
      <c r="O40" s="2669"/>
      <c r="P40" s="2657"/>
      <c r="Q40" s="2657"/>
      <c r="R40" s="2657"/>
      <c r="S40" s="2657"/>
      <c r="T40" s="2657"/>
      <c r="U40" s="2657"/>
      <c r="V40" s="2657"/>
    </row>
    <row r="41" spans="1:30">
      <c r="A41" s="2654" t="s">
        <v>2975</v>
      </c>
      <c r="B41" s="1936"/>
      <c r="C41" s="1551"/>
      <c r="D41" s="2587"/>
      <c r="E41" s="2587"/>
      <c r="F41" s="2587"/>
      <c r="G41" s="2587"/>
      <c r="H41" s="2587"/>
      <c r="I41" s="1755"/>
      <c r="J41" s="2657"/>
      <c r="K41" s="2832"/>
      <c r="L41" s="2829"/>
      <c r="M41" s="2829"/>
      <c r="N41" s="2657"/>
      <c r="O41" s="2668"/>
      <c r="P41" s="2657"/>
      <c r="Q41" s="2657"/>
      <c r="R41" s="2657"/>
      <c r="S41" s="2657"/>
      <c r="T41" s="2657"/>
      <c r="U41" s="2657"/>
      <c r="V41" s="2657"/>
    </row>
    <row r="42" spans="1:30" ht="25.5">
      <c r="A42" s="329" t="s">
        <v>2976</v>
      </c>
      <c r="B42" s="11" t="s">
        <v>2977</v>
      </c>
      <c r="C42" s="11" t="s">
        <v>2978</v>
      </c>
      <c r="D42" s="11" t="s">
        <v>2979</v>
      </c>
      <c r="E42" s="11" t="s">
        <v>2980</v>
      </c>
      <c r="F42" s="11" t="s">
        <v>2981</v>
      </c>
      <c r="G42" s="11" t="s">
        <v>2982</v>
      </c>
      <c r="H42" s="11" t="s">
        <v>2983</v>
      </c>
      <c r="I42" s="11" t="s">
        <v>2984</v>
      </c>
      <c r="J42" s="2843" t="s">
        <v>2985</v>
      </c>
      <c r="K42" s="2844" t="s">
        <v>2986</v>
      </c>
      <c r="L42" s="2844" t="s">
        <v>2987</v>
      </c>
      <c r="M42" s="2844" t="s">
        <v>2988</v>
      </c>
      <c r="N42" s="2837" t="s">
        <v>2989</v>
      </c>
      <c r="O42" s="2837" t="s">
        <v>2990</v>
      </c>
      <c r="P42" s="2837" t="s">
        <v>2991</v>
      </c>
      <c r="Q42" s="2838" t="s">
        <v>2992</v>
      </c>
      <c r="R42" s="2838" t="s">
        <v>2993</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35" sqref="O35"/>
    </sheetView>
  </sheetViews>
  <sheetFormatPr defaultColWidth="8.875" defaultRowHeight="14.25"/>
  <cols>
    <col min="1" max="1" width="10.625" style="1752" customWidth="1"/>
    <col min="2" max="2" width="9.25" style="1752" customWidth="1"/>
    <col min="3" max="3" width="16"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4" width="9.5" style="1752" customWidth="1"/>
    <col min="15" max="15" width="9.875" style="1752" customWidth="1"/>
    <col min="16" max="16" width="9.75" style="1752" customWidth="1"/>
    <col min="17" max="17" width="9.375" style="1752" customWidth="1"/>
    <col min="18" max="18" width="9.25" style="1752"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1752</v>
      </c>
      <c r="AZ2" s="1174"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23493.01</v>
      </c>
      <c r="B3" s="14">
        <f>IF(C3="否",G5-AT5,G5)</f>
        <v>116305</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2185.58</v>
      </c>
      <c r="AM5" s="16">
        <f t="shared" si="0"/>
        <v>0</v>
      </c>
      <c r="AN5" s="16">
        <f t="shared" si="0"/>
        <v>5644.57</v>
      </c>
      <c r="AO5" s="16">
        <f t="shared" si="0"/>
        <v>0</v>
      </c>
      <c r="AP5" s="16">
        <f t="shared" si="0"/>
        <v>0</v>
      </c>
      <c r="AQ5" s="16">
        <f t="shared" si="0"/>
        <v>0</v>
      </c>
      <c r="AR5" s="16">
        <f t="shared" si="0"/>
        <v>0</v>
      </c>
      <c r="AS5" s="16">
        <f t="shared" si="0"/>
        <v>0</v>
      </c>
      <c r="AT5" s="16">
        <f t="shared" si="0"/>
        <v>7863.85</v>
      </c>
      <c r="AU5" s="1524"/>
      <c r="AV5" s="15" t="s">
        <v>1755</v>
      </c>
      <c r="AW5" s="1525"/>
      <c r="AX5" s="1525"/>
      <c r="AY5" s="17" t="s">
        <v>3</v>
      </c>
      <c r="AZ5" s="18">
        <f t="shared" ref="AZ5:BT5" si="1">SUM(AZ13:AZ656)</f>
        <v>108441.15</v>
      </c>
      <c r="BA5" s="18">
        <f t="shared" si="1"/>
        <v>100611</v>
      </c>
      <c r="BB5" s="18">
        <f t="shared" si="1"/>
        <v>22839</v>
      </c>
      <c r="BC5" s="18">
        <f t="shared" si="1"/>
        <v>45371</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7830.15</v>
      </c>
      <c r="BM5" s="18">
        <f t="shared" si="1"/>
        <v>0</v>
      </c>
      <c r="BN5" s="18">
        <f t="shared" si="1"/>
        <v>0</v>
      </c>
      <c r="BO5" s="18">
        <f t="shared" si="1"/>
        <v>0</v>
      </c>
      <c r="BP5" s="18">
        <f t="shared" si="1"/>
        <v>0</v>
      </c>
      <c r="BQ5" s="18">
        <f t="shared" si="1"/>
        <v>2185.58</v>
      </c>
      <c r="BR5" s="18">
        <f t="shared" si="1"/>
        <v>5644.57</v>
      </c>
      <c r="BS5" s="18">
        <f t="shared" si="1"/>
        <v>0</v>
      </c>
      <c r="BT5" s="19">
        <f t="shared" si="1"/>
        <v>0</v>
      </c>
    </row>
    <row r="6" spans="1:72" s="1768" customFormat="1" ht="12.75">
      <c r="A6" s="15" t="s">
        <v>1756</v>
      </c>
      <c r="B6" s="1765"/>
      <c r="C6" s="1765"/>
      <c r="D6" s="1766"/>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441.48</v>
      </c>
      <c r="AM6" s="16">
        <f t="shared" si="3"/>
        <v>0</v>
      </c>
      <c r="AN6" s="16">
        <f t="shared" si="3"/>
        <v>1140.17</v>
      </c>
      <c r="AO6" s="16">
        <f t="shared" si="3"/>
        <v>0</v>
      </c>
      <c r="AP6" s="16">
        <f t="shared" si="3"/>
        <v>0</v>
      </c>
      <c r="AQ6" s="16">
        <f t="shared" si="3"/>
        <v>0</v>
      </c>
      <c r="AR6" s="16">
        <f t="shared" si="3"/>
        <v>0</v>
      </c>
      <c r="AS6" s="16">
        <f t="shared" si="3"/>
        <v>0</v>
      </c>
      <c r="AT6" s="20">
        <f>IF(C3="是",ROUND($A$3*AT5/$B$3,2),0)</f>
        <v>1588.46</v>
      </c>
      <c r="AU6" s="1767"/>
      <c r="AV6" s="15" t="s">
        <v>1756</v>
      </c>
      <c r="AW6" s="1765"/>
      <c r="AX6" s="1765"/>
      <c r="AY6" s="21">
        <f>IF(AY3&gt;0,AY3,ROUND($A$3*AZ5/$B$3,2))</f>
        <v>21904.55</v>
      </c>
      <c r="AZ6" s="16" t="s">
        <v>3</v>
      </c>
      <c r="BA6" s="16">
        <f>ROUND($AY$6*BA5/$AZ$5,2)</f>
        <v>20322.900000000001</v>
      </c>
      <c r="BB6" s="16">
        <f>ROUND($AY$6*BB5/$AZ$5,2)</f>
        <v>4613.3599999999997</v>
      </c>
      <c r="BC6" s="16">
        <f t="shared" ref="BC6:BH6" si="4">ROUND($AY$6*BC5/$AZ$5,2)</f>
        <v>9164.7099999999991</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1581.65</v>
      </c>
      <c r="BM6" s="16">
        <f t="shared" si="5"/>
        <v>0</v>
      </c>
      <c r="BN6" s="16">
        <f t="shared" si="5"/>
        <v>0</v>
      </c>
      <c r="BO6" s="16">
        <f t="shared" si="5"/>
        <v>0</v>
      </c>
      <c r="BP6" s="16">
        <f t="shared" si="5"/>
        <v>0</v>
      </c>
      <c r="BQ6" s="16">
        <f t="shared" si="5"/>
        <v>441.48</v>
      </c>
      <c r="BR6" s="16">
        <f t="shared" si="5"/>
        <v>1140.17</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2" t="s">
        <v>1770</v>
      </c>
      <c r="AD8" s="1779"/>
      <c r="AE8" s="1771"/>
      <c r="AF8" s="1538"/>
      <c r="AG8" s="1538"/>
      <c r="AH8" s="1538"/>
      <c r="AI8" s="1538"/>
      <c r="AJ8" s="1538"/>
      <c r="AK8" s="1538"/>
      <c r="AL8" s="1538"/>
      <c r="AM8" s="1538"/>
      <c r="AN8" s="1538"/>
      <c r="AO8" s="1538"/>
      <c r="AP8" s="1538"/>
      <c r="AQ8" s="1538"/>
      <c r="AR8" s="1538"/>
      <c r="AS8" s="1538"/>
      <c r="AT8" s="1196" t="s">
        <v>1771</v>
      </c>
      <c r="AU8" s="1773" t="s">
        <v>1772</v>
      </c>
      <c r="AV8" s="1196"/>
      <c r="AW8" s="1756"/>
      <c r="AX8" s="1196"/>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1775</v>
      </c>
      <c r="I9" s="1782" t="s">
        <v>3078</v>
      </c>
      <c r="J9" s="912"/>
      <c r="K9" s="1782" t="s">
        <v>3078</v>
      </c>
      <c r="L9" s="912"/>
      <c r="M9" s="1782" t="s">
        <v>3087</v>
      </c>
      <c r="N9" s="912"/>
      <c r="O9" s="1782" t="s">
        <v>3087</v>
      </c>
      <c r="P9" s="912"/>
      <c r="Q9" s="1782"/>
      <c r="R9" s="912"/>
      <c r="S9" s="1782"/>
      <c r="T9" s="912"/>
      <c r="U9" s="1782"/>
      <c r="V9" s="912"/>
      <c r="W9" s="1782"/>
      <c r="X9" s="1783"/>
      <c r="Y9" s="1782"/>
      <c r="Z9" s="912"/>
      <c r="AA9" s="1782"/>
      <c r="AB9" s="912"/>
      <c r="AC9" s="1774"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4"/>
      <c r="AT9" s="1773"/>
      <c r="AU9" s="1773" t="s">
        <v>1778</v>
      </c>
      <c r="AV9" s="1196"/>
      <c r="AW9" s="1756"/>
      <c r="AX9" s="1196"/>
      <c r="AY9" s="28"/>
      <c r="AZ9" s="28" t="s">
        <v>1768</v>
      </c>
      <c r="BA9" s="1785" t="s">
        <v>1779</v>
      </c>
      <c r="BB9" s="1786"/>
      <c r="BC9" s="1242"/>
      <c r="BD9" s="1242"/>
      <c r="BE9" s="1242"/>
      <c r="BF9" s="1242"/>
      <c r="BG9" s="1242"/>
      <c r="BH9" s="1242"/>
      <c r="BI9" s="1242"/>
      <c r="BJ9" s="1242"/>
      <c r="BK9" s="1787"/>
      <c r="BL9" s="15" t="s">
        <v>1780</v>
      </c>
      <c r="BM9" s="1538"/>
      <c r="BN9" s="1776"/>
      <c r="BO9" s="1538"/>
      <c r="BP9" s="1538"/>
      <c r="BQ9" s="1538"/>
      <c r="BR9" s="1538"/>
      <c r="BS9" s="1538"/>
      <c r="BT9" s="26"/>
    </row>
    <row r="10" spans="1:72" s="1780" customFormat="1" ht="12.75">
      <c r="A10" s="1773"/>
      <c r="B10" s="1773"/>
      <c r="C10" s="1773"/>
      <c r="D10" s="1773"/>
      <c r="E10" s="1773"/>
      <c r="F10" s="1773"/>
      <c r="G10" s="1196"/>
      <c r="H10" s="28"/>
      <c r="I10" s="1782" t="s">
        <v>1343</v>
      </c>
      <c r="J10" s="912"/>
      <c r="K10" s="1788" t="s">
        <v>27</v>
      </c>
      <c r="L10" s="912"/>
      <c r="M10" s="1782" t="s">
        <v>1343</v>
      </c>
      <c r="N10" s="912"/>
      <c r="O10" s="1788" t="s">
        <v>3088</v>
      </c>
      <c r="P10" s="912"/>
      <c r="Q10" s="1788"/>
      <c r="R10" s="912"/>
      <c r="S10" s="1788"/>
      <c r="T10" s="912"/>
      <c r="U10" s="1788"/>
      <c r="V10" s="912"/>
      <c r="W10" s="1788"/>
      <c r="X10" s="912"/>
      <c r="Y10" s="1788"/>
      <c r="Z10" s="912"/>
      <c r="AA10" s="1788"/>
      <c r="AB10" s="912"/>
      <c r="AC10" s="1196"/>
      <c r="AD10" s="15" t="s">
        <v>1781</v>
      </c>
      <c r="AE10" s="1789"/>
      <c r="AF10" s="15" t="s">
        <v>1781</v>
      </c>
      <c r="AG10" s="1789"/>
      <c r="AH10" s="15" t="s">
        <v>1782</v>
      </c>
      <c r="AI10" s="1789"/>
      <c r="AJ10" s="15" t="s">
        <v>1782</v>
      </c>
      <c r="AK10" s="1789"/>
      <c r="AL10" s="15" t="s">
        <v>1783</v>
      </c>
      <c r="AM10" s="1202"/>
      <c r="AN10" s="15" t="s">
        <v>1783</v>
      </c>
      <c r="AO10" s="1202"/>
      <c r="AP10" s="15" t="s">
        <v>1784</v>
      </c>
      <c r="AQ10" s="1202"/>
      <c r="AR10" s="15" t="s">
        <v>1784</v>
      </c>
      <c r="AS10" s="1202"/>
      <c r="AT10" s="1773"/>
      <c r="AU10" s="1773"/>
      <c r="AV10" s="1196"/>
      <c r="AW10" s="1756"/>
      <c r="AX10" s="1196"/>
      <c r="AY10" s="28"/>
      <c r="AZ10" s="28"/>
      <c r="BA10" s="1790" t="s">
        <v>1775</v>
      </c>
      <c r="BB10" s="1791" t="str">
        <f>I9</f>
        <v>地上</v>
      </c>
      <c r="BC10" s="29" t="str">
        <f>K9</f>
        <v>地上</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3079</v>
      </c>
      <c r="J11" s="1794"/>
      <c r="K11" s="1793" t="s">
        <v>3080</v>
      </c>
      <c r="L11" s="1794"/>
      <c r="M11" s="1793" t="s">
        <v>3079</v>
      </c>
      <c r="N11" s="1794"/>
      <c r="O11" s="1793" t="s">
        <v>3088</v>
      </c>
      <c r="P11" s="1794"/>
      <c r="Q11" s="1793"/>
      <c r="R11" s="1794"/>
      <c r="S11" s="1793"/>
      <c r="T11" s="1794"/>
      <c r="U11" s="1793"/>
      <c r="V11" s="1794"/>
      <c r="W11" s="1793"/>
      <c r="X11" s="1794"/>
      <c r="Y11" s="1793"/>
      <c r="Z11" s="1794"/>
      <c r="AA11" s="1793"/>
      <c r="AB11" s="1794"/>
      <c r="AC11" s="1196"/>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6"/>
      <c r="AW11" s="1756"/>
      <c r="AX11" s="1196"/>
      <c r="AY11" s="28"/>
      <c r="AZ11" s="28"/>
      <c r="BA11" s="28"/>
      <c r="BB11" s="1778" t="str">
        <f>I10</f>
        <v>商业</v>
      </c>
      <c r="BC11" s="1778" t="str">
        <f>K10</f>
        <v>办公</v>
      </c>
      <c r="BD11" s="1778" t="str">
        <f>M10</f>
        <v>商业</v>
      </c>
      <c r="BE11" s="1778" t="str">
        <f>O10</f>
        <v>车库</v>
      </c>
      <c r="BF11" s="1778">
        <f>Q10</f>
        <v>0</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底商</v>
      </c>
      <c r="BC12" s="1803" t="str">
        <f>K11</f>
        <v>办公楼</v>
      </c>
      <c r="BD12" s="1803" t="str">
        <f>M11</f>
        <v>底商</v>
      </c>
      <c r="BE12" s="1778" t="str">
        <f>O11</f>
        <v>车库</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4.25" customHeight="1">
      <c r="A13" s="1176"/>
      <c r="B13" s="1176"/>
      <c r="C13" s="3053" t="s">
        <v>3077</v>
      </c>
      <c r="D13" s="1804" t="s">
        <v>3066</v>
      </c>
      <c r="E13" s="16">
        <f>IF($C$3="是",ROUND($A$3*G13/$B$3,2),ROUND($A$3*(G13-AT13)/$B$3,2))</f>
        <v>3441.99</v>
      </c>
      <c r="F13" s="32"/>
      <c r="G13" s="33">
        <f>H13+AC13+AT13</f>
        <v>17040</v>
      </c>
      <c r="H13" s="20">
        <f>SUMIF(I$12:AB$12,"总值",I13:AB13)</f>
        <v>16610</v>
      </c>
      <c r="I13" s="1805">
        <v>3591</v>
      </c>
      <c r="J13" s="1805"/>
      <c r="K13" s="1805">
        <v>13019</v>
      </c>
      <c r="L13" s="1805"/>
      <c r="M13" s="1805"/>
      <c r="N13" s="1805"/>
      <c r="O13" s="1805"/>
      <c r="P13" s="1805"/>
      <c r="Q13" s="1805"/>
      <c r="R13" s="1805"/>
      <c r="S13" s="1805"/>
      <c r="T13" s="1805"/>
      <c r="U13" s="1805"/>
      <c r="V13" s="1805"/>
      <c r="W13" s="1805"/>
      <c r="X13" s="1805"/>
      <c r="Y13" s="1805"/>
      <c r="Z13" s="1805"/>
      <c r="AA13" s="1805"/>
      <c r="AB13" s="1805"/>
      <c r="AC13" s="16">
        <f>SUMIF(AD$12:AS$12,"总值",AD13:AS13)</f>
        <v>430</v>
      </c>
      <c r="AD13" s="1806"/>
      <c r="AE13" s="1806"/>
      <c r="AF13" s="1806"/>
      <c r="AG13" s="1806"/>
      <c r="AH13" s="1806"/>
      <c r="AI13" s="1806"/>
      <c r="AJ13" s="1806"/>
      <c r="AK13" s="1806"/>
      <c r="AL13" s="1806">
        <v>430</v>
      </c>
      <c r="AM13" s="1806"/>
      <c r="AN13" s="1806"/>
      <c r="AO13" s="1806"/>
      <c r="AP13" s="1806"/>
      <c r="AQ13" s="1806"/>
      <c r="AR13" s="1806"/>
      <c r="AS13" s="1806"/>
      <c r="AT13" s="1807"/>
      <c r="AU13" s="1808"/>
      <c r="AV13" s="11">
        <f t="shared" ref="AV13:AX17" si="6">A13</f>
        <v>0</v>
      </c>
      <c r="AW13" s="11">
        <f t="shared" si="6"/>
        <v>0</v>
      </c>
      <c r="AX13" s="11" t="str">
        <f t="shared" si="6"/>
        <v>1#商业办公楼</v>
      </c>
      <c r="AY13" s="1527">
        <f>ROUND($AY$6*AZ13/$AZ$5,2)</f>
        <v>3441.99</v>
      </c>
      <c r="AZ13" s="16">
        <f>BA13+BL13</f>
        <v>17040</v>
      </c>
      <c r="BA13" s="16">
        <f>SUM(BB13:BK13)</f>
        <v>16610</v>
      </c>
      <c r="BB13" s="16">
        <f>IF($D13="是",I13-J13,0)</f>
        <v>3591</v>
      </c>
      <c r="BC13" s="16">
        <f>IF($D13="是",K13-L13,0)</f>
        <v>13019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430</v>
      </c>
      <c r="BM13" s="16">
        <f>IF($D13="是",AD13-AE13,0)</f>
        <v>0</v>
      </c>
      <c r="BN13" s="16">
        <f>IF($D13="是",AF13-AG13,0)</f>
        <v>0</v>
      </c>
      <c r="BO13" s="16">
        <f>IF($D13="是",AH13-AI13,0)</f>
        <v>0</v>
      </c>
      <c r="BP13" s="16">
        <f>IF($D13="是",AJ13-AK13,0)</f>
        <v>0</v>
      </c>
      <c r="BQ13" s="16">
        <f>IF($D13="是",AL13-AM13,0)</f>
        <v>430</v>
      </c>
      <c r="BR13" s="16">
        <f>IF($D13="是",AN13-AO13,0)</f>
        <v>0</v>
      </c>
      <c r="BS13" s="16">
        <f>IF($D13="是",AP13-AQ13,0)</f>
        <v>0</v>
      </c>
      <c r="BT13" s="22">
        <f>IF($D13="是",AR13-AS13,0)</f>
        <v>0</v>
      </c>
    </row>
    <row r="14" spans="1:72" s="1758" customFormat="1" ht="14.25" customHeight="1">
      <c r="A14" s="1176"/>
      <c r="B14" s="1176"/>
      <c r="C14" s="3053" t="s">
        <v>3081</v>
      </c>
      <c r="D14" s="1804" t="s">
        <v>3066</v>
      </c>
      <c r="E14" s="16">
        <f>IF($C$3="是",ROUND($A$3*G14/$B$3,2),ROUND($A$3*(G14-AT14)/$B$3,2))</f>
        <v>2664.72</v>
      </c>
      <c r="F14" s="32"/>
      <c r="G14" s="33">
        <f>H14+AC14+AT14</f>
        <v>13192</v>
      </c>
      <c r="H14" s="20">
        <f>SUMIF(I$12:AB$12,"总值",I14:AB14)</f>
        <v>12787</v>
      </c>
      <c r="I14" s="1805">
        <v>3181</v>
      </c>
      <c r="J14" s="1805"/>
      <c r="K14" s="1805">
        <v>9606</v>
      </c>
      <c r="L14" s="1805"/>
      <c r="M14" s="1805"/>
      <c r="N14" s="1805"/>
      <c r="O14" s="1805"/>
      <c r="P14" s="1805"/>
      <c r="Q14" s="1805"/>
      <c r="R14" s="1805"/>
      <c r="S14" s="1805"/>
      <c r="T14" s="1805"/>
      <c r="U14" s="1805"/>
      <c r="V14" s="1805"/>
      <c r="W14" s="1805"/>
      <c r="X14" s="1805"/>
      <c r="Y14" s="1805"/>
      <c r="Z14" s="1805"/>
      <c r="AA14" s="1805"/>
      <c r="AB14" s="1805"/>
      <c r="AC14" s="16">
        <f>SUMIF(AD$12:AS$12,"总值",AD14:AS14)</f>
        <v>405</v>
      </c>
      <c r="AD14" s="1806"/>
      <c r="AE14" s="1806"/>
      <c r="AF14" s="1806"/>
      <c r="AG14" s="1806"/>
      <c r="AH14" s="1806"/>
      <c r="AI14" s="1806"/>
      <c r="AJ14" s="1806"/>
      <c r="AK14" s="1806"/>
      <c r="AL14" s="1806">
        <v>405</v>
      </c>
      <c r="AM14" s="1806"/>
      <c r="AN14" s="1806"/>
      <c r="AO14" s="1806"/>
      <c r="AP14" s="1806"/>
      <c r="AQ14" s="1806"/>
      <c r="AR14" s="1806"/>
      <c r="AS14" s="1806"/>
      <c r="AT14" s="1807"/>
      <c r="AU14" s="1808"/>
      <c r="AV14" s="11">
        <f t="shared" si="6"/>
        <v>0</v>
      </c>
      <c r="AW14" s="11">
        <f t="shared" si="6"/>
        <v>0</v>
      </c>
      <c r="AX14" s="11" t="str">
        <f t="shared" si="6"/>
        <v>2#商业办公楼</v>
      </c>
      <c r="AY14" s="1527">
        <f>ROUND($AY$6*AZ14/$AZ$5,2)</f>
        <v>2664.72</v>
      </c>
      <c r="AZ14" s="16">
        <f>BA14+BL14</f>
        <v>13192</v>
      </c>
      <c r="BA14" s="16">
        <f>SUM(BB14:BK14)</f>
        <v>12787</v>
      </c>
      <c r="BB14" s="16">
        <f>IF($D14="是",I14-J14,0)</f>
        <v>3181</v>
      </c>
      <c r="BC14" s="16">
        <f>IF($D14="是",K14-L14,0)</f>
        <v>9606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405</v>
      </c>
      <c r="BM14" s="16">
        <f>IF($D14="是",AD14-AE14,0)</f>
        <v>0</v>
      </c>
      <c r="BN14" s="16">
        <f>IF($D14="是",AF14-AG14,0)</f>
        <v>0</v>
      </c>
      <c r="BO14" s="16">
        <f>IF($D14="是",AH14-AI14,0)</f>
        <v>0</v>
      </c>
      <c r="BP14" s="16">
        <f>IF($D14="是",AJ14-AK14,0)</f>
        <v>0</v>
      </c>
      <c r="BQ14" s="16">
        <f>IF($D14="是",AL14-AM14,0)</f>
        <v>405</v>
      </c>
      <c r="BR14" s="16">
        <f>IF($D14="是",AN14-AO14,0)</f>
        <v>0</v>
      </c>
      <c r="BS14" s="16">
        <f>IF($D14="是",AP14-AQ14,0)</f>
        <v>0</v>
      </c>
      <c r="BT14" s="22">
        <f>IF($D14="是",AR14-AS14,0)</f>
        <v>0</v>
      </c>
    </row>
    <row r="15" spans="1:72" s="1758" customFormat="1" ht="14.25" customHeight="1">
      <c r="A15" s="1176"/>
      <c r="B15" s="1176"/>
      <c r="C15" s="3053" t="s">
        <v>3082</v>
      </c>
      <c r="D15" s="1804" t="s">
        <v>3066</v>
      </c>
      <c r="E15" s="16">
        <f>IF($C$3="是",ROUND($A$3*G15/$B$3,2),ROUND($A$3*(G15-AT15)/$B$3,2))</f>
        <v>2617.4499999999998</v>
      </c>
      <c r="F15" s="32"/>
      <c r="G15" s="33">
        <f>H15+AC15+AT15</f>
        <v>12958</v>
      </c>
      <c r="H15" s="20">
        <f>SUMIF(I$12:AB$12,"总值",I15:AB15)</f>
        <v>12599</v>
      </c>
      <c r="I15" s="1805">
        <v>2952</v>
      </c>
      <c r="J15" s="1805"/>
      <c r="K15" s="1805">
        <v>9647</v>
      </c>
      <c r="L15" s="1805"/>
      <c r="M15" s="1805"/>
      <c r="N15" s="1805"/>
      <c r="O15" s="1805"/>
      <c r="P15" s="1805"/>
      <c r="Q15" s="1805"/>
      <c r="R15" s="1805"/>
      <c r="S15" s="1805"/>
      <c r="T15" s="1805"/>
      <c r="U15" s="1805"/>
      <c r="V15" s="1805"/>
      <c r="W15" s="1805"/>
      <c r="X15" s="1805"/>
      <c r="Y15" s="1805"/>
      <c r="Z15" s="1805"/>
      <c r="AA15" s="1805"/>
      <c r="AB15" s="1805"/>
      <c r="AC15" s="16">
        <f>SUMIF(AD$12:AS$12,"总值",AD15:AS15)</f>
        <v>343</v>
      </c>
      <c r="AD15" s="1806"/>
      <c r="AE15" s="1806"/>
      <c r="AF15" s="1806"/>
      <c r="AG15" s="1806"/>
      <c r="AH15" s="1806"/>
      <c r="AI15" s="1806"/>
      <c r="AJ15" s="1806"/>
      <c r="AK15" s="1806"/>
      <c r="AL15" s="1806">
        <v>343</v>
      </c>
      <c r="AM15" s="1806"/>
      <c r="AN15" s="1806"/>
      <c r="AO15" s="1806"/>
      <c r="AP15" s="1806"/>
      <c r="AQ15" s="1806"/>
      <c r="AR15" s="1806"/>
      <c r="AS15" s="1806"/>
      <c r="AT15" s="1807">
        <v>16</v>
      </c>
      <c r="AU15" s="1808"/>
      <c r="AV15" s="11">
        <f t="shared" si="6"/>
        <v>0</v>
      </c>
      <c r="AW15" s="11">
        <f t="shared" si="6"/>
        <v>0</v>
      </c>
      <c r="AX15" s="11" t="str">
        <f t="shared" si="6"/>
        <v>3#商业办公楼</v>
      </c>
      <c r="AY15" s="1527">
        <f>ROUND($AY$6*AZ15/$AZ$5,2)</f>
        <v>2614.2199999999998</v>
      </c>
      <c r="AZ15" s="16">
        <f>BA15+BL15</f>
        <v>12942</v>
      </c>
      <c r="BA15" s="16">
        <f>SUM(BB15:BK15)</f>
        <v>12599</v>
      </c>
      <c r="BB15" s="16">
        <f>IF($D15="是",I15-J15,0)</f>
        <v>2952</v>
      </c>
      <c r="BC15" s="16">
        <f>IF($D15="是",K15-L15,0)</f>
        <v>9647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343</v>
      </c>
      <c r="BM15" s="16">
        <f>IF($D15="是",AD15-AE15,0)</f>
        <v>0</v>
      </c>
      <c r="BN15" s="16">
        <f>IF($D15="是",AF15-AG15,0)</f>
        <v>0</v>
      </c>
      <c r="BO15" s="16">
        <f>IF($D15="是",AH15-AI15,0)</f>
        <v>0</v>
      </c>
      <c r="BP15" s="16">
        <f>IF($D15="是",AJ15-AK15,0)</f>
        <v>0</v>
      </c>
      <c r="BQ15" s="16">
        <f>IF($D15="是",AL15-AM15,0)</f>
        <v>343</v>
      </c>
      <c r="BR15" s="16">
        <f>IF($D15="是",AN15-AO15,0)</f>
        <v>0</v>
      </c>
      <c r="BS15" s="16">
        <f>IF($D15="是",AP15-AQ15,0)</f>
        <v>0</v>
      </c>
      <c r="BT15" s="22">
        <f>IF($D15="是",AR15-AS15,0)</f>
        <v>0</v>
      </c>
    </row>
    <row r="16" spans="1:72" s="1758" customFormat="1" ht="14.25" customHeight="1">
      <c r="A16" s="1176"/>
      <c r="B16" s="1176"/>
      <c r="C16" s="3053" t="s">
        <v>3083</v>
      </c>
      <c r="D16" s="1804" t="s">
        <v>3066</v>
      </c>
      <c r="E16" s="16">
        <f>IF($C$3="是",ROUND($A$3*G16/$B$3,2),ROUND($A$3*(G16-AT16)/$B$3,2))</f>
        <v>3447.65</v>
      </c>
      <c r="F16" s="32"/>
      <c r="G16" s="33">
        <f>H16+AC16+AT16</f>
        <v>17068</v>
      </c>
      <c r="H16" s="20">
        <f>SUMIF(I$12:AB$12,"总值",I16:AB16)</f>
        <v>16638</v>
      </c>
      <c r="I16" s="1805">
        <v>3539</v>
      </c>
      <c r="J16" s="1805"/>
      <c r="K16" s="1805">
        <v>13099</v>
      </c>
      <c r="L16" s="1805"/>
      <c r="M16" s="1805"/>
      <c r="N16" s="1805"/>
      <c r="O16" s="1805"/>
      <c r="P16" s="1805"/>
      <c r="Q16" s="1805"/>
      <c r="R16" s="1805"/>
      <c r="S16" s="1805"/>
      <c r="T16" s="1805"/>
      <c r="U16" s="1805"/>
      <c r="V16" s="1805"/>
      <c r="W16" s="1805"/>
      <c r="X16" s="1805"/>
      <c r="Y16" s="1805"/>
      <c r="Z16" s="1805"/>
      <c r="AA16" s="1805"/>
      <c r="AB16" s="1805"/>
      <c r="AC16" s="16">
        <f>SUMIF(AD$12:AS$12,"总值",AD16:AS16)</f>
        <v>430</v>
      </c>
      <c r="AD16" s="1806"/>
      <c r="AE16" s="1806"/>
      <c r="AF16" s="1806"/>
      <c r="AG16" s="1806"/>
      <c r="AH16" s="1806"/>
      <c r="AI16" s="1806"/>
      <c r="AJ16" s="1806"/>
      <c r="AK16" s="1806"/>
      <c r="AL16" s="1806">
        <v>430</v>
      </c>
      <c r="AM16" s="1806"/>
      <c r="AN16" s="1806"/>
      <c r="AO16" s="1806"/>
      <c r="AP16" s="1806"/>
      <c r="AQ16" s="1806"/>
      <c r="AR16" s="1806"/>
      <c r="AS16" s="1806"/>
      <c r="AT16" s="1807"/>
      <c r="AU16" s="1808"/>
      <c r="AV16" s="11">
        <f t="shared" si="6"/>
        <v>0</v>
      </c>
      <c r="AW16" s="11">
        <f t="shared" si="6"/>
        <v>0</v>
      </c>
      <c r="AX16" s="11" t="str">
        <f t="shared" si="6"/>
        <v>4#商业办公楼</v>
      </c>
      <c r="AY16" s="1527">
        <f>ROUND($AY$6*AZ16/$AZ$5,2)</f>
        <v>3447.65</v>
      </c>
      <c r="AZ16" s="16">
        <f>BA16+BL16</f>
        <v>17068</v>
      </c>
      <c r="BA16" s="16">
        <f>SUM(BB16:BK16)</f>
        <v>16638</v>
      </c>
      <c r="BB16" s="16">
        <f>IF($D16="是",I16-J16,0)</f>
        <v>3539</v>
      </c>
      <c r="BC16" s="16">
        <f>IF($D16="是",K16-L16,0)</f>
        <v>13099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430</v>
      </c>
      <c r="BM16" s="16">
        <f>IF($D16="是",AD16-AE16,0)</f>
        <v>0</v>
      </c>
      <c r="BN16" s="16">
        <f>IF($D16="是",AF16-AG16,0)</f>
        <v>0</v>
      </c>
      <c r="BO16" s="16">
        <f>IF($D16="是",AH16-AI16,0)</f>
        <v>0</v>
      </c>
      <c r="BP16" s="16">
        <f>IF($D16="是",AJ16-AK16,0)</f>
        <v>0</v>
      </c>
      <c r="BQ16" s="16">
        <f>IF($D16="是",AL16-AM16,0)</f>
        <v>430</v>
      </c>
      <c r="BR16" s="16">
        <f>IF($D16="是",AN16-AO16,0)</f>
        <v>0</v>
      </c>
      <c r="BS16" s="16">
        <f>IF($D16="是",AP16-AQ16,0)</f>
        <v>0</v>
      </c>
      <c r="BT16" s="22">
        <f>IF($D16="是",AR16-AS16,0)</f>
        <v>0</v>
      </c>
    </row>
    <row r="17" spans="1:72" s="1758" customFormat="1" ht="12.75">
      <c r="A17" s="1176"/>
      <c r="B17" s="1176"/>
      <c r="C17" s="3053" t="s">
        <v>3084</v>
      </c>
      <c r="D17" s="1804" t="s">
        <v>3066</v>
      </c>
      <c r="E17" s="16">
        <f>IF($C$3="是",ROUND($A$3*G17/$B$3,2),ROUND($A$3*(G17-AT17)/$B$3,2))</f>
        <v>967.15</v>
      </c>
      <c r="F17" s="32"/>
      <c r="G17" s="33">
        <f>H17+AC17+AT17</f>
        <v>4788</v>
      </c>
      <c r="H17" s="20">
        <f>SUMIF(I$12:AB$12,"总值",I17:AB17)</f>
        <v>4788</v>
      </c>
      <c r="I17" s="1805">
        <v>4788</v>
      </c>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t="str">
        <f t="shared" si="6"/>
        <v>5#商业</v>
      </c>
      <c r="AY17" s="1527">
        <f>ROUND($AY$6*AZ17/$AZ$5,2)</f>
        <v>967.15</v>
      </c>
      <c r="AZ17" s="16">
        <f>BA17+BL17</f>
        <v>4788</v>
      </c>
      <c r="BA17" s="16">
        <f>SUM(BB17:BK17)</f>
        <v>4788</v>
      </c>
      <c r="BB17" s="16">
        <f>IF($D17="是",I17-J17,0)</f>
        <v>4788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3085</v>
      </c>
      <c r="D18" s="1804" t="s">
        <v>3066</v>
      </c>
      <c r="E18" s="35">
        <f t="shared" ref="E18:E112" si="7">IF($C$3="是",ROUND($A$3*G18/$B$3,2),ROUND($A$3*(G18-AT18)/$B$3,2))</f>
        <v>967.15</v>
      </c>
      <c r="F18" s="36"/>
      <c r="G18" s="37">
        <f t="shared" ref="G18:G109" si="8">H18+AC18+AT18</f>
        <v>4788</v>
      </c>
      <c r="H18" s="38">
        <f t="shared" ref="H18:H109" si="9">SUMIF(I$12:AB$12,"总值",I18:AB18)</f>
        <v>4788</v>
      </c>
      <c r="I18" s="1805">
        <v>4788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t="str">
        <f t="shared" ref="AX18:AX112" si="13">C18</f>
        <v>6#商业</v>
      </c>
      <c r="AY18" s="42">
        <f t="shared" ref="AY18:AY109" si="14">ROUND($AY$6*AZ18/$AZ$5,2)</f>
        <v>967.15</v>
      </c>
      <c r="AZ18" s="35">
        <f t="shared" ref="AZ18:AZ109" si="15">BA18+BL18</f>
        <v>4788</v>
      </c>
      <c r="BA18" s="35">
        <f t="shared" ref="BA18:BA109" si="16">SUM(BB18:BK18)</f>
        <v>4788</v>
      </c>
      <c r="BB18" s="35">
        <f t="shared" ref="BB18:BB109" si="17">IF($D18="是",I18-J18,0)</f>
        <v>4788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3" t="s">
        <v>3086</v>
      </c>
      <c r="D19" s="1804" t="s">
        <v>3066</v>
      </c>
      <c r="E19" s="35">
        <f t="shared" si="7"/>
        <v>9386.9</v>
      </c>
      <c r="F19" s="36"/>
      <c r="G19" s="37">
        <f t="shared" si="8"/>
        <v>46471</v>
      </c>
      <c r="H19" s="38">
        <f t="shared" si="9"/>
        <v>32401</v>
      </c>
      <c r="I19" s="39"/>
      <c r="J19" s="39"/>
      <c r="K19" s="39"/>
      <c r="L19" s="39"/>
      <c r="M19" s="39">
        <v>8892</v>
      </c>
      <c r="N19" s="39"/>
      <c r="O19" s="39">
        <f>31289.43-7780.43</f>
        <v>23509</v>
      </c>
      <c r="P19" s="39"/>
      <c r="Q19" s="39"/>
      <c r="R19" s="39"/>
      <c r="S19" s="39"/>
      <c r="T19" s="39"/>
      <c r="U19" s="39"/>
      <c r="V19" s="39"/>
      <c r="W19" s="39"/>
      <c r="X19" s="39"/>
      <c r="Y19" s="39"/>
      <c r="Z19" s="39"/>
      <c r="AA19" s="39"/>
      <c r="AB19" s="39"/>
      <c r="AC19" s="35">
        <f t="shared" si="10"/>
        <v>6222.15</v>
      </c>
      <c r="AD19" s="40"/>
      <c r="AE19" s="40"/>
      <c r="AF19" s="40"/>
      <c r="AG19" s="40"/>
      <c r="AH19" s="40"/>
      <c r="AI19" s="40"/>
      <c r="AJ19" s="40"/>
      <c r="AK19" s="40"/>
      <c r="AL19" s="40">
        <f>577.58</f>
        <v>577.58000000000004</v>
      </c>
      <c r="AM19" s="40"/>
      <c r="AN19" s="40">
        <f>2041.57+2194+1409</f>
        <v>5644.57</v>
      </c>
      <c r="AO19" s="40"/>
      <c r="AP19" s="40"/>
      <c r="AQ19" s="40"/>
      <c r="AR19" s="40"/>
      <c r="AS19" s="40"/>
      <c r="AT19" s="41">
        <f>7780.43+67.42</f>
        <v>7847.85</v>
      </c>
      <c r="AU19" s="1810"/>
      <c r="AV19" s="1521">
        <f t="shared" si="11"/>
        <v>0</v>
      </c>
      <c r="AW19" s="1521">
        <f t="shared" si="12"/>
        <v>0</v>
      </c>
      <c r="AX19" s="1521" t="str">
        <f t="shared" si="13"/>
        <v>7#商业及地下车库</v>
      </c>
      <c r="AY19" s="42">
        <f t="shared" si="14"/>
        <v>7801.68</v>
      </c>
      <c r="AZ19" s="35">
        <f t="shared" si="15"/>
        <v>38623.15</v>
      </c>
      <c r="BA19" s="35">
        <f t="shared" si="16"/>
        <v>32401</v>
      </c>
      <c r="BB19" s="35">
        <f t="shared" si="17"/>
        <v>0</v>
      </c>
      <c r="BC19" s="35">
        <f t="shared" si="18"/>
        <v>0</v>
      </c>
      <c r="BD19" s="35">
        <f t="shared" si="19"/>
        <v>8892</v>
      </c>
      <c r="BE19" s="35">
        <f t="shared" si="20"/>
        <v>23509</v>
      </c>
      <c r="BF19" s="35">
        <f t="shared" si="21"/>
        <v>0</v>
      </c>
      <c r="BG19" s="35">
        <f t="shared" si="22"/>
        <v>0</v>
      </c>
      <c r="BH19" s="35">
        <f t="shared" si="23"/>
        <v>0</v>
      </c>
      <c r="BI19" s="35">
        <f t="shared" si="24"/>
        <v>0</v>
      </c>
      <c r="BJ19" s="35">
        <f t="shared" si="25"/>
        <v>0</v>
      </c>
      <c r="BK19" s="35">
        <f t="shared" si="26"/>
        <v>0</v>
      </c>
      <c r="BL19" s="35">
        <f t="shared" si="27"/>
        <v>6222.15</v>
      </c>
      <c r="BM19" s="35">
        <f t="shared" si="28"/>
        <v>0</v>
      </c>
      <c r="BN19" s="35">
        <f t="shared" si="29"/>
        <v>0</v>
      </c>
      <c r="BO19" s="35">
        <f t="shared" si="30"/>
        <v>0</v>
      </c>
      <c r="BP19" s="35">
        <f t="shared" si="31"/>
        <v>0</v>
      </c>
      <c r="BQ19" s="35">
        <f t="shared" si="32"/>
        <v>577.58000000000004</v>
      </c>
      <c r="BR19" s="35">
        <f t="shared" si="33"/>
        <v>5644.57</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39" sqref="N39"/>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5"/>
      <c r="C1" s="1295"/>
      <c r="D1" s="1295"/>
      <c r="E1" s="1295"/>
      <c r="F1" s="1295"/>
      <c r="G1" s="1295"/>
      <c r="H1" s="1295"/>
      <c r="I1" s="1295"/>
      <c r="J1" s="1295"/>
      <c r="K1" s="1295"/>
      <c r="L1" s="1295"/>
      <c r="M1" s="1295"/>
      <c r="N1" s="1295"/>
      <c r="O1" s="1295"/>
      <c r="P1" s="1295"/>
    </row>
    <row r="2" spans="1:16" ht="15">
      <c r="A2" s="3193" t="s">
        <v>1815</v>
      </c>
      <c r="B2" s="3193"/>
      <c r="C2" s="3193"/>
      <c r="D2" s="898" t="s">
        <v>1791</v>
      </c>
      <c r="E2" s="1818" t="s">
        <v>1792</v>
      </c>
      <c r="F2" s="2876"/>
      <c r="G2" s="2867"/>
      <c r="H2" s="2868"/>
      <c r="I2" s="2541" t="s">
        <v>1816</v>
      </c>
      <c r="J2" s="2876"/>
      <c r="K2" s="2876"/>
      <c r="L2" s="2876"/>
      <c r="M2" s="2876"/>
      <c r="N2" s="2878"/>
      <c r="O2" s="2876"/>
      <c r="P2" s="2876"/>
    </row>
    <row r="3" spans="1:16" ht="15.75" thickBot="1">
      <c r="A3" s="3194" t="s">
        <v>1789</v>
      </c>
      <c r="B3" s="3194"/>
      <c r="C3" s="3194"/>
      <c r="D3" s="46">
        <f>'数据-基础表'!AY6</f>
        <v>21904.55</v>
      </c>
      <c r="E3" s="46">
        <f>'数据-基础表'!AZ5</f>
        <v>108441.15</v>
      </c>
      <c r="F3" s="2876"/>
      <c r="G3" s="1301"/>
      <c r="H3" s="1151" t="s">
        <v>1790</v>
      </c>
      <c r="I3" s="958">
        <f>ROUND('数据-基础表'!B3/'数据-基础表'!A3,2)</f>
        <v>4.95</v>
      </c>
      <c r="J3" s="2876"/>
      <c r="K3" s="2876"/>
      <c r="L3" s="2876"/>
      <c r="M3" s="2876"/>
      <c r="N3" s="2878"/>
      <c r="O3" s="2876"/>
      <c r="P3" s="2876"/>
    </row>
    <row r="4" spans="1:16" ht="15">
      <c r="A4" s="3195"/>
      <c r="B4" s="3196"/>
      <c r="C4" s="3197"/>
      <c r="D4" s="1820" t="s">
        <v>1791</v>
      </c>
      <c r="E4" s="1821" t="s">
        <v>1792</v>
      </c>
      <c r="F4" s="2876"/>
      <c r="G4" s="2869" t="s">
        <v>1817</v>
      </c>
      <c r="H4" s="1151" t="s">
        <v>1797</v>
      </c>
      <c r="I4" s="958">
        <f>ROUND(SUMIF('数据-基础表'!I9:AS9,"地上",'数据-基础表'!I5:AS5)/'数据-基础表'!A3,2)</f>
        <v>3</v>
      </c>
      <c r="J4" s="2876"/>
      <c r="K4" s="2876"/>
      <c r="L4" s="2876"/>
      <c r="M4" s="2876"/>
      <c r="N4" s="2878"/>
      <c r="O4" s="2876"/>
      <c r="P4" s="2876"/>
    </row>
    <row r="5" spans="1:16">
      <c r="A5" s="47" t="s">
        <v>1793</v>
      </c>
      <c r="B5" s="3198" t="s">
        <v>1794</v>
      </c>
      <c r="C5" s="3198"/>
      <c r="D5" s="48">
        <f>ROUND($D$3*E5/$E$3,2)</f>
        <v>0</v>
      </c>
      <c r="E5" s="49">
        <f>SUMIF('数据-基础表'!$11:$11,"住宅",'数据-基础表'!$5:$5)</f>
        <v>0</v>
      </c>
      <c r="F5" s="2876"/>
      <c r="G5" s="1301"/>
      <c r="H5" s="1151" t="s">
        <v>1790</v>
      </c>
      <c r="I5" s="958">
        <f>ROUND(E31/D31,2)</f>
        <v>4.95</v>
      </c>
      <c r="J5" s="2876"/>
      <c r="K5" s="2876"/>
      <c r="L5" s="2876"/>
      <c r="M5" s="2876"/>
      <c r="N5" s="2876"/>
      <c r="O5" s="2876"/>
      <c r="P5" s="2876"/>
    </row>
    <row r="6" spans="1:16" ht="15" thickBot="1">
      <c r="A6" s="1823"/>
      <c r="B6" s="3198" t="s">
        <v>1795</v>
      </c>
      <c r="C6" s="3198"/>
      <c r="D6" s="48">
        <f>ROUND($D$3*E6/$E$3,2)</f>
        <v>21904.55</v>
      </c>
      <c r="E6" s="49">
        <f>E3-E5</f>
        <v>108441.15</v>
      </c>
      <c r="F6" s="2876"/>
      <c r="G6" s="2870" t="s">
        <v>1796</v>
      </c>
      <c r="H6" s="1302" t="s">
        <v>1797</v>
      </c>
      <c r="I6" s="2871">
        <f>ROUND(F31/D31,2)</f>
        <v>3.21</v>
      </c>
      <c r="J6" s="2876"/>
      <c r="K6" s="2876"/>
      <c r="L6" s="2876"/>
      <c r="M6" s="2876"/>
      <c r="N6" s="2876"/>
      <c r="O6" s="2876"/>
      <c r="P6" s="2876"/>
    </row>
    <row r="7" spans="1:16" ht="15.75" thickBot="1">
      <c r="A7" s="3190"/>
      <c r="B7" s="3191"/>
      <c r="C7" s="3192"/>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13778.07</v>
      </c>
      <c r="E8" s="51">
        <f>SUMIF('数据-基础表'!BB10:BK10,"地上",'数据-基础表'!BB5:BK5)</f>
        <v>68210</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1796.14</v>
      </c>
      <c r="E10" s="51">
        <f>SUMPRODUCT(('数据-基础表'!BB10:BK10="地下")*('数据-基础表'!BB11:BK11="商业")*('数据-基础表'!BB5:BK5))</f>
        <v>8892</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5"/>
      <c r="B13" s="1826"/>
      <c r="C13" s="48" t="s">
        <v>1806</v>
      </c>
      <c r="D13" s="48">
        <f t="shared" si="0"/>
        <v>4748.7</v>
      </c>
      <c r="E13" s="51">
        <f>SUMPRODUCT(('数据-基础表'!BB10:BK10="地下")*('数据-基础表'!BB11:BK11="车库")*('数据-基础表'!BB5:BK5))</f>
        <v>23509</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20322.91</v>
      </c>
      <c r="E16" s="53">
        <f>SUM(E8:E15)</f>
        <v>100611</v>
      </c>
      <c r="F16" s="2876"/>
      <c r="G16" s="2877"/>
      <c r="H16" s="1827" t="s">
        <v>1819</v>
      </c>
      <c r="I16" s="1828"/>
      <c r="J16" s="1295"/>
      <c r="K16" s="3187" t="s">
        <v>1819</v>
      </c>
      <c r="L16" s="3188"/>
      <c r="M16" s="3188"/>
      <c r="N16" s="3188"/>
      <c r="O16" s="3188"/>
      <c r="P16" s="3189"/>
    </row>
    <row r="17" spans="1:19" ht="15">
      <c r="A17" s="1829" t="s">
        <v>1820</v>
      </c>
      <c r="B17" s="1830" t="s">
        <v>1821</v>
      </c>
      <c r="C17" s="1831" t="s">
        <v>1822</v>
      </c>
      <c r="D17" s="1832" t="s">
        <v>1810</v>
      </c>
      <c r="E17" s="1833" t="s">
        <v>1811</v>
      </c>
      <c r="F17" s="1834"/>
      <c r="G17" s="1835"/>
      <c r="H17" s="1836" t="s">
        <v>1823</v>
      </c>
      <c r="I17" s="1837" t="s">
        <v>1808</v>
      </c>
      <c r="J17" s="1295"/>
      <c r="K17" s="3184" t="s">
        <v>1824</v>
      </c>
      <c r="L17" s="3185"/>
      <c r="M17" s="3186"/>
      <c r="N17" s="3184" t="s">
        <v>1825</v>
      </c>
      <c r="O17" s="3185"/>
      <c r="P17" s="3186"/>
      <c r="R17" s="1819" t="s">
        <v>1826</v>
      </c>
      <c r="S17" s="60"/>
    </row>
    <row r="18" spans="1:19" ht="15">
      <c r="A18" s="1825"/>
      <c r="B18" s="1838"/>
      <c r="C18" s="1839"/>
      <c r="D18" s="1840"/>
      <c r="E18" s="1841" t="s">
        <v>1827</v>
      </c>
      <c r="F18" s="1842" t="s">
        <v>1828</v>
      </c>
      <c r="G18" s="1843" t="s">
        <v>1829</v>
      </c>
      <c r="H18" s="1166" t="s">
        <v>1830</v>
      </c>
      <c r="I18" s="1844" t="s">
        <v>1831</v>
      </c>
      <c r="J18" s="1295"/>
      <c r="K18" s="1166" t="s">
        <v>1832</v>
      </c>
      <c r="L18" s="1845" t="s">
        <v>1833</v>
      </c>
      <c r="M18" s="958" t="s">
        <v>1834</v>
      </c>
      <c r="N18" s="1166" t="s">
        <v>1832</v>
      </c>
      <c r="O18" s="1845" t="s">
        <v>1833</v>
      </c>
      <c r="P18" s="958" t="s">
        <v>1834</v>
      </c>
      <c r="R18" s="1151" t="s">
        <v>1835</v>
      </c>
      <c r="S18" s="1151" t="s">
        <v>1836</v>
      </c>
    </row>
    <row r="19" spans="1:19">
      <c r="A19" s="1846"/>
      <c r="B19" s="50" t="s">
        <v>1809</v>
      </c>
      <c r="C19" s="3054" t="s">
        <v>3089</v>
      </c>
      <c r="D19" s="48">
        <f>ROUND($D$3*E19/$E$3,2)</f>
        <v>6409.5</v>
      </c>
      <c r="E19" s="56">
        <f t="shared" ref="E19:E26" si="1">SUM(F19:G19)</f>
        <v>31731</v>
      </c>
      <c r="F19" s="3092">
        <f>'数据-基础表'!I5</f>
        <v>22839</v>
      </c>
      <c r="G19" s="3093">
        <f>'数据-基础表'!M5</f>
        <v>8892</v>
      </c>
      <c r="H19" s="679">
        <f>ROUND($D$3*I19/$E$3,2)</f>
        <v>498.83</v>
      </c>
      <c r="I19" s="51">
        <f t="shared" ref="I19:I26" si="2">IF($I$17="自定义",P19,M19)</f>
        <v>2469.5</v>
      </c>
      <c r="J19" s="1295"/>
      <c r="K19" s="1294">
        <f t="shared" ref="K19:K26" si="3">ROUND(E$28*E19/E$27,2)</f>
        <v>2469.5</v>
      </c>
      <c r="L19" s="1151">
        <f t="shared" ref="L19:L26" si="4">ROUND(IF(COUNTIF(C19,"*住宅*")&gt;0,E$29*E19/E$32,0),2)</f>
        <v>0</v>
      </c>
      <c r="M19" s="1306">
        <f>K19+L19</f>
        <v>2469.5</v>
      </c>
      <c r="N19" s="1847"/>
      <c r="O19" s="1848"/>
      <c r="P19" s="1306">
        <f>N19+O19</f>
        <v>0</v>
      </c>
      <c r="R19" s="1151">
        <f t="shared" ref="R19:S26" si="5">D19+H19</f>
        <v>6908.33</v>
      </c>
      <c r="S19" s="1152">
        <f t="shared" si="5"/>
        <v>34200.5</v>
      </c>
    </row>
    <row r="20" spans="1:19">
      <c r="A20" s="1849"/>
      <c r="B20" s="50" t="s">
        <v>1837</v>
      </c>
      <c r="C20" s="3054" t="s">
        <v>3090</v>
      </c>
      <c r="D20" s="48">
        <f t="shared" ref="D20:D26" si="6">ROUND($D$3*E20/$E$3,2)</f>
        <v>9164.7099999999991</v>
      </c>
      <c r="E20" s="56">
        <f t="shared" si="1"/>
        <v>45371</v>
      </c>
      <c r="F20" s="3092">
        <f>'数据-基础表'!K5</f>
        <v>45371</v>
      </c>
      <c r="G20" s="3093"/>
      <c r="H20" s="679">
        <f t="shared" ref="H20:H26" si="7">ROUND($D$3*I20/$E$3,2)</f>
        <v>713.25</v>
      </c>
      <c r="I20" s="51">
        <f t="shared" si="2"/>
        <v>3531.04</v>
      </c>
      <c r="J20" s="1295"/>
      <c r="K20" s="1294">
        <f t="shared" si="3"/>
        <v>3531.04</v>
      </c>
      <c r="L20" s="1151">
        <f t="shared" si="4"/>
        <v>0</v>
      </c>
      <c r="M20" s="1306">
        <f t="shared" ref="M20:M26" si="8">K20+L20</f>
        <v>3531.04</v>
      </c>
      <c r="N20" s="1847"/>
      <c r="O20" s="1848"/>
      <c r="P20" s="1306">
        <f t="shared" ref="P20:P26" si="9">N20+O20</f>
        <v>0</v>
      </c>
      <c r="R20" s="1151">
        <f t="shared" si="5"/>
        <v>9877.9599999999991</v>
      </c>
      <c r="S20" s="1152">
        <f t="shared" si="5"/>
        <v>48902.04</v>
      </c>
    </row>
    <row r="21" spans="1:19">
      <c r="A21" s="1849"/>
      <c r="B21" s="50" t="s">
        <v>1837</v>
      </c>
      <c r="C21" s="3054" t="s">
        <v>3091</v>
      </c>
      <c r="D21" s="48">
        <f t="shared" si="6"/>
        <v>4748.7</v>
      </c>
      <c r="E21" s="56">
        <f t="shared" si="1"/>
        <v>23509</v>
      </c>
      <c r="F21" s="3092"/>
      <c r="G21" s="3093">
        <f>'数据-基础表'!O19</f>
        <v>23509</v>
      </c>
      <c r="H21" s="679">
        <f t="shared" si="7"/>
        <v>369.57</v>
      </c>
      <c r="I21" s="51">
        <f t="shared" si="2"/>
        <v>1829.61</v>
      </c>
      <c r="J21" s="1295"/>
      <c r="K21" s="1294">
        <f t="shared" si="3"/>
        <v>1829.61</v>
      </c>
      <c r="L21" s="1151">
        <f t="shared" si="4"/>
        <v>0</v>
      </c>
      <c r="M21" s="1306">
        <f t="shared" si="8"/>
        <v>1829.61</v>
      </c>
      <c r="N21" s="1847"/>
      <c r="O21" s="1848"/>
      <c r="P21" s="1306">
        <f t="shared" si="9"/>
        <v>0</v>
      </c>
      <c r="R21" s="1151">
        <f t="shared" si="5"/>
        <v>5118.2699999999995</v>
      </c>
      <c r="S21" s="1152">
        <f t="shared" si="5"/>
        <v>25338.61</v>
      </c>
    </row>
    <row r="22" spans="1:19">
      <c r="A22" s="1849"/>
      <c r="B22" s="50" t="s">
        <v>1837</v>
      </c>
      <c r="C22" s="58"/>
      <c r="D22" s="48">
        <f t="shared" si="6"/>
        <v>0</v>
      </c>
      <c r="E22" s="56">
        <f t="shared" si="1"/>
        <v>0</v>
      </c>
      <c r="F22" s="3016"/>
      <c r="G22" s="3017"/>
      <c r="H22" s="679">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0</v>
      </c>
    </row>
    <row r="23" spans="1:19">
      <c r="A23" s="1849"/>
      <c r="B23" s="50" t="s">
        <v>1837</v>
      </c>
      <c r="C23" s="58"/>
      <c r="D23" s="48">
        <f>ROUND($D$3*E23/$E$3,2)</f>
        <v>0</v>
      </c>
      <c r="E23" s="56">
        <f>SUM(F23:G23)</f>
        <v>0</v>
      </c>
      <c r="F23" s="3016"/>
      <c r="G23" s="3017"/>
      <c r="H23" s="679">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1837</v>
      </c>
      <c r="C24" s="58"/>
      <c r="D24" s="48">
        <f>ROUND($D$3*E24/$E$3,2)</f>
        <v>0</v>
      </c>
      <c r="E24" s="56">
        <f>SUM(F24:G24)</f>
        <v>0</v>
      </c>
      <c r="F24" s="3016"/>
      <c r="G24" s="3017"/>
      <c r="H24" s="679">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1837</v>
      </c>
      <c r="C25" s="58"/>
      <c r="D25" s="48">
        <f t="shared" si="6"/>
        <v>0</v>
      </c>
      <c r="E25" s="56">
        <f t="shared" si="1"/>
        <v>0</v>
      </c>
      <c r="F25" s="3016"/>
      <c r="G25" s="3017"/>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1837</v>
      </c>
      <c r="C26" s="59"/>
      <c r="D26" s="48">
        <f t="shared" si="6"/>
        <v>0</v>
      </c>
      <c r="E26" s="56">
        <f t="shared" si="1"/>
        <v>0</v>
      </c>
      <c r="F26" s="3016"/>
      <c r="G26" s="3017"/>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29.25" thickBot="1">
      <c r="A27" s="1849"/>
      <c r="B27" s="48"/>
      <c r="C27" s="1852" t="s">
        <v>1838</v>
      </c>
      <c r="D27" s="1296">
        <f>SUM(D19:D26)</f>
        <v>20322.91</v>
      </c>
      <c r="E27" s="1297">
        <f>IF(SUM(E19:E26)='数据-基础表'!BA5,SUM(E19:E26),IF(F27="地上面积有误","面积有误","地下面积有误"))</f>
        <v>100611</v>
      </c>
      <c r="F27" s="1296">
        <f>IF(SUM(F19:F26)=E8,SUM(F19:F26),"地上面积有误")</f>
        <v>68210</v>
      </c>
      <c r="G27" s="1298">
        <f>SUM(G19:G26)</f>
        <v>32401</v>
      </c>
      <c r="H27" s="1299">
        <f>SUM(H19:H26)</f>
        <v>1581.6499999999999</v>
      </c>
      <c r="I27" s="1300">
        <f>SUM(I19:I26)</f>
        <v>7830.15</v>
      </c>
      <c r="J27" s="1295"/>
      <c r="K27" s="1303">
        <f>SUM(K19:K26)</f>
        <v>7830.15</v>
      </c>
      <c r="L27" s="1304">
        <f>SUM(L19:L26)</f>
        <v>0</v>
      </c>
      <c r="M27" s="1307">
        <f>SUM(M19:M26)</f>
        <v>7830.15</v>
      </c>
      <c r="N27" s="1303">
        <f t="shared" ref="N27:O27" si="10">SUM(N19:N26)</f>
        <v>0</v>
      </c>
      <c r="O27" s="1304">
        <f t="shared" si="10"/>
        <v>0</v>
      </c>
      <c r="P27" s="1305">
        <f>SUM(P19:P26)</f>
        <v>0</v>
      </c>
      <c r="R27" s="1153" t="str">
        <f>IF(SUM(R19:R26)=$D$3,SUM(R19:R26),SUM(R19:R26)&amp;"误差"&amp;ROUND(SUM(R19:R26)-$D$3,2))</f>
        <v>21904.56误差0.01</v>
      </c>
      <c r="S27" s="1151">
        <f>IF(SUM(S19:S26)=$E$3,SUM(S19:S26),SUM(S19:S26)&amp;"误差"&amp;ROUND(SUM(S19:S26)-E3,2))</f>
        <v>108441.15000000001</v>
      </c>
    </row>
    <row r="28" spans="1:19">
      <c r="A28" s="1849"/>
      <c r="B28" s="50" t="s">
        <v>1839</v>
      </c>
      <c r="C28" s="1163" t="s">
        <v>1840</v>
      </c>
      <c r="D28" s="48">
        <f>ROUND($D$3*E28/$E$3,2)</f>
        <v>1581.65</v>
      </c>
      <c r="E28" s="56">
        <f>SUM(F28:G28)</f>
        <v>7830.15</v>
      </c>
      <c r="F28" s="60">
        <f>'数据-基础表'!BQ5+'数据-基础表'!BS5</f>
        <v>2185.58</v>
      </c>
      <c r="G28" s="61">
        <f>'数据-基础表'!BR5+'数据-基础表'!BT5</f>
        <v>5644.57</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6">
        <f>SUM(D28:D29)</f>
        <v>1581.65</v>
      </c>
      <c r="E30" s="1296">
        <f>SUM(E28:E29)</f>
        <v>7830.15</v>
      </c>
      <c r="F30" s="1296">
        <f>SUM(F28:F29)</f>
        <v>2185.58</v>
      </c>
      <c r="G30" s="1298">
        <f>SUM(G28:G29)</f>
        <v>5644.57</v>
      </c>
      <c r="H30" s="2876"/>
      <c r="I30" s="2876"/>
      <c r="J30" s="2876"/>
      <c r="K30" s="2876"/>
      <c r="L30" s="2876"/>
      <c r="M30" s="2876"/>
      <c r="N30" s="2876"/>
      <c r="O30" s="2876"/>
      <c r="P30" s="2876"/>
    </row>
    <row r="31" spans="1:19" ht="15.75" thickBot="1">
      <c r="A31" s="1855"/>
      <c r="B31" s="1856"/>
      <c r="C31" s="938" t="s">
        <v>1842</v>
      </c>
      <c r="D31" s="685">
        <f>D27+D30</f>
        <v>21904.560000000001</v>
      </c>
      <c r="E31" s="685">
        <f>E27+E30</f>
        <v>108441.15</v>
      </c>
      <c r="F31" s="686">
        <f>F27+F30</f>
        <v>70395.58</v>
      </c>
      <c r="G31" s="687">
        <f>G27+G30</f>
        <v>38045.57</v>
      </c>
      <c r="H31" s="2876"/>
      <c r="I31" s="2876"/>
      <c r="J31" s="2876"/>
      <c r="K31" s="2876"/>
      <c r="L31" s="2876"/>
      <c r="M31" s="2876"/>
      <c r="N31" s="2876"/>
      <c r="O31" s="2876"/>
      <c r="P31" s="2876"/>
    </row>
    <row r="32" spans="1:19">
      <c r="A32" s="1822"/>
      <c r="B32" s="1822" t="s">
        <v>1843</v>
      </c>
      <c r="C32" s="1822"/>
      <c r="D32" s="1822"/>
      <c r="E32" s="1178">
        <f>SUMIF(C19:C26,"*住宅*",E19:E26)</f>
        <v>0</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27" sqref="I26:I27"/>
    </sheetView>
  </sheetViews>
  <sheetFormatPr defaultRowHeight="13.5"/>
  <cols>
    <col min="1" max="1" width="12.875" bestFit="1" customWidth="1"/>
  </cols>
  <sheetData>
    <row r="1" spans="1:9" ht="14.25" thickBot="1">
      <c r="A1" s="3199" t="s">
        <v>3349</v>
      </c>
      <c r="B1" s="3202" t="s">
        <v>3350</v>
      </c>
      <c r="C1" s="3203"/>
      <c r="D1" s="3203"/>
      <c r="E1" s="3203"/>
      <c r="F1" s="3203"/>
      <c r="G1" s="3203"/>
      <c r="H1" s="3203"/>
      <c r="I1" s="3204"/>
    </row>
    <row r="2" spans="1:9" ht="14.25" thickBot="1">
      <c r="A2" s="3200"/>
      <c r="B2" s="3205" t="s">
        <v>37</v>
      </c>
      <c r="C2" s="3202" t="s">
        <v>38</v>
      </c>
      <c r="D2" s="3203"/>
      <c r="E2" s="3203"/>
      <c r="F2" s="3203"/>
      <c r="G2" s="3204"/>
      <c r="H2" s="3202" t="s">
        <v>39</v>
      </c>
      <c r="I2" s="3204"/>
    </row>
    <row r="3" spans="1:9" ht="14.25" thickBot="1">
      <c r="A3" s="3201"/>
      <c r="B3" s="3206"/>
      <c r="C3" s="3094" t="s">
        <v>40</v>
      </c>
      <c r="D3" s="3094" t="s">
        <v>27</v>
      </c>
      <c r="E3" s="3094" t="s">
        <v>1343</v>
      </c>
      <c r="F3" s="3094" t="s">
        <v>3351</v>
      </c>
      <c r="G3" s="3094" t="s">
        <v>48</v>
      </c>
      <c r="H3" s="3094" t="s">
        <v>40</v>
      </c>
      <c r="I3" s="3094" t="s">
        <v>3352</v>
      </c>
    </row>
    <row r="4" spans="1:9" ht="14.25" thickBot="1">
      <c r="A4" s="3096" t="str">
        <f>'数据-基础表'!C13</f>
        <v>1#商业办公楼</v>
      </c>
      <c r="B4" s="3095">
        <f>SUM(C4,H4)</f>
        <v>17040</v>
      </c>
      <c r="C4" s="3095">
        <f>SUM(D4:G4)</f>
        <v>16610</v>
      </c>
      <c r="D4" s="3095">
        <f>'数据-基础表'!K13</f>
        <v>13019</v>
      </c>
      <c r="E4" s="3095">
        <f>'数据-基础表'!I13</f>
        <v>3591</v>
      </c>
      <c r="F4" s="3095">
        <f>'数据-基础表'!M13</f>
        <v>0</v>
      </c>
      <c r="G4" s="3095">
        <f>'数据-基础表'!O13</f>
        <v>0</v>
      </c>
      <c r="H4" s="3095">
        <f>I4</f>
        <v>430</v>
      </c>
      <c r="I4" s="3095">
        <f>'数据-基础表'!AL13+'数据-基础表'!AN13</f>
        <v>430</v>
      </c>
    </row>
    <row r="5" spans="1:9" ht="14.25" thickBot="1">
      <c r="A5" s="3096" t="str">
        <f>'数据-基础表'!C14</f>
        <v>2#商业办公楼</v>
      </c>
      <c r="B5" s="3095">
        <f t="shared" ref="B5:B10" si="0">SUM(C5,H5)</f>
        <v>13192</v>
      </c>
      <c r="C5" s="3095">
        <f t="shared" ref="C5:C10" si="1">SUM(D5:G5)</f>
        <v>12787</v>
      </c>
      <c r="D5" s="3095">
        <f>'数据-基础表'!K14</f>
        <v>9606</v>
      </c>
      <c r="E5" s="3095">
        <f>'数据-基础表'!I14</f>
        <v>3181</v>
      </c>
      <c r="F5" s="3095">
        <f>'数据-基础表'!M14</f>
        <v>0</v>
      </c>
      <c r="G5" s="3095">
        <f>'数据-基础表'!O14</f>
        <v>0</v>
      </c>
      <c r="H5" s="3095">
        <f t="shared" ref="H5:H10" si="2">I5</f>
        <v>405</v>
      </c>
      <c r="I5" s="3095">
        <f>'数据-基础表'!AL14+'数据-基础表'!AN14</f>
        <v>405</v>
      </c>
    </row>
    <row r="6" spans="1:9" ht="14.25" thickBot="1">
      <c r="A6" s="3096" t="str">
        <f>'数据-基础表'!C15</f>
        <v>3#商业办公楼</v>
      </c>
      <c r="B6" s="3095">
        <f t="shared" si="0"/>
        <v>12942</v>
      </c>
      <c r="C6" s="3095">
        <f t="shared" si="1"/>
        <v>12599</v>
      </c>
      <c r="D6" s="3095">
        <f>'数据-基础表'!K15</f>
        <v>9647</v>
      </c>
      <c r="E6" s="3095">
        <f>'数据-基础表'!I15</f>
        <v>2952</v>
      </c>
      <c r="F6" s="3095">
        <f>'数据-基础表'!M15</f>
        <v>0</v>
      </c>
      <c r="G6" s="3095">
        <f>'数据-基础表'!O15</f>
        <v>0</v>
      </c>
      <c r="H6" s="3095">
        <f t="shared" si="2"/>
        <v>343</v>
      </c>
      <c r="I6" s="3095">
        <f>'数据-基础表'!AL15+'数据-基础表'!AN15</f>
        <v>343</v>
      </c>
    </row>
    <row r="7" spans="1:9" ht="14.25" thickBot="1">
      <c r="A7" s="3096" t="str">
        <f>'数据-基础表'!C16</f>
        <v>4#商业办公楼</v>
      </c>
      <c r="B7" s="3095">
        <f t="shared" si="0"/>
        <v>17068</v>
      </c>
      <c r="C7" s="3095">
        <f t="shared" si="1"/>
        <v>16638</v>
      </c>
      <c r="D7" s="3095">
        <f>'数据-基础表'!K16</f>
        <v>13099</v>
      </c>
      <c r="E7" s="3095">
        <f>'数据-基础表'!I16</f>
        <v>3539</v>
      </c>
      <c r="F7" s="3095">
        <f>'数据-基础表'!M16</f>
        <v>0</v>
      </c>
      <c r="G7" s="3095">
        <f>'数据-基础表'!O16</f>
        <v>0</v>
      </c>
      <c r="H7" s="3095">
        <f t="shared" si="2"/>
        <v>430</v>
      </c>
      <c r="I7" s="3095">
        <f>'数据-基础表'!AL16+'数据-基础表'!AN16</f>
        <v>430</v>
      </c>
    </row>
    <row r="8" spans="1:9" ht="14.25" thickBot="1">
      <c r="A8" s="3096" t="str">
        <f>'数据-基础表'!C17</f>
        <v>5#商业</v>
      </c>
      <c r="B8" s="3095">
        <f t="shared" si="0"/>
        <v>4788</v>
      </c>
      <c r="C8" s="3095">
        <f t="shared" si="1"/>
        <v>4788</v>
      </c>
      <c r="D8" s="3095">
        <f>'数据-基础表'!K17</f>
        <v>0</v>
      </c>
      <c r="E8" s="3095">
        <f>'数据-基础表'!I17</f>
        <v>4788</v>
      </c>
      <c r="F8" s="3095">
        <f>'数据-基础表'!M17</f>
        <v>0</v>
      </c>
      <c r="G8" s="3095">
        <f>'数据-基础表'!O17</f>
        <v>0</v>
      </c>
      <c r="H8" s="3095">
        <f t="shared" si="2"/>
        <v>0</v>
      </c>
      <c r="I8" s="3095">
        <f>'数据-基础表'!AL17+'数据-基础表'!AN17</f>
        <v>0</v>
      </c>
    </row>
    <row r="9" spans="1:9" ht="14.25" thickBot="1">
      <c r="A9" s="3096" t="str">
        <f>'数据-基础表'!C18</f>
        <v>6#商业</v>
      </c>
      <c r="B9" s="3095">
        <f t="shared" si="0"/>
        <v>4788</v>
      </c>
      <c r="C9" s="3095">
        <f t="shared" si="1"/>
        <v>4788</v>
      </c>
      <c r="D9" s="3095">
        <f>'数据-基础表'!K18</f>
        <v>0</v>
      </c>
      <c r="E9" s="3095">
        <f>'数据-基础表'!I18</f>
        <v>4788</v>
      </c>
      <c r="F9" s="3095">
        <f>'数据-基础表'!M18</f>
        <v>0</v>
      </c>
      <c r="G9" s="3095">
        <f>'数据-基础表'!O18</f>
        <v>0</v>
      </c>
      <c r="H9" s="3095">
        <f t="shared" si="2"/>
        <v>0</v>
      </c>
      <c r="I9" s="3095">
        <f>'数据-基础表'!AL18+'数据-基础表'!AN18</f>
        <v>0</v>
      </c>
    </row>
    <row r="10" spans="1:9" ht="14.25" thickBot="1">
      <c r="A10" s="3096" t="str">
        <f>'数据-基础表'!C19</f>
        <v>7#商业及地下车库</v>
      </c>
      <c r="B10" s="3095">
        <f t="shared" si="0"/>
        <v>38623.15</v>
      </c>
      <c r="C10" s="3095">
        <f t="shared" si="1"/>
        <v>32401</v>
      </c>
      <c r="D10" s="3095">
        <f>'数据-基础表'!K19</f>
        <v>0</v>
      </c>
      <c r="E10" s="3095">
        <f>'数据-基础表'!I19</f>
        <v>0</v>
      </c>
      <c r="F10" s="3095">
        <f>'数据-基础表'!M19</f>
        <v>8892</v>
      </c>
      <c r="G10" s="3095">
        <f>'数据-基础表'!O19</f>
        <v>23509</v>
      </c>
      <c r="H10" s="3095">
        <f t="shared" si="2"/>
        <v>6222.15</v>
      </c>
      <c r="I10" s="3095">
        <f>'数据-基础表'!AL19+'数据-基础表'!AN19</f>
        <v>6222.15</v>
      </c>
    </row>
    <row r="11" spans="1:9" ht="14.25" thickBot="1">
      <c r="A11" s="3096" t="s">
        <v>37</v>
      </c>
      <c r="B11" s="3095">
        <f>SUM(B4:B10)</f>
        <v>108441.15</v>
      </c>
      <c r="C11" s="3095">
        <f t="shared" ref="C11:I11" si="3">SUM(C4:C10)</f>
        <v>100611</v>
      </c>
      <c r="D11" s="3095">
        <f t="shared" si="3"/>
        <v>45371</v>
      </c>
      <c r="E11" s="3095">
        <f t="shared" si="3"/>
        <v>22839</v>
      </c>
      <c r="F11" s="3095">
        <f t="shared" si="3"/>
        <v>8892</v>
      </c>
      <c r="G11" s="3095">
        <f t="shared" si="3"/>
        <v>23509</v>
      </c>
      <c r="H11" s="3095">
        <f t="shared" si="3"/>
        <v>7830.15</v>
      </c>
      <c r="I11" s="3095">
        <f t="shared" si="3"/>
        <v>7830.15</v>
      </c>
    </row>
  </sheetData>
  <mergeCells count="5">
    <mergeCell ref="A1:A3"/>
    <mergeCell ref="B1:I1"/>
    <mergeCell ref="B2:B3"/>
    <mergeCell ref="C2:G2"/>
    <mergeCell ref="H2:I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1" width="14" style="1780" customWidth="1"/>
    <col min="12" max="12" width="12.375" style="1780" customWidth="1"/>
    <col min="13" max="13" width="12.375" style="1861" customWidth="1"/>
    <col min="14" max="14" width="13.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7.6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8"/>
      <c r="C1" s="1346"/>
      <c r="D1" s="1859"/>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8" customFormat="1" ht="15.75" thickBot="1">
      <c r="A2" s="1862" t="s">
        <v>1845</v>
      </c>
      <c r="B2" s="1170">
        <f>项目基本情况!D3</f>
        <v>44299</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2" t="s">
        <v>1856</v>
      </c>
      <c r="F5" s="1878" t="s">
        <v>1857</v>
      </c>
      <c r="G5" s="1172" t="s">
        <v>1858</v>
      </c>
      <c r="H5" s="1172" t="s">
        <v>1859</v>
      </c>
      <c r="I5" s="1172" t="s">
        <v>1860</v>
      </c>
      <c r="J5" s="1879" t="s">
        <v>1861</v>
      </c>
      <c r="K5" s="1880" t="s">
        <v>1862</v>
      </c>
      <c r="L5" s="1881" t="s">
        <v>1863</v>
      </c>
      <c r="M5" s="1882" t="s">
        <v>1864</v>
      </c>
      <c r="N5" s="1883" t="s">
        <v>3092</v>
      </c>
      <c r="O5" s="1881" t="s">
        <v>1865</v>
      </c>
      <c r="P5" s="1884" t="s">
        <v>1866</v>
      </c>
      <c r="Q5" s="65" t="s">
        <v>1867</v>
      </c>
      <c r="R5" s="1885" t="s">
        <v>1868</v>
      </c>
      <c r="S5" s="1886" t="s">
        <v>1869</v>
      </c>
      <c r="T5" s="1887" t="s">
        <v>1870</v>
      </c>
      <c r="U5" s="1171" t="s">
        <v>1871</v>
      </c>
      <c r="V5" s="1172" t="s">
        <v>1872</v>
      </c>
      <c r="W5" s="1172" t="s">
        <v>1873</v>
      </c>
      <c r="X5" s="67"/>
      <c r="Y5" s="66" t="s">
        <v>1874</v>
      </c>
      <c r="Z5" s="1888" t="s">
        <v>1871</v>
      </c>
      <c r="AA5" s="1172" t="s">
        <v>1872</v>
      </c>
      <c r="AB5" s="1172" t="s">
        <v>1873</v>
      </c>
      <c r="AC5" s="67"/>
      <c r="AD5" s="67" t="s">
        <v>1874</v>
      </c>
      <c r="AE5" s="1171" t="s">
        <v>1875</v>
      </c>
      <c r="AF5" s="1172" t="s">
        <v>1876</v>
      </c>
      <c r="AG5" s="66" t="s">
        <v>1877</v>
      </c>
      <c r="AH5" s="1171" t="s">
        <v>1878</v>
      </c>
      <c r="AI5" s="1888" t="s">
        <v>1879</v>
      </c>
      <c r="AJ5" s="1888" t="s">
        <v>1880</v>
      </c>
      <c r="AK5" s="1172" t="s">
        <v>1881</v>
      </c>
      <c r="AL5" s="1172" t="s">
        <v>1882</v>
      </c>
      <c r="AM5" s="66" t="s">
        <v>1883</v>
      </c>
      <c r="AN5" s="1889" t="s">
        <v>1884</v>
      </c>
      <c r="AO5" s="1741" t="s">
        <v>1885</v>
      </c>
      <c r="AP5" s="1153" t="s">
        <v>1886</v>
      </c>
      <c r="AQ5" s="1890" t="s">
        <v>1887</v>
      </c>
      <c r="AR5" s="1890" t="s">
        <v>1888</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商业</v>
      </c>
      <c r="B6" s="1892" t="str">
        <f>IF(A6=0,"","经营性")</f>
        <v>经营性</v>
      </c>
      <c r="C6" s="1893" t="s">
        <v>1343</v>
      </c>
      <c r="D6" s="961">
        <f>SUMIF(项目基本情况!D$12:I$12,C6,项目基本情况!D$14:I$14)</f>
        <v>40</v>
      </c>
      <c r="E6" s="960">
        <f>IF(B6="","",SUMIF(项目基本情况!D$12:I$12,C6,项目基本情况!D$13:I$13))</f>
        <v>56366</v>
      </c>
      <c r="F6" s="68">
        <f>SUMIF(项目基本情况!D$12:I$12,C6,项目基本情况!D$15:I$15)</f>
        <v>33.06</v>
      </c>
      <c r="G6" s="69">
        <f>IF(ISERROR(ROUND(POWER(1+H6,D6-F6)*(POWER(1+H6,F6)-1)/(POWER(1+H6,D6)-1),3)),0,ROUND(POWER(1+H6,D6-F6)*(POWER(1+H6,F6)-1)/(POWER(1+H6,D6)-1),3))</f>
        <v>0.93300000000000005</v>
      </c>
      <c r="H6" s="741">
        <v>0.05</v>
      </c>
      <c r="I6" s="741">
        <v>5.5E-2</v>
      </c>
      <c r="J6" s="70">
        <v>0.08</v>
      </c>
      <c r="K6" s="1155">
        <f>SUMIF('数据-汇总表'!C$19:C$33,A6,'数据-汇总表'!E$19:E$33)</f>
        <v>31731</v>
      </c>
      <c r="L6" s="3100">
        <v>4500</v>
      </c>
      <c r="M6" s="71">
        <f t="shared" ref="M6:M14" si="0">ROUND(K6*L6/10000,0)</f>
        <v>14279</v>
      </c>
      <c r="N6" s="740">
        <v>0.57799999999999996</v>
      </c>
      <c r="O6" s="71">
        <f>IF($N$5="成新度","——",ROUND(M6*N6,0))</f>
        <v>8253</v>
      </c>
      <c r="P6" s="72">
        <f>IF($N$5="成新度","——",M6-O6)</f>
        <v>6026</v>
      </c>
      <c r="Q6" s="3104">
        <v>0.18</v>
      </c>
      <c r="R6" s="73">
        <f ca="1">SUMIF('数据-汇总表'!C$19:C$33,A6,'数据-汇总表'!R$19:R$27)</f>
        <v>6908.33</v>
      </c>
      <c r="S6" s="54">
        <f>IF('数据-汇总表'!$I$17="按面积比例",SUMIF('数据-汇总表'!C$19:C$33,A6,'数据-汇总表'!K$19:K$33),SUMIF('数据-汇总表'!C$19:C$33,A6,'数据-汇总表'!N$19:N$33))</f>
        <v>2469.5</v>
      </c>
      <c r="T6" s="1328">
        <f>ROUND($L$14*S6/10000,0)</f>
        <v>864</v>
      </c>
      <c r="U6" s="74">
        <v>6.3</v>
      </c>
      <c r="V6" s="75">
        <v>0.03</v>
      </c>
      <c r="W6" s="75">
        <v>0.1</v>
      </c>
      <c r="X6" s="1165"/>
      <c r="Y6" s="76">
        <v>1</v>
      </c>
      <c r="Z6" s="77"/>
      <c r="AA6" s="70"/>
      <c r="AB6" s="70"/>
      <c r="AC6" s="1165"/>
      <c r="AD6" s="78"/>
      <c r="AE6" s="1166">
        <f ca="1">IF(AN6="",0,SUMIF(INDIRECT("'"&amp;AN6&amp;"'"&amp;"!E:E"),$AE$5,INDIRECT("'"&amp;AN6&amp;"'"&amp;"!F:F")))</f>
        <v>32.06</v>
      </c>
      <c r="AF6" s="1526"/>
      <c r="AG6" s="143">
        <f>IF(AF6="",0,AE6-AF6)</f>
        <v>0</v>
      </c>
      <c r="AH6" s="79"/>
      <c r="AI6" s="81">
        <v>365</v>
      </c>
      <c r="AJ6" s="82"/>
      <c r="AK6" s="3107">
        <v>1.2E-2</v>
      </c>
      <c r="AL6" s="84">
        <v>1E-3</v>
      </c>
      <c r="AM6" s="3106">
        <v>1.4999999999999999E-2</v>
      </c>
      <c r="AN6" s="1894" t="s">
        <v>3329</v>
      </c>
      <c r="AO6" s="55">
        <f ca="1">SUMIF(INDIRECT("'"&amp;AN6&amp;"'"&amp;"!A:A"),"总价",INDIRECT("'"&amp;AN6&amp;"'"&amp;"!B:B"))</f>
        <v>108880</v>
      </c>
      <c r="AP6" s="1895">
        <f>IF(C6="住宅",K6*L6,0)</f>
        <v>0</v>
      </c>
      <c r="AQ6" s="55">
        <f>ROUND($L$14*$N$14*S6/10000,0)</f>
        <v>500</v>
      </c>
      <c r="AR6" s="55">
        <f>ROUND($L$14*(1-$N$14)*S6/10000,0)</f>
        <v>365</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办公</v>
      </c>
      <c r="B7" s="1892" t="str">
        <f t="shared" ref="B7:B13" si="1">IF(A7=0,"","经营性")</f>
        <v>经营性</v>
      </c>
      <c r="C7" s="1893" t="s">
        <v>27</v>
      </c>
      <c r="D7" s="961">
        <f>SUMIF(项目基本情况!D$12:I$12,C7,项目基本情况!D$14:I$14)</f>
        <v>50</v>
      </c>
      <c r="E7" s="960">
        <f>IF(B7="","",SUMIF(项目基本情况!D$12:I$12,C7,项目基本情况!D$13:I$13))</f>
        <v>60019</v>
      </c>
      <c r="F7" s="68">
        <f>SUMIF(项目基本情况!D$12:I$12,C7,项目基本情况!D$15:I$15)</f>
        <v>43.06</v>
      </c>
      <c r="G7" s="69">
        <f t="shared" ref="G7:G11" si="2">IF(ISERROR(ROUND(POWER(1+H7,D7-F7)*(POWER(1+H7,F7)-1)/(POWER(1+H7,D7)-1),3)),0,ROUND(POWER(1+H7,D7-F7)*(POWER(1+H7,F7)-1)/(POWER(1+H7,D7)-1),3))</f>
        <v>0.95599999999999996</v>
      </c>
      <c r="H7" s="741">
        <v>4.4999999999999998E-2</v>
      </c>
      <c r="I7" s="3101">
        <v>5.5E-2</v>
      </c>
      <c r="J7" s="70">
        <v>0.08</v>
      </c>
      <c r="K7" s="1155">
        <f>SUMIF('数据-汇总表'!C$19:C$33,A7,'数据-汇总表'!E$19:E$33)</f>
        <v>45371</v>
      </c>
      <c r="L7" s="3100">
        <f>L6</f>
        <v>4500</v>
      </c>
      <c r="M7" s="71">
        <f t="shared" si="0"/>
        <v>20417</v>
      </c>
      <c r="N7" s="740">
        <f>N6</f>
        <v>0.57799999999999996</v>
      </c>
      <c r="O7" s="71">
        <f t="shared" ref="O7:O14" si="3">IF($N$5="成新度","——",ROUND(M7*N7,0))</f>
        <v>11801</v>
      </c>
      <c r="P7" s="72">
        <f t="shared" ref="P7:P14" si="4">IF($N$5="成新度","——",M7-O7)</f>
        <v>8616</v>
      </c>
      <c r="Q7" s="3104">
        <v>0.12</v>
      </c>
      <c r="R7" s="73">
        <f ca="1">SUMIF('数据-汇总表'!C$19:C$33,A7,'数据-汇总表'!R$19:R$27)</f>
        <v>9877.9599999999991</v>
      </c>
      <c r="S7" s="54">
        <f>IF('数据-汇总表'!$I$17="按面积比例",SUMIF('数据-汇总表'!C$19:C$33,A7,'数据-汇总表'!K$19:K$33),SUMIF('数据-汇总表'!C$19:C$33,A7,'数据-汇总表'!N$19:N$33))</f>
        <v>3531.04</v>
      </c>
      <c r="T7" s="1328">
        <f t="shared" ref="T7:T13" si="5">ROUND($L$14*S7/10000,0)</f>
        <v>1236</v>
      </c>
      <c r="U7" s="3102">
        <v>4.2</v>
      </c>
      <c r="V7" s="75">
        <v>0.03</v>
      </c>
      <c r="W7" s="75">
        <v>0.1</v>
      </c>
      <c r="X7" s="1165"/>
      <c r="Y7" s="76">
        <v>1</v>
      </c>
      <c r="Z7" s="77"/>
      <c r="AA7" s="70"/>
      <c r="AB7" s="70"/>
      <c r="AC7" s="1165"/>
      <c r="AD7" s="78"/>
      <c r="AE7" s="1166">
        <f t="shared" ref="AE7:AE13" ca="1" si="6">IF(AN7="",0,SUMIF(INDIRECT("'"&amp;AN7&amp;"'"&amp;"!E:E"),$AE$5,INDIRECT("'"&amp;AN7&amp;"'"&amp;"!F:F")))</f>
        <v>42.06</v>
      </c>
      <c r="AF7" s="1526"/>
      <c r="AG7" s="143">
        <f t="shared" ref="AG7:AG13" si="7">IF(AF7="",0,AE7-AF7)</f>
        <v>0</v>
      </c>
      <c r="AH7" s="79"/>
      <c r="AI7" s="81">
        <v>365</v>
      </c>
      <c r="AJ7" s="82"/>
      <c r="AK7" s="3107">
        <f>AK6</f>
        <v>1.2E-2</v>
      </c>
      <c r="AL7" s="84">
        <v>1E-3</v>
      </c>
      <c r="AM7" s="3106">
        <v>1.4999999999999999E-2</v>
      </c>
      <c r="AN7" s="1894" t="s">
        <v>3325</v>
      </c>
      <c r="AO7" s="55">
        <f t="shared" ref="AO7:AO13" ca="1" si="8">SUMIF(INDIRECT("'"&amp;AN7&amp;"'"&amp;"!A:A"),"总价",INDIRECT("'"&amp;AN7&amp;"'"&amp;"!B:B"))</f>
        <v>119818</v>
      </c>
      <c r="AP7" s="1895">
        <f t="shared" ref="AP7:AP13" si="9">IF(C7="住宅",K7*L7,0)</f>
        <v>0</v>
      </c>
      <c r="AQ7" s="55">
        <f t="shared" ref="AQ7:AQ13" si="10">ROUND($L$14*$N$14*S7/10000,0)</f>
        <v>714</v>
      </c>
      <c r="AR7" s="55">
        <f t="shared" ref="AR7:AR13" si="11">ROUND($L$14*(1-$N$14)*S7/10000,0)</f>
        <v>522</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地下车库</v>
      </c>
      <c r="B8" s="1892" t="str">
        <f t="shared" si="1"/>
        <v>经营性</v>
      </c>
      <c r="C8" s="1893" t="s">
        <v>3088</v>
      </c>
      <c r="D8" s="961">
        <f>SUMIF(项目基本情况!D$12:I$12,C8,项目基本情况!D$14:I$14)</f>
        <v>50</v>
      </c>
      <c r="E8" s="960">
        <f>IF(B8="","",SUMIF(项目基本情况!D$12:I$12,C8,项目基本情况!D$13:I$13))</f>
        <v>60019</v>
      </c>
      <c r="F8" s="68">
        <f>SUMIF(项目基本情况!D$12:I$12,C8,项目基本情况!D$15:I$15)</f>
        <v>43.06</v>
      </c>
      <c r="G8" s="69">
        <f t="shared" si="2"/>
        <v>0.95599999999999996</v>
      </c>
      <c r="H8" s="741">
        <v>4.4999999999999998E-2</v>
      </c>
      <c r="I8" s="3101">
        <v>0.05</v>
      </c>
      <c r="J8" s="70">
        <v>0.08</v>
      </c>
      <c r="K8" s="1155">
        <f>SUMIF('数据-汇总表'!C$19:C$33,A8,'数据-汇总表'!E$19:E$33)</f>
        <v>23509</v>
      </c>
      <c r="L8" s="3100">
        <v>3500</v>
      </c>
      <c r="M8" s="71">
        <f>ROUND(K8*L8/10000,0)</f>
        <v>8228</v>
      </c>
      <c r="N8" s="740">
        <f>N6</f>
        <v>0.57799999999999996</v>
      </c>
      <c r="O8" s="71">
        <f t="shared" si="3"/>
        <v>4756</v>
      </c>
      <c r="P8" s="72">
        <f t="shared" si="4"/>
        <v>3472</v>
      </c>
      <c r="Q8" s="743">
        <v>0.05</v>
      </c>
      <c r="R8" s="73">
        <f ca="1">SUMIF('数据-汇总表'!C$19:C$33,A8,'数据-汇总表'!R$19:R$27)</f>
        <v>5118.2699999999995</v>
      </c>
      <c r="S8" s="54">
        <f>IF('数据-汇总表'!$I$17="按面积比例",SUMIF('数据-汇总表'!C$19:C$33,A8,'数据-汇总表'!K$19:K$33),SUMIF('数据-汇总表'!C$19:C$33,A8,'数据-汇总表'!N$19:N$33))</f>
        <v>1829.61</v>
      </c>
      <c r="T8" s="1328">
        <f t="shared" si="5"/>
        <v>640</v>
      </c>
      <c r="U8" s="74">
        <v>900</v>
      </c>
      <c r="V8" s="3105">
        <v>0.02</v>
      </c>
      <c r="W8" s="75">
        <v>0.1</v>
      </c>
      <c r="X8" s="1165"/>
      <c r="Y8" s="76">
        <v>1</v>
      </c>
      <c r="Z8" s="77"/>
      <c r="AA8" s="70"/>
      <c r="AB8" s="70"/>
      <c r="AC8" s="1165"/>
      <c r="AD8" s="78"/>
      <c r="AE8" s="1166">
        <f t="shared" ca="1" si="6"/>
        <v>42.06</v>
      </c>
      <c r="AF8" s="1526"/>
      <c r="AG8" s="143">
        <f t="shared" si="7"/>
        <v>0</v>
      </c>
      <c r="AH8" s="744">
        <v>826</v>
      </c>
      <c r="AI8" s="81">
        <v>12</v>
      </c>
      <c r="AJ8" s="82"/>
      <c r="AK8" s="83">
        <v>0.01</v>
      </c>
      <c r="AL8" s="84">
        <v>1E-3</v>
      </c>
      <c r="AM8" s="3106">
        <v>1.4999999999999999E-2</v>
      </c>
      <c r="AN8" s="1894" t="s">
        <v>3327</v>
      </c>
      <c r="AO8" s="55">
        <f t="shared" ca="1" si="8"/>
        <v>12189</v>
      </c>
      <c r="AP8" s="1895">
        <f t="shared" si="9"/>
        <v>0</v>
      </c>
      <c r="AQ8" s="55">
        <f t="shared" si="10"/>
        <v>370</v>
      </c>
      <c r="AR8" s="55">
        <f t="shared" si="11"/>
        <v>270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1"/>
        <v/>
      </c>
      <c r="C9" s="1893"/>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6"/>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6"/>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6"/>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6"/>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6"/>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1889</v>
      </c>
      <c r="B14" s="1892" t="s">
        <v>1890</v>
      </c>
      <c r="C14" s="1897" t="s">
        <v>1889</v>
      </c>
      <c r="D14" s="961"/>
      <c r="E14" s="960"/>
      <c r="F14" s="68"/>
      <c r="G14" s="69"/>
      <c r="H14" s="1154"/>
      <c r="I14" s="1154"/>
      <c r="J14" s="1154"/>
      <c r="K14" s="1155">
        <f>SUMIF('数据-汇总表'!C$19:C$33,A14,'数据-汇总表'!E$19:E$33)</f>
        <v>7830.15</v>
      </c>
      <c r="L14" s="3103">
        <f>L8</f>
        <v>3500</v>
      </c>
      <c r="M14" s="71">
        <f t="shared" si="0"/>
        <v>2741</v>
      </c>
      <c r="N14" s="88">
        <f>N8</f>
        <v>0.57799999999999996</v>
      </c>
      <c r="O14" s="71">
        <f t="shared" si="3"/>
        <v>1584</v>
      </c>
      <c r="P14" s="72">
        <f t="shared" si="4"/>
        <v>1157</v>
      </c>
      <c r="Q14" s="1158"/>
      <c r="R14" s="73"/>
      <c r="S14" s="54"/>
      <c r="T14" s="1328"/>
      <c r="U14" s="679"/>
      <c r="V14" s="1160"/>
      <c r="W14" s="1160"/>
      <c r="X14" s="1161"/>
      <c r="Y14" s="1162"/>
      <c r="Z14" s="1163"/>
      <c r="AA14" s="1164"/>
      <c r="AB14" s="1164"/>
      <c r="AC14" s="1165"/>
      <c r="AD14" s="1161"/>
      <c r="AE14" s="1166"/>
      <c r="AF14" s="55"/>
      <c r="AG14" s="143"/>
      <c r="AH14" s="1166"/>
      <c r="AI14" s="1535"/>
      <c r="AJ14" s="713"/>
      <c r="AK14" s="1167"/>
      <c r="AL14" s="1168"/>
      <c r="AM14" s="1169"/>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1891</v>
      </c>
      <c r="B15" s="1892" t="s">
        <v>1890</v>
      </c>
      <c r="C15" s="1897"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5"/>
      <c r="AJ15" s="713"/>
      <c r="AK15" s="1167"/>
      <c r="AL15" s="1168"/>
      <c r="AM15" s="1169"/>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1893</v>
      </c>
      <c r="B16" s="93"/>
      <c r="C16" s="936"/>
      <c r="D16" s="1899"/>
      <c r="E16" s="93"/>
      <c r="F16" s="93"/>
      <c r="G16" s="94">
        <f>ROUND(SUMPRODUCT(G6:G13,K6:K13)/SUMPRODUCT((G6:G13&gt;0)*(K6:K13)),3)</f>
        <v>0.94899999999999995</v>
      </c>
      <c r="H16" s="95">
        <f>ROUND(SUMPRODUCT(H6:H13,K6:K13)/SUMPRODUCT((H6:H13&gt;0)*(K6:K13)),3)</f>
        <v>4.7E-2</v>
      </c>
      <c r="I16" s="96"/>
      <c r="J16" s="96"/>
      <c r="K16" s="97">
        <f>SUM(K6:K15)</f>
        <v>108441.15</v>
      </c>
      <c r="L16" s="98">
        <f>ROUND(M16*10000/SUM(K6:K14),0)</f>
        <v>4211</v>
      </c>
      <c r="M16" s="98">
        <f>SUM(M6:M14)</f>
        <v>45665</v>
      </c>
      <c r="N16" s="99">
        <f>ROUND(SUMPRODUCT(M6:M14,N6:N14)/M16,3)</f>
        <v>0.57799999999999996</v>
      </c>
      <c r="O16" s="98">
        <f>SUM(O6:O14)</f>
        <v>26394</v>
      </c>
      <c r="P16" s="98">
        <f>SUM(P6:P14)</f>
        <v>19271</v>
      </c>
      <c r="Q16" s="100">
        <f>ROUND(SUMPRODUCT(Q6:Q13,K6:K13)/SUMPRODUCT((Q6:Q13&gt;0)*(K6:K13)),2)</f>
        <v>0.12</v>
      </c>
      <c r="R16" s="1159">
        <f ca="1">SUM(R6:R13)</f>
        <v>21904.560000000001</v>
      </c>
      <c r="S16" s="101">
        <f>SUM(S6:S13)</f>
        <v>7830.15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f>Q16/B20</f>
        <v>4.8000000000000001E-2</v>
      </c>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1895</v>
      </c>
      <c r="B19" s="108">
        <v>0</v>
      </c>
      <c r="C19" s="3018" t="s">
        <v>3043</v>
      </c>
      <c r="D19" s="2895"/>
      <c r="E19" s="2892"/>
      <c r="F19" s="2892"/>
      <c r="G19" s="2892"/>
      <c r="H19" s="2892"/>
      <c r="I19" s="2892"/>
      <c r="J19" s="2892"/>
      <c r="K19" s="3055" t="s">
        <v>3097</v>
      </c>
      <c r="L19" s="3056" t="s">
        <v>3098</v>
      </c>
      <c r="M19" s="3056" t="s">
        <v>3103</v>
      </c>
      <c r="N19" s="3056" t="s">
        <v>3099</v>
      </c>
      <c r="O19" s="2890"/>
      <c r="P19" s="2890"/>
      <c r="Q19" s="2890">
        <f>Q6/B20</f>
        <v>7.1999999999999995E-2</v>
      </c>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1896</v>
      </c>
      <c r="B20" s="109">
        <v>2.5</v>
      </c>
      <c r="C20" s="3019" t="s">
        <v>3041</v>
      </c>
      <c r="D20" s="2895"/>
      <c r="E20" s="2892"/>
      <c r="F20" s="2892"/>
      <c r="G20" s="2892"/>
      <c r="H20" s="2892"/>
      <c r="I20" s="2892"/>
      <c r="J20" s="2892"/>
      <c r="K20" s="3053" t="s">
        <v>3077</v>
      </c>
      <c r="L20" s="3057">
        <v>17040</v>
      </c>
      <c r="M20" s="3056" t="s">
        <v>3100</v>
      </c>
      <c r="N20" s="3058">
        <v>0.6</v>
      </c>
      <c r="O20" s="2890">
        <f>L20/11</f>
        <v>1549.090909090909</v>
      </c>
      <c r="P20" s="2890"/>
      <c r="Q20" s="2890">
        <f>Q7/B20</f>
        <v>4.8000000000000001E-2</v>
      </c>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1897</v>
      </c>
      <c r="B21" s="109">
        <v>1.5</v>
      </c>
      <c r="C21" s="2892"/>
      <c r="D21" s="2895"/>
      <c r="E21" s="2892"/>
      <c r="F21" s="2892"/>
      <c r="G21" s="2892"/>
      <c r="H21" s="2892"/>
      <c r="I21" s="2892"/>
      <c r="J21" s="2892"/>
      <c r="K21" s="3053" t="s">
        <v>3093</v>
      </c>
      <c r="L21" s="3057">
        <v>13192</v>
      </c>
      <c r="M21" s="3056" t="s">
        <v>3100</v>
      </c>
      <c r="N21" s="3058">
        <f>N20</f>
        <v>0.6</v>
      </c>
      <c r="O21" s="2890">
        <f t="shared" ref="O21:O23" si="12">L21/11</f>
        <v>1199.2727272727273</v>
      </c>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5" customHeight="1">
      <c r="A22" s="1902" t="s">
        <v>1898</v>
      </c>
      <c r="B22" s="110">
        <f>B19+B20</f>
        <v>2.5</v>
      </c>
      <c r="C22" s="2892"/>
      <c r="D22" s="2895"/>
      <c r="E22" s="2892"/>
      <c r="F22" s="2892"/>
      <c r="G22" s="2892"/>
      <c r="H22" s="2892"/>
      <c r="I22" s="2892"/>
      <c r="J22" s="2892"/>
      <c r="K22" s="3053" t="s">
        <v>3094</v>
      </c>
      <c r="L22" s="3057">
        <v>12958</v>
      </c>
      <c r="M22" s="3057" t="s">
        <v>3101</v>
      </c>
      <c r="N22" s="3059">
        <v>0.55000000000000004</v>
      </c>
      <c r="O22" s="2890">
        <f t="shared" si="12"/>
        <v>1178</v>
      </c>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1899</v>
      </c>
      <c r="B23" s="110">
        <f>B19+B21</f>
        <v>1.5</v>
      </c>
      <c r="C23" s="2892"/>
      <c r="D23" s="2895"/>
      <c r="E23" s="2892"/>
      <c r="F23" s="2892"/>
      <c r="G23" s="2892"/>
      <c r="H23" s="2892"/>
      <c r="I23" s="2892"/>
      <c r="J23" s="2892"/>
      <c r="K23" s="3053" t="s">
        <v>3095</v>
      </c>
      <c r="L23" s="3057">
        <v>17068</v>
      </c>
      <c r="M23" s="3056" t="s">
        <v>3102</v>
      </c>
      <c r="N23" s="3059">
        <f>9/11*N20</f>
        <v>0.49090909090909091</v>
      </c>
      <c r="O23" s="2890">
        <f t="shared" si="12"/>
        <v>1551.6363636363637</v>
      </c>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1900</v>
      </c>
      <c r="B24" s="111">
        <f>B20-B21</f>
        <v>1</v>
      </c>
      <c r="C24" s="2892"/>
      <c r="D24" s="2895"/>
      <c r="E24" s="2892"/>
      <c r="F24" s="2892"/>
      <c r="G24" s="2892"/>
      <c r="H24" s="2892"/>
      <c r="I24" s="2892"/>
      <c r="J24" s="2892"/>
      <c r="K24" s="3053" t="s">
        <v>3084</v>
      </c>
      <c r="L24" s="3057">
        <v>4788</v>
      </c>
      <c r="M24" s="3056" t="s">
        <v>3100</v>
      </c>
      <c r="N24" s="3058">
        <f>N21</f>
        <v>0.6</v>
      </c>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3053" t="s">
        <v>3096</v>
      </c>
      <c r="L25" s="3057">
        <v>4788</v>
      </c>
      <c r="M25" s="3056" t="s">
        <v>3100</v>
      </c>
      <c r="N25" s="3058">
        <f>N24</f>
        <v>0.6</v>
      </c>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customHeight="1" thickBot="1">
      <c r="A26" s="1862" t="s">
        <v>1901</v>
      </c>
      <c r="B26" s="1905" t="s">
        <v>1902</v>
      </c>
      <c r="C26" s="2896" t="s">
        <v>1903</v>
      </c>
      <c r="D26" s="2895"/>
      <c r="E26" s="2892"/>
      <c r="F26" s="2892"/>
      <c r="G26" s="2892"/>
      <c r="H26" s="2892"/>
      <c r="I26" s="2892"/>
      <c r="J26" s="2892"/>
      <c r="K26" s="3053" t="s">
        <v>3086</v>
      </c>
      <c r="L26" s="3057">
        <v>46471</v>
      </c>
      <c r="M26" s="3056" t="s">
        <v>3100</v>
      </c>
      <c r="N26" s="3058">
        <f>N25</f>
        <v>0.6</v>
      </c>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1904</v>
      </c>
      <c r="B27" s="112">
        <v>160</v>
      </c>
      <c r="C27" s="3020" t="s">
        <v>3045</v>
      </c>
      <c r="D27" s="2898"/>
      <c r="E27" s="2878"/>
      <c r="F27" s="2878"/>
      <c r="G27" s="2892"/>
      <c r="H27" s="2892"/>
      <c r="I27" s="2892"/>
      <c r="J27" s="2892"/>
      <c r="K27" s="2891"/>
      <c r="L27" s="2891"/>
      <c r="M27" s="2890"/>
      <c r="N27" s="3060">
        <f xml:space="preserve"> ROUND(SUMPRODUCT(N20:N26,L20:L26)/SUM(L20:L26),3)</f>
        <v>0.57799999999999996</v>
      </c>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1905</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1906</v>
      </c>
      <c r="B29" s="117">
        <v>2169</v>
      </c>
      <c r="C29" s="3021" t="s">
        <v>3032</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1907</v>
      </c>
      <c r="B30" s="680">
        <v>200</v>
      </c>
      <c r="C30" s="2899"/>
      <c r="D30" s="2898"/>
      <c r="E30" s="2878"/>
      <c r="F30" s="2878"/>
      <c r="G30" s="2892"/>
      <c r="H30" s="2892"/>
      <c r="I30" s="2892"/>
      <c r="J30" s="2892"/>
      <c r="K30" s="3055" t="s">
        <v>3097</v>
      </c>
      <c r="L30" s="3055" t="s">
        <v>3333</v>
      </c>
      <c r="M30" s="3055" t="s">
        <v>3334</v>
      </c>
      <c r="N30" s="3055" t="s">
        <v>3335</v>
      </c>
      <c r="O30" s="3055" t="s">
        <v>3336</v>
      </c>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1908</v>
      </c>
      <c r="B31" s="116">
        <f>B30-B32</f>
        <v>200</v>
      </c>
      <c r="C31" s="2897"/>
      <c r="D31" s="2898"/>
      <c r="E31" s="2878"/>
      <c r="F31" s="2878"/>
      <c r="G31" s="2892"/>
      <c r="H31" s="2892"/>
      <c r="I31" s="2892"/>
      <c r="J31" s="2892"/>
      <c r="K31" s="3053" t="s">
        <v>3077</v>
      </c>
      <c r="L31" s="3053">
        <f>'数据-基础表'!I13/2</f>
        <v>1795.5</v>
      </c>
      <c r="M31" s="3053">
        <f>L31</f>
        <v>1795.5</v>
      </c>
      <c r="N31" s="3053"/>
      <c r="O31" s="3053"/>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1909</v>
      </c>
      <c r="B32" s="681">
        <v>0</v>
      </c>
      <c r="C32" s="2899"/>
      <c r="D32" s="2895"/>
      <c r="E32" s="2892"/>
      <c r="F32" s="2892"/>
      <c r="G32" s="2892"/>
      <c r="H32" s="2892"/>
      <c r="I32" s="2892"/>
      <c r="J32" s="2892"/>
      <c r="K32" s="3053" t="s">
        <v>3093</v>
      </c>
      <c r="L32" s="3053">
        <f>'数据-基础表'!I14/2</f>
        <v>1590.5</v>
      </c>
      <c r="M32" s="3053">
        <f>L32</f>
        <v>1590.5</v>
      </c>
      <c r="N32" s="3053"/>
      <c r="O32" s="3053"/>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1910</v>
      </c>
      <c r="B33" s="682">
        <v>0.03</v>
      </c>
      <c r="C33" s="3022" t="s">
        <v>3033</v>
      </c>
      <c r="D33" s="2895"/>
      <c r="E33" s="2892"/>
      <c r="F33" s="2892"/>
      <c r="G33" s="2892"/>
      <c r="H33" s="2892"/>
      <c r="I33" s="2892"/>
      <c r="J33" s="2892"/>
      <c r="K33" s="3053" t="s">
        <v>3094</v>
      </c>
      <c r="L33" s="3053">
        <f>'数据-基础表'!I15/2</f>
        <v>1476</v>
      </c>
      <c r="M33" s="3053">
        <f t="shared" ref="M33:M34" si="13">L33</f>
        <v>1476</v>
      </c>
      <c r="N33" s="3053"/>
      <c r="O33" s="3053"/>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1911</v>
      </c>
      <c r="B34" s="118"/>
      <c r="C34" s="3022" t="s">
        <v>3034</v>
      </c>
      <c r="D34" s="2903" t="s">
        <v>3042</v>
      </c>
      <c r="E34" s="2901"/>
      <c r="F34" s="2892"/>
      <c r="G34" s="2892"/>
      <c r="H34" s="2892"/>
      <c r="I34" s="2892"/>
      <c r="J34" s="2892"/>
      <c r="K34" s="3053" t="s">
        <v>3095</v>
      </c>
      <c r="L34" s="3053">
        <f>'数据-基础表'!I16/2</f>
        <v>1769.5</v>
      </c>
      <c r="M34" s="3053">
        <f t="shared" si="13"/>
        <v>1769.5</v>
      </c>
      <c r="N34" s="3053"/>
      <c r="O34" s="3053"/>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1912</v>
      </c>
      <c r="B35" s="115">
        <f>B30</f>
        <v>200</v>
      </c>
      <c r="C35" s="3022" t="s">
        <v>3035</v>
      </c>
      <c r="D35" s="2898"/>
      <c r="E35" s="2878"/>
      <c r="F35" s="2878"/>
      <c r="G35" s="2892"/>
      <c r="H35" s="2892"/>
      <c r="I35" s="2892"/>
      <c r="J35" s="2892"/>
      <c r="K35" s="3053" t="s">
        <v>3084</v>
      </c>
      <c r="L35" s="3076">
        <f>M35</f>
        <v>2081.739130434783</v>
      </c>
      <c r="M35" s="3076">
        <f>'数据-基础表'!I17/2.3</f>
        <v>2081.739130434783</v>
      </c>
      <c r="N35" s="3076">
        <f>'数据-基础表'!I17-'数据-取费表'!M35-'数据-取费表'!L35</f>
        <v>624.52173913043407</v>
      </c>
      <c r="O35" s="3053"/>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1913</v>
      </c>
      <c r="B36" s="119">
        <v>1.4999999999999999E-2</v>
      </c>
      <c r="C36" s="3022" t="s">
        <v>3036</v>
      </c>
      <c r="D36" s="2895"/>
      <c r="E36" s="2892"/>
      <c r="F36" s="2892"/>
      <c r="G36" s="2892"/>
      <c r="H36" s="2892"/>
      <c r="I36" s="2892"/>
      <c r="J36" s="2892"/>
      <c r="K36" s="3053" t="s">
        <v>3096</v>
      </c>
      <c r="L36" s="3076">
        <f>L35</f>
        <v>2081.739130434783</v>
      </c>
      <c r="M36" s="3076">
        <f t="shared" ref="M36:N36" si="14">M35</f>
        <v>2081.739130434783</v>
      </c>
      <c r="N36" s="3076">
        <f t="shared" si="14"/>
        <v>624.52173913043407</v>
      </c>
      <c r="O36" s="3053"/>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1914</v>
      </c>
      <c r="B37" s="120">
        <v>0.02</v>
      </c>
      <c r="C37" s="3022" t="s">
        <v>3037</v>
      </c>
      <c r="D37" s="2895"/>
      <c r="E37" s="2892"/>
      <c r="F37" s="2892"/>
      <c r="G37" s="2892"/>
      <c r="H37" s="2892"/>
      <c r="I37" s="2892"/>
      <c r="J37" s="2892"/>
      <c r="K37" s="3053" t="s">
        <v>3086</v>
      </c>
      <c r="L37" s="3053"/>
      <c r="M37" s="3053"/>
      <c r="N37" s="3053"/>
      <c r="O37" s="3053">
        <f>'数据-基础表'!M19</f>
        <v>8892</v>
      </c>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1915</v>
      </c>
      <c r="B38" s="118">
        <v>0.02</v>
      </c>
      <c r="C38" s="3022" t="s">
        <v>3037</v>
      </c>
      <c r="D38" s="2895"/>
      <c r="E38" s="2892"/>
      <c r="F38" s="2892"/>
      <c r="G38" s="2892"/>
      <c r="H38" s="2892"/>
      <c r="I38" s="2892"/>
      <c r="J38" s="2892"/>
      <c r="K38" s="2891"/>
      <c r="L38" s="3077">
        <f>L31+L32+L33+L34+L35+L36+L37</f>
        <v>10794.978260869568</v>
      </c>
      <c r="M38" s="3077">
        <f t="shared" ref="M38:O38" si="15">M31+M32+M33+M34+M35+M36+M37</f>
        <v>10794.978260869568</v>
      </c>
      <c r="N38" s="3077">
        <f t="shared" si="15"/>
        <v>1249.0434782608681</v>
      </c>
      <c r="O38" s="2891">
        <f t="shared" si="15"/>
        <v>8892</v>
      </c>
      <c r="P38" s="2894">
        <f>L38+M38+N38+O38</f>
        <v>31731.000000000004</v>
      </c>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1916</v>
      </c>
      <c r="B39" s="323">
        <f ca="1">存贷款利率!I1</f>
        <v>1.4999999999999999E-2</v>
      </c>
      <c r="C39" s="2900"/>
      <c r="D39" s="2895"/>
      <c r="E39" s="2892"/>
      <c r="F39" s="2892"/>
      <c r="G39" s="2892"/>
      <c r="H39" s="2892"/>
      <c r="I39" s="2892"/>
      <c r="J39" s="2892"/>
      <c r="K39" s="3078" t="s">
        <v>3337</v>
      </c>
      <c r="L39" s="2891">
        <v>1</v>
      </c>
      <c r="M39" s="2890">
        <v>0.7</v>
      </c>
      <c r="N39" s="2890">
        <v>0.6</v>
      </c>
      <c r="O39" s="2890">
        <v>0.5</v>
      </c>
      <c r="P39" s="3079">
        <f xml:space="preserve"> ROUND(SUMPRODUCT(L39:O39,L38:O38)/SUM(L38:O38),3)</f>
        <v>0.74199999999999999</v>
      </c>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8.75" customHeight="1" thickBot="1">
      <c r="A40" s="3033" t="s">
        <v>3104</v>
      </c>
      <c r="B40" s="1204">
        <f ca="1">IF(A40="利息：取LPR",存贷款利率!G1,存贷款利率!G1+C40)</f>
        <v>4.3499999999999997E-2</v>
      </c>
      <c r="C40" s="3032">
        <v>5.0000000000000001E-3</v>
      </c>
      <c r="D40" s="2890"/>
      <c r="E40" s="2895"/>
      <c r="F40" s="2892"/>
      <c r="G40" s="2892"/>
      <c r="H40" s="2892"/>
      <c r="I40" s="2892"/>
      <c r="J40" s="2892"/>
      <c r="K40" s="3078" t="s">
        <v>3338</v>
      </c>
      <c r="L40" s="2891">
        <v>8.5</v>
      </c>
      <c r="M40" s="2890"/>
      <c r="N40" s="2890"/>
      <c r="O40" s="2890"/>
      <c r="P40" s="2890">
        <f>P39*L40</f>
        <v>6.3070000000000004</v>
      </c>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1920</v>
      </c>
      <c r="B44" s="124">
        <v>7.0000000000000007E-2</v>
      </c>
      <c r="C44" s="3022" t="s">
        <v>3046</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1921</v>
      </c>
      <c r="B45" s="122">
        <v>0.03</v>
      </c>
      <c r="C45" s="3021" t="s">
        <v>3038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1922</v>
      </c>
      <c r="B46" s="122">
        <v>0.02</v>
      </c>
      <c r="C46" s="3021" t="s">
        <v>3039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1923</v>
      </c>
      <c r="B47" s="125"/>
      <c r="C47" s="3024" t="s">
        <v>3047</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1924</v>
      </c>
      <c r="B48" s="126">
        <v>0.03</v>
      </c>
      <c r="C48" s="3021" t="s">
        <v>3038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1925</v>
      </c>
      <c r="B49" s="122">
        <v>5.0000000000000001E-4</v>
      </c>
      <c r="C49" s="3021" t="s">
        <v>3040</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1926</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1927</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1928</v>
      </c>
      <c r="B52" s="129">
        <f>SUMIF(A54:A63,B53,B54:B63)</f>
        <v>12</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1929</v>
      </c>
      <c r="B53" s="1917" t="s">
        <v>137</v>
      </c>
      <c r="C53" s="2878" t="s">
        <v>1930</v>
      </c>
      <c r="D53" s="3023" t="s">
        <v>3044</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1931</v>
      </c>
      <c r="B54" s="80">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1932</v>
      </c>
      <c r="B55" s="80">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1933</v>
      </c>
      <c r="B56" s="80">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1934</v>
      </c>
      <c r="B57" s="80">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1935</v>
      </c>
      <c r="B58" s="80">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1936</v>
      </c>
      <c r="B59" s="80">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20"/>
      <c r="D69" s="1921"/>
      <c r="K69" s="737"/>
      <c r="L69" s="737"/>
    </row>
    <row r="70" spans="1:44" s="895" customFormat="1">
      <c r="A70" s="1920"/>
      <c r="D70" s="1921"/>
      <c r="K70" s="737"/>
      <c r="L70" s="737"/>
    </row>
    <row r="71" spans="1:44" s="895" customFormat="1">
      <c r="A71" s="1920"/>
      <c r="D71" s="1921"/>
      <c r="K71" s="737"/>
      <c r="L71" s="737"/>
    </row>
    <row r="72" spans="1:44" s="895" customFormat="1">
      <c r="A72" s="1920"/>
      <c r="D72" s="1921"/>
      <c r="K72" s="737"/>
      <c r="L72" s="737"/>
    </row>
    <row r="73" spans="1:44" s="895" customFormat="1">
      <c r="A73" s="1920"/>
      <c r="D73" s="1921"/>
      <c r="K73" s="737"/>
      <c r="L73" s="737"/>
    </row>
    <row r="74" spans="1:44" s="895" customFormat="1">
      <c r="A74" s="1920"/>
      <c r="D74" s="1921"/>
      <c r="K74" s="737"/>
      <c r="L74" s="737"/>
    </row>
    <row r="75" spans="1:44" s="895" customFormat="1">
      <c r="A75" s="1920"/>
      <c r="D75" s="1921"/>
      <c r="K75" s="737"/>
      <c r="L75" s="737"/>
    </row>
    <row r="76" spans="1:44" s="895" customFormat="1">
      <c r="A76" s="1920"/>
      <c r="D76" s="1921"/>
      <c r="K76" s="737"/>
      <c r="L76" s="737"/>
    </row>
    <row r="77" spans="1:44" s="895" customFormat="1">
      <c r="A77" s="1920"/>
      <c r="D77" s="1921"/>
      <c r="K77" s="737"/>
      <c r="L77" s="737"/>
    </row>
    <row r="78" spans="1:44" s="895" customFormat="1">
      <c r="A78" s="1920"/>
      <c r="D78" s="1921"/>
      <c r="K78" s="737"/>
      <c r="L78" s="737"/>
    </row>
    <row r="79" spans="1:44" s="895" customFormat="1">
      <c r="A79" s="1920"/>
      <c r="D79" s="1921"/>
      <c r="K79" s="737"/>
      <c r="L79" s="737"/>
    </row>
    <row r="80" spans="1:44" s="895" customFormat="1">
      <c r="A80" s="1920"/>
      <c r="D80" s="1921"/>
      <c r="K80" s="737"/>
      <c r="L80" s="737"/>
    </row>
    <row r="81" spans="1:12" s="895" customFormat="1">
      <c r="A81" s="1920"/>
      <c r="D81" s="1921"/>
      <c r="K81" s="737"/>
      <c r="L81" s="737"/>
    </row>
    <row r="82" spans="1:12" s="895" customFormat="1">
      <c r="A82" s="1920"/>
      <c r="D82" s="1921"/>
      <c r="K82" s="737"/>
      <c r="L82" s="737"/>
    </row>
    <row r="83" spans="1:12" s="895" customFormat="1">
      <c r="A83" s="1920"/>
      <c r="D83" s="1921"/>
      <c r="K83" s="737"/>
      <c r="L83" s="737"/>
    </row>
    <row r="84" spans="1:12" s="895" customFormat="1">
      <c r="A84" s="1920"/>
      <c r="D84" s="1921"/>
      <c r="K84" s="737"/>
      <c r="L84" s="737"/>
    </row>
    <row r="85" spans="1:12" s="895" customFormat="1">
      <c r="A85" s="1920"/>
      <c r="D85" s="1921"/>
      <c r="K85" s="737"/>
      <c r="L85" s="737"/>
    </row>
    <row r="86" spans="1:12" s="895" customFormat="1">
      <c r="A86" s="1920"/>
      <c r="D86" s="1921"/>
      <c r="K86" s="737"/>
      <c r="L86" s="737"/>
    </row>
    <row r="87" spans="1:12" s="895" customFormat="1">
      <c r="A87" s="1920"/>
      <c r="D87" s="1921"/>
      <c r="K87" s="737"/>
      <c r="L87" s="737"/>
    </row>
    <row r="88" spans="1:12" s="895" customFormat="1">
      <c r="A88" s="1920"/>
      <c r="D88" s="1921"/>
      <c r="K88" s="737"/>
      <c r="L88" s="737"/>
    </row>
    <row r="89" spans="1:12" s="895" customFormat="1">
      <c r="A89" s="1920"/>
      <c r="D89" s="1921"/>
      <c r="K89" s="737"/>
      <c r="L89" s="737"/>
    </row>
    <row r="90" spans="1:12" s="895" customFormat="1">
      <c r="A90" s="1920"/>
      <c r="D90" s="1921"/>
      <c r="K90" s="737"/>
      <c r="L90" s="737"/>
    </row>
    <row r="91" spans="1:12" s="895" customFormat="1">
      <c r="A91" s="1920"/>
      <c r="D91" s="1921"/>
      <c r="K91" s="737"/>
      <c r="L91" s="737"/>
    </row>
    <row r="92" spans="1:12" s="895" customFormat="1">
      <c r="A92" s="1920"/>
      <c r="D92" s="1921"/>
      <c r="K92" s="737"/>
      <c r="L92" s="737"/>
    </row>
    <row r="93" spans="1:12" s="895" customFormat="1">
      <c r="A93" s="1920"/>
      <c r="D93" s="1921"/>
      <c r="K93" s="737"/>
      <c r="L93" s="737"/>
    </row>
    <row r="94" spans="1:12" s="895" customFormat="1">
      <c r="A94" s="1920"/>
      <c r="D94" s="1921"/>
      <c r="K94" s="737"/>
      <c r="L94" s="737"/>
    </row>
    <row r="95" spans="1:12" s="895" customFormat="1">
      <c r="A95" s="1920"/>
      <c r="D95" s="1921"/>
      <c r="K95" s="737"/>
      <c r="L95" s="737"/>
    </row>
    <row r="96" spans="1:12" s="895" customFormat="1">
      <c r="A96" s="1920"/>
      <c r="D96" s="1921"/>
      <c r="K96" s="737"/>
      <c r="L96" s="737"/>
    </row>
    <row r="97" spans="1:12" s="895" customFormat="1">
      <c r="A97" s="1920"/>
      <c r="D97" s="1921"/>
      <c r="K97" s="737"/>
      <c r="L97" s="737"/>
    </row>
    <row r="98" spans="1:12" s="895" customFormat="1">
      <c r="A98" s="1920"/>
      <c r="D98" s="1921"/>
      <c r="K98" s="737"/>
      <c r="L98" s="737"/>
    </row>
    <row r="99" spans="1:12" s="895" customFormat="1">
      <c r="A99" s="1920"/>
      <c r="D99" s="1921"/>
      <c r="K99" s="737"/>
      <c r="L99" s="737"/>
    </row>
    <row r="100" spans="1:12" s="895" customFormat="1">
      <c r="A100" s="1920"/>
      <c r="D100" s="1921"/>
      <c r="K100" s="737"/>
      <c r="L100" s="737"/>
    </row>
    <row r="101" spans="1:12" s="895" customFormat="1">
      <c r="A101" s="1920"/>
      <c r="D101" s="1921"/>
      <c r="K101" s="737"/>
      <c r="L101" s="737"/>
    </row>
    <row r="102" spans="1:12" s="895" customFormat="1">
      <c r="A102" s="1920"/>
      <c r="D102" s="1921"/>
      <c r="K102" s="737"/>
      <c r="L102" s="737"/>
    </row>
    <row r="103" spans="1:12" s="895" customFormat="1">
      <c r="A103" s="1920"/>
      <c r="D103" s="1921"/>
      <c r="K103" s="737"/>
      <c r="L103" s="737"/>
    </row>
    <row r="104" spans="1:12" s="895" customFormat="1">
      <c r="A104" s="1920"/>
      <c r="D104" s="1921"/>
      <c r="K104" s="737"/>
      <c r="L104" s="737"/>
    </row>
    <row r="105" spans="1:12" s="895" customFormat="1">
      <c r="A105" s="1920"/>
      <c r="D105" s="1921"/>
      <c r="K105" s="737"/>
      <c r="L105" s="737"/>
    </row>
    <row r="106" spans="1:12" s="895" customFormat="1">
      <c r="A106" s="1920"/>
      <c r="D106" s="1921"/>
      <c r="K106" s="737"/>
      <c r="L106" s="737"/>
    </row>
    <row r="107" spans="1:12" s="895" customFormat="1">
      <c r="A107" s="1920"/>
      <c r="D107" s="1921"/>
      <c r="K107" s="737"/>
      <c r="L107" s="737"/>
    </row>
    <row r="108" spans="1:12" s="895" customFormat="1">
      <c r="A108" s="1920"/>
      <c r="D108" s="1921"/>
      <c r="K108" s="737"/>
      <c r="L108" s="737"/>
    </row>
    <row r="109" spans="1:12" s="895" customFormat="1">
      <c r="A109" s="1920"/>
      <c r="D109" s="1921"/>
      <c r="K109" s="737"/>
      <c r="L109" s="737"/>
    </row>
    <row r="110" spans="1:12" s="895" customFormat="1">
      <c r="A110" s="1920"/>
      <c r="D110" s="1921"/>
      <c r="K110" s="737"/>
      <c r="L110" s="737"/>
    </row>
    <row r="111" spans="1:12" s="895" customFormat="1">
      <c r="A111" s="1920"/>
      <c r="D111" s="1921"/>
      <c r="K111" s="737"/>
      <c r="L111" s="737"/>
    </row>
    <row r="112" spans="1:12" s="895" customFormat="1">
      <c r="A112" s="1920"/>
      <c r="D112" s="1921"/>
      <c r="K112" s="737"/>
      <c r="L112" s="737"/>
    </row>
    <row r="113" spans="1:12" s="895" customFormat="1">
      <c r="A113" s="1920"/>
      <c r="D113" s="1921"/>
      <c r="K113" s="737"/>
      <c r="L113" s="737"/>
    </row>
    <row r="114" spans="1:12" s="895" customFormat="1">
      <c r="A114" s="1920"/>
      <c r="D114" s="1921"/>
      <c r="K114" s="737"/>
      <c r="L114" s="737"/>
    </row>
    <row r="115" spans="1:12" s="895" customFormat="1">
      <c r="A115" s="1920"/>
      <c r="D115" s="1921"/>
      <c r="K115" s="737"/>
      <c r="L115" s="737"/>
    </row>
    <row r="116" spans="1:12" s="895" customFormat="1">
      <c r="A116" s="1920"/>
      <c r="D116" s="1921"/>
      <c r="K116" s="737"/>
      <c r="L116" s="737"/>
    </row>
    <row r="117" spans="1:12" s="895" customFormat="1">
      <c r="A117" s="1920"/>
      <c r="D117" s="1921"/>
      <c r="K117" s="737"/>
      <c r="L117" s="737"/>
    </row>
    <row r="118" spans="1:12" s="895" customFormat="1">
      <c r="A118" s="1920"/>
      <c r="D118" s="1921"/>
      <c r="K118" s="737"/>
      <c r="L118" s="737"/>
    </row>
    <row r="119" spans="1:12" s="895" customFormat="1">
      <c r="A119" s="1920"/>
      <c r="D119" s="1921"/>
      <c r="K119" s="737"/>
      <c r="L119" s="737"/>
    </row>
    <row r="120" spans="1:12" s="895" customFormat="1">
      <c r="A120" s="1920"/>
      <c r="D120" s="1921"/>
      <c r="K120" s="737"/>
      <c r="L120" s="737"/>
    </row>
    <row r="121" spans="1:12" s="895" customFormat="1">
      <c r="A121" s="1920"/>
      <c r="D121" s="1921"/>
      <c r="K121" s="737"/>
      <c r="L121" s="737"/>
    </row>
    <row r="122" spans="1:12" s="895" customFormat="1">
      <c r="A122" s="1920"/>
      <c r="D122" s="1921"/>
      <c r="K122" s="737"/>
      <c r="L122" s="737"/>
    </row>
    <row r="123" spans="1:12" s="895" customFormat="1">
      <c r="A123" s="1920"/>
      <c r="D123" s="1921"/>
      <c r="K123" s="737"/>
      <c r="L123" s="737"/>
    </row>
    <row r="124" spans="1:12" s="895" customFormat="1">
      <c r="A124" s="1920"/>
      <c r="D124" s="1921"/>
      <c r="K124" s="737"/>
      <c r="L124" s="737"/>
    </row>
    <row r="125" spans="1:12" s="895" customFormat="1">
      <c r="A125" s="1920"/>
      <c r="D125" s="1921"/>
      <c r="K125" s="737"/>
      <c r="L125" s="737"/>
    </row>
    <row r="126" spans="1:12" s="895" customFormat="1">
      <c r="A126" s="1920"/>
      <c r="D126" s="1921"/>
      <c r="K126" s="737"/>
      <c r="L126" s="737"/>
    </row>
    <row r="127" spans="1:12" s="895" customFormat="1">
      <c r="A127" s="1920"/>
      <c r="D127" s="1921"/>
      <c r="K127" s="737"/>
      <c r="L127" s="737"/>
    </row>
    <row r="128" spans="1:12" s="895" customFormat="1">
      <c r="A128" s="1920"/>
      <c r="D128" s="1921"/>
      <c r="K128" s="737"/>
      <c r="L128" s="737"/>
    </row>
    <row r="129" spans="1:12" s="895" customFormat="1">
      <c r="A129" s="1920"/>
      <c r="D129" s="1921"/>
      <c r="K129" s="737"/>
      <c r="L129" s="737"/>
    </row>
    <row r="130" spans="1:12" s="895" customFormat="1">
      <c r="A130" s="1920"/>
      <c r="D130" s="1921"/>
      <c r="K130" s="737"/>
      <c r="L130" s="737"/>
    </row>
    <row r="131" spans="1:12" s="895" customFormat="1">
      <c r="A131" s="1920"/>
      <c r="D131" s="1921"/>
      <c r="K131" s="737"/>
      <c r="L131" s="737"/>
    </row>
    <row r="132" spans="1:12" s="895" customFormat="1">
      <c r="A132" s="1920"/>
      <c r="D132" s="1921"/>
      <c r="K132" s="737"/>
      <c r="L132" s="737"/>
    </row>
    <row r="133" spans="1:12" s="895" customFormat="1">
      <c r="A133" s="1920"/>
      <c r="D133" s="1921"/>
      <c r="K133" s="737"/>
      <c r="L133" s="737"/>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7" sqref="O17"/>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5"/>
  </cols>
  <sheetData>
    <row r="1" spans="1:29" s="2675" customFormat="1" ht="18.75" thickBot="1">
      <c r="A1" s="3207" t="s">
        <v>3024</v>
      </c>
      <c r="B1" s="3208"/>
      <c r="C1" s="3208"/>
      <c r="D1" s="3208"/>
      <c r="E1" s="3208"/>
      <c r="F1" s="3208"/>
      <c r="G1" s="3208"/>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25.5">
      <c r="A3" s="2659" t="s">
        <v>3022</v>
      </c>
      <c r="B3" s="2681" t="s">
        <v>2994</v>
      </c>
      <c r="C3" s="2682"/>
      <c r="D3" s="2683"/>
      <c r="E3" s="2660" t="s">
        <v>3022</v>
      </c>
      <c r="F3" s="2684" t="s">
        <v>2995</v>
      </c>
      <c r="G3" s="2685" t="s">
        <v>3023</v>
      </c>
      <c r="H3" s="901"/>
      <c r="I3" s="901"/>
      <c r="J3" s="901"/>
      <c r="K3" s="901"/>
      <c r="L3" s="901"/>
      <c r="M3" s="901"/>
      <c r="N3" s="901"/>
      <c r="O3" s="901"/>
      <c r="P3" s="901"/>
      <c r="Q3" s="901"/>
      <c r="R3" s="901"/>
    </row>
    <row r="4" spans="1:29" ht="48">
      <c r="A4" s="2660"/>
      <c r="B4" s="329" t="s">
        <v>2996</v>
      </c>
      <c r="C4" s="3068" t="s">
        <v>3299</v>
      </c>
      <c r="D4" s="2683"/>
      <c r="E4" s="2686"/>
      <c r="F4" s="1551" t="s">
        <v>2997</v>
      </c>
      <c r="G4" s="2687" t="s">
        <v>2998</v>
      </c>
      <c r="H4" s="901"/>
      <c r="I4" s="901"/>
      <c r="J4" s="901"/>
      <c r="K4" s="901"/>
      <c r="L4" s="901"/>
      <c r="M4" s="901"/>
      <c r="N4" s="901"/>
      <c r="O4" s="901"/>
      <c r="P4" s="901"/>
      <c r="Q4" s="901"/>
      <c r="R4" s="901"/>
    </row>
    <row r="5" spans="1:29" ht="48">
      <c r="A5" s="2660"/>
      <c r="B5" s="329" t="s">
        <v>2999</v>
      </c>
      <c r="C5" s="3068" t="s">
        <v>3293</v>
      </c>
      <c r="D5" s="2683"/>
      <c r="E5" s="2686"/>
      <c r="F5" s="329" t="s">
        <v>3000</v>
      </c>
      <c r="G5" s="2687" t="s">
        <v>3001</v>
      </c>
      <c r="H5" s="901"/>
      <c r="I5" s="901"/>
      <c r="J5" s="901"/>
      <c r="K5" s="901"/>
      <c r="L5" s="901"/>
      <c r="M5" s="901"/>
      <c r="N5" s="901"/>
      <c r="O5" s="901"/>
      <c r="P5" s="901"/>
      <c r="Q5" s="901"/>
      <c r="R5" s="901"/>
    </row>
    <row r="6" spans="1:29" ht="60">
      <c r="A6" s="2660"/>
      <c r="B6" s="329" t="s">
        <v>3002</v>
      </c>
      <c r="C6" s="3069" t="s">
        <v>3296</v>
      </c>
      <c r="D6" s="2683"/>
      <c r="E6" s="2686"/>
      <c r="F6" s="329" t="s">
        <v>3003</v>
      </c>
      <c r="G6" s="2687" t="s">
        <v>3004</v>
      </c>
      <c r="H6" s="901"/>
      <c r="I6" s="901"/>
      <c r="J6" s="901"/>
      <c r="K6" s="901"/>
      <c r="L6" s="901"/>
      <c r="M6" s="901"/>
      <c r="N6" s="901"/>
      <c r="O6" s="901"/>
      <c r="P6" s="901"/>
      <c r="Q6" s="901"/>
      <c r="R6" s="901"/>
    </row>
    <row r="7" spans="1:29" ht="24.75" thickBot="1">
      <c r="A7" s="2660"/>
      <c r="B7" s="329" t="s">
        <v>3000</v>
      </c>
      <c r="C7" s="3069" t="s">
        <v>3294</v>
      </c>
      <c r="D7" s="2688"/>
      <c r="E7" s="2689"/>
      <c r="F7" s="2690" t="s">
        <v>3005</v>
      </c>
      <c r="G7" s="2691" t="s">
        <v>3006</v>
      </c>
      <c r="H7" s="901"/>
      <c r="I7" s="901"/>
      <c r="J7" s="901"/>
      <c r="K7" s="901"/>
      <c r="L7" s="901"/>
      <c r="M7" s="901"/>
      <c r="N7" s="901"/>
      <c r="O7" s="901"/>
      <c r="P7" s="901"/>
      <c r="Q7" s="901"/>
      <c r="R7" s="901"/>
    </row>
    <row r="8" spans="1:29" ht="24">
      <c r="A8" s="2660"/>
      <c r="B8" s="329" t="s">
        <v>3003</v>
      </c>
      <c r="C8" s="3069" t="s">
        <v>3295</v>
      </c>
      <c r="D8" s="2688"/>
      <c r="E8" s="2688"/>
      <c r="F8" s="2692"/>
      <c r="G8" s="2692"/>
      <c r="H8" s="901"/>
      <c r="I8" s="901"/>
      <c r="J8" s="901"/>
      <c r="K8" s="901"/>
      <c r="L8" s="901"/>
      <c r="M8" s="901"/>
      <c r="N8" s="901"/>
      <c r="O8" s="901"/>
      <c r="P8" s="901"/>
      <c r="Q8" s="901"/>
      <c r="R8" s="901"/>
    </row>
    <row r="9" spans="1:29" ht="48">
      <c r="A9" s="2660"/>
      <c r="B9" s="329" t="s">
        <v>3007</v>
      </c>
      <c r="C9" s="3068" t="s">
        <v>3297</v>
      </c>
      <c r="D9" s="2683"/>
      <c r="E9" s="2688"/>
      <c r="F9" s="2692"/>
      <c r="G9" s="2692"/>
      <c r="H9" s="901"/>
      <c r="I9" s="901"/>
      <c r="J9" s="901"/>
      <c r="K9" s="901"/>
      <c r="L9" s="901"/>
      <c r="M9" s="901"/>
      <c r="N9" s="901"/>
      <c r="O9" s="901"/>
      <c r="P9" s="901"/>
      <c r="Q9" s="901"/>
      <c r="R9" s="901"/>
    </row>
    <row r="10" spans="1:29" s="2697" customFormat="1" ht="15" thickBot="1">
      <c r="A10" s="2661"/>
      <c r="B10" s="2693" t="s">
        <v>3008</v>
      </c>
      <c r="C10" s="3070" t="s">
        <v>3298</v>
      </c>
      <c r="D10" s="2683"/>
      <c r="E10" s="2683"/>
      <c r="F10" s="2692"/>
      <c r="G10" s="2692"/>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3025</v>
      </c>
      <c r="B13" s="2700"/>
      <c r="C13" s="2700"/>
      <c r="D13" s="2698"/>
      <c r="E13" s="2700"/>
      <c r="F13" s="2700"/>
      <c r="G13" s="2700"/>
    </row>
    <row r="14" spans="1:29" ht="15" thickBot="1">
      <c r="A14" s="2710"/>
      <c r="B14" s="2710"/>
      <c r="C14" s="2711" t="s">
        <v>3009</v>
      </c>
      <c r="D14" s="2683"/>
      <c r="E14" s="2712"/>
      <c r="F14" s="2712"/>
      <c r="G14" s="2678" t="s">
        <v>3010</v>
      </c>
    </row>
    <row r="15" spans="1:29" ht="25.5">
      <c r="A15" s="2662" t="s">
        <v>3011</v>
      </c>
      <c r="B15" s="2713" t="s">
        <v>2994</v>
      </c>
      <c r="C15" s="2714">
        <f>C3</f>
        <v>0</v>
      </c>
      <c r="D15" s="2683"/>
      <c r="E15" s="2663" t="s">
        <v>3012</v>
      </c>
      <c r="F15" s="2713" t="s">
        <v>3013</v>
      </c>
      <c r="G15" s="2715" t="str">
        <f>G3</f>
        <v>估价对象位于XX开发区，园区建设成熟度XX，产业集聚程度XX</v>
      </c>
    </row>
    <row r="16" spans="1:29" ht="51">
      <c r="A16" s="2664"/>
      <c r="B16" s="2716" t="s">
        <v>2996</v>
      </c>
      <c r="C16" s="2717" t="str">
        <f>C4</f>
        <v>估价对象位于花乡，周边商业氛围成熟度较好，2公里内有花乡奥莱村、万达广场等商业项目，人流量较大，商业繁华度较好</v>
      </c>
      <c r="D16" s="2683"/>
      <c r="E16" s="2665"/>
      <c r="F16" s="2718" t="s">
        <v>2997</v>
      </c>
      <c r="G16" s="2719" t="str">
        <f>G4</f>
        <v>估价对象周边道路状况、公共交通通达情况、停车便捷程度，综合评价交通便捷度较好</v>
      </c>
    </row>
    <row r="17" spans="1:18" ht="51">
      <c r="A17" s="2664"/>
      <c r="B17" s="2716" t="s">
        <v>2999</v>
      </c>
      <c r="C17" s="2717" t="str">
        <f>C5</f>
        <v>估价对象位于花乡，周边办公楼项目较多，有诺德中心、东旭国际中心等项目，入驻率较高，办公集聚程度较好</v>
      </c>
      <c r="D17" s="2688"/>
      <c r="E17" s="2665"/>
      <c r="F17" s="2718" t="s">
        <v>3014</v>
      </c>
      <c r="G17" s="2720"/>
    </row>
    <row r="18" spans="1:18" ht="63.75">
      <c r="A18" s="2664"/>
      <c r="B18" s="2718" t="s">
        <v>3002</v>
      </c>
      <c r="C18" s="2719" t="str">
        <f>C6</f>
        <v>估价对象周边道路状况较好、公共交通通达情况较好、有400、602、685等多路公交车经过，地铁9号线、房山线经过，停车便捷程度，综合评价交通便捷度较好</v>
      </c>
      <c r="D18" s="2688"/>
      <c r="E18" s="2665"/>
      <c r="F18" s="2718" t="s">
        <v>3005</v>
      </c>
      <c r="G18" s="2719" t="str">
        <f>G7</f>
        <v>该园区内是否有污染型企业，绿化情况，卫生条件，整体环境状况判断</v>
      </c>
    </row>
    <row r="19" spans="1:18" ht="25.5">
      <c r="A19" s="2664"/>
      <c r="B19" s="2718" t="s">
        <v>3015</v>
      </c>
      <c r="C19" s="2720"/>
      <c r="D19" s="2683"/>
      <c r="E19" s="2665"/>
      <c r="F19" s="329" t="s">
        <v>3000</v>
      </c>
      <c r="G19" s="2719" t="str">
        <f>G5</f>
        <v>估价对象所在区域公共配套设施齐备情况</v>
      </c>
    </row>
    <row r="20" spans="1:18" ht="51">
      <c r="A20" s="2664"/>
      <c r="B20" s="2718" t="s">
        <v>3016</v>
      </c>
      <c r="C20" s="2717" t="str">
        <f>C9</f>
        <v>区域自然环境：科丰公园、丰台科技生态公园；人文环境：汽车博物馆、首经贸大曦；综合评价环境状况较好</v>
      </c>
      <c r="D20" s="2688"/>
      <c r="E20" s="2665"/>
      <c r="F20" s="329" t="s">
        <v>3003</v>
      </c>
      <c r="G20" s="2719" t="str">
        <f>G6</f>
        <v>估价对象所在区域基础设施水平</v>
      </c>
    </row>
    <row r="21" spans="1:18" ht="25.5">
      <c r="A21" s="2664"/>
      <c r="B21" s="329" t="s">
        <v>3000</v>
      </c>
      <c r="C21" s="2719" t="str">
        <f>C7</f>
        <v>估价对象所在区域公共配套设施齐备情况较好</v>
      </c>
      <c r="D21" s="2683"/>
      <c r="E21" s="2665"/>
      <c r="F21" s="2718" t="s">
        <v>3017</v>
      </c>
      <c r="G21" s="2721"/>
    </row>
    <row r="22" spans="1:18" ht="13.5" customHeight="1">
      <c r="A22" s="2664"/>
      <c r="B22" s="329" t="s">
        <v>3003</v>
      </c>
      <c r="C22" s="2719" t="str">
        <f>C8</f>
        <v>估价对象所在区域基础设施水平七通</v>
      </c>
      <c r="D22" s="2683"/>
      <c r="E22" s="2665"/>
      <c r="F22" s="2718" t="s">
        <v>3008</v>
      </c>
      <c r="G22" s="2720"/>
    </row>
    <row r="23" spans="1:18" s="901" customFormat="1" ht="15" thickBot="1">
      <c r="A23" s="2664"/>
      <c r="B23" s="2718" t="s">
        <v>3017</v>
      </c>
      <c r="C23" s="2721"/>
      <c r="D23" s="1920"/>
      <c r="E23" s="2666"/>
      <c r="F23" s="2722" t="s">
        <v>3018</v>
      </c>
      <c r="G23" s="2723"/>
      <c r="H23" s="2707"/>
      <c r="I23" s="2708"/>
      <c r="J23" s="2707"/>
      <c r="K23" s="2707"/>
      <c r="L23" s="2708"/>
      <c r="M23" s="2707"/>
      <c r="N23" s="2707"/>
      <c r="O23" s="2708"/>
      <c r="P23" s="2707"/>
      <c r="Q23" s="2707"/>
      <c r="R23" s="2709"/>
    </row>
    <row r="24" spans="1:18" s="901" customFormat="1" ht="15" thickBot="1">
      <c r="A24" s="2667"/>
      <c r="B24" s="2722" t="s">
        <v>3019</v>
      </c>
      <c r="C24" s="2724" t="str">
        <f>C10</f>
        <v>主干道-樊羊路</v>
      </c>
      <c r="D24" s="1920"/>
      <c r="E24" s="2657"/>
      <c r="F24" s="2657"/>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108441.15</v>
      </c>
      <c r="C1" s="2905"/>
      <c r="D1" s="2905"/>
      <c r="E1" s="2905"/>
      <c r="F1" s="2905"/>
      <c r="G1" s="2906"/>
      <c r="H1" s="2907"/>
      <c r="I1" s="2907"/>
      <c r="J1" s="2907"/>
      <c r="K1" s="2907"/>
    </row>
    <row r="2" spans="1:11" ht="16.5">
      <c r="A2" s="2728" t="s">
        <v>1319</v>
      </c>
      <c r="B2" s="2728">
        <f>SUM(C14:C23)</f>
        <v>21904.55</v>
      </c>
      <c r="C2" s="2905"/>
      <c r="D2" s="2905"/>
      <c r="E2" s="2905"/>
      <c r="F2" s="2905"/>
      <c r="G2" s="2906"/>
      <c r="H2" s="2907"/>
      <c r="I2" s="2907"/>
      <c r="J2" s="2907"/>
      <c r="K2" s="2907"/>
    </row>
    <row r="3" spans="1:11" ht="16.5">
      <c r="A3" s="2728" t="s">
        <v>1328</v>
      </c>
      <c r="B3" s="2730">
        <f>项目基本情况!D3</f>
        <v>44299</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200804</v>
      </c>
      <c r="C5" s="2728">
        <f ca="1">ROUND(B5*10000/$B$1,0)</f>
        <v>18517</v>
      </c>
      <c r="D5" s="2728">
        <f ca="1">ROUND(B5*10000/$B$2,0)</f>
        <v>91672</v>
      </c>
      <c r="E5" s="2905"/>
      <c r="F5" s="2906"/>
      <c r="G5" s="2906"/>
      <c r="H5" s="2907"/>
      <c r="I5" s="2907"/>
      <c r="J5" s="2907"/>
      <c r="K5" s="2907"/>
    </row>
    <row r="6" spans="1:11" ht="16.5">
      <c r="A6" s="2728" t="s">
        <v>1322</v>
      </c>
      <c r="B6" s="2728">
        <f>SUM(G14:G23)</f>
        <v>0</v>
      </c>
      <c r="C6" s="2728">
        <f>ROUND(B6*10000/$B$1,0)</f>
        <v>0</v>
      </c>
      <c r="D6" s="2728">
        <f>ROUND(B6*10000/$B$2,0)</f>
        <v>0</v>
      </c>
      <c r="E6" s="2905"/>
      <c r="F6" s="2906"/>
      <c r="G6" s="2906"/>
      <c r="H6" s="2907"/>
      <c r="I6" s="2907"/>
      <c r="J6" s="2907"/>
      <c r="K6" s="2907"/>
    </row>
    <row r="7" spans="1:11" ht="16.5">
      <c r="A7" s="2728" t="s">
        <v>1330</v>
      </c>
      <c r="B7" s="2728">
        <f ca="1">SUM(H14:H23)</f>
        <v>200804</v>
      </c>
      <c r="C7" s="2728">
        <f ca="1">ROUND(B7*10000/$B$1,0)</f>
        <v>18517</v>
      </c>
      <c r="D7" s="2728">
        <f ca="1">ROUND(B7*10000/$B$2,0)</f>
        <v>91672</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108441.15</v>
      </c>
      <c r="C14" s="2734">
        <f>结果表!C118</f>
        <v>21904.55</v>
      </c>
      <c r="D14" s="2734">
        <f ca="1">结果表!H118</f>
        <v>200804</v>
      </c>
      <c r="E14" s="2734">
        <f ca="1">ROUND(D14*10000/B14,0)</f>
        <v>18517</v>
      </c>
      <c r="F14" s="2734">
        <f ca="1">ROUND(D14*10000/C14,0)</f>
        <v>91672</v>
      </c>
      <c r="G14" s="2734" t="str">
        <f>结果表!D122</f>
        <v>——</v>
      </c>
      <c r="H14" s="2734">
        <f ca="1">结果表!D124</f>
        <v>200804</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113" sqref="K113"/>
    </sheetView>
  </sheetViews>
  <sheetFormatPr defaultColWidth="12.625" defaultRowHeight="21.75" customHeight="1"/>
  <cols>
    <col min="1" max="2" width="12.625" style="1932"/>
    <col min="3" max="4" width="12.625" style="1932" customWidth="1"/>
    <col min="5" max="9" width="12.625" style="1932"/>
    <col min="10" max="11" width="12.625" style="734" customWidth="1"/>
    <col min="12" max="12" width="12.625" style="734"/>
    <col min="13" max="13" width="14.125" style="734" bestFit="1" customWidth="1"/>
    <col min="14" max="26" width="12.625" style="734"/>
    <col min="27" max="35" width="12.625" style="1931"/>
    <col min="36" max="16384" width="12.625" style="1932"/>
  </cols>
  <sheetData>
    <row r="1" spans="1:12" ht="21.75" customHeight="1" thickBot="1">
      <c r="A1" s="1816" t="s">
        <v>1946</v>
      </c>
      <c r="B1" s="1926"/>
      <c r="C1" s="1927"/>
      <c r="D1" s="1926"/>
      <c r="E1" s="1926"/>
      <c r="F1" s="1928" t="s">
        <v>1947</v>
      </c>
      <c r="G1" s="1740" t="s">
        <v>3068</v>
      </c>
      <c r="H1" s="1929" t="str">
        <f>IF(G1="现房","——","估价对象范围")</f>
        <v>估价对象范围</v>
      </c>
      <c r="I1" s="1930" t="s">
        <v>3332</v>
      </c>
    </row>
    <row r="2" spans="1:12" ht="21.75" customHeight="1" thickBot="1">
      <c r="A2" s="3279" t="str">
        <f>项目基本情况!S2</f>
        <v>北京市丰台区科技园东区三期1516-51地块出让国有建设用地使用权及在建建筑物房地产</v>
      </c>
      <c r="B2" s="3280"/>
      <c r="C2" s="3280"/>
      <c r="D2" s="3280"/>
      <c r="E2" s="3280"/>
      <c r="F2" s="3280"/>
      <c r="G2" s="3280"/>
      <c r="H2" s="3280"/>
      <c r="I2" s="3281"/>
    </row>
    <row r="3" spans="1:12" ht="12.75">
      <c r="A3" s="3283" t="s">
        <v>1948</v>
      </c>
      <c r="B3" s="3284"/>
      <c r="C3" s="3284"/>
      <c r="D3" s="3284"/>
      <c r="E3" s="3284"/>
      <c r="F3" s="3284"/>
      <c r="G3" s="3284"/>
      <c r="H3" s="3284"/>
      <c r="I3" s="3284"/>
    </row>
    <row r="4" spans="1:12" ht="14.25">
      <c r="A4" s="1933" t="s">
        <v>1949</v>
      </c>
      <c r="B4" s="1934" t="s">
        <v>1950</v>
      </c>
      <c r="C4" s="1935" t="s">
        <v>3331</v>
      </c>
      <c r="D4" s="1935" t="s">
        <v>3339</v>
      </c>
      <c r="E4" s="3288" t="s">
        <v>1951</v>
      </c>
      <c r="F4" s="3289"/>
      <c r="G4" s="3289"/>
      <c r="H4" s="3289"/>
      <c r="I4" s="329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4" t="s">
        <v>1952</v>
      </c>
      <c r="B5" s="3282">
        <v>25</v>
      </c>
      <c r="C5" s="3285"/>
      <c r="D5" s="3273"/>
      <c r="E5" s="136" t="s">
        <v>1953</v>
      </c>
      <c r="F5" s="1936"/>
      <c r="G5" s="1936"/>
      <c r="H5" s="1936"/>
      <c r="I5" s="1551"/>
    </row>
    <row r="6" spans="1:12" ht="12.75">
      <c r="A6" s="3224"/>
      <c r="B6" s="3282"/>
      <c r="C6" s="3287"/>
      <c r="D6" s="3273"/>
      <c r="E6" s="136" t="s">
        <v>1954</v>
      </c>
      <c r="F6" s="1936"/>
      <c r="G6" s="1936"/>
      <c r="H6" s="1936"/>
      <c r="I6" s="1551"/>
    </row>
    <row r="7" spans="1:12" ht="12.75">
      <c r="A7" s="3224"/>
      <c r="B7" s="3282"/>
      <c r="C7" s="3286"/>
      <c r="D7" s="3273"/>
      <c r="E7" s="136" t="s">
        <v>1955</v>
      </c>
      <c r="F7" s="1936"/>
      <c r="G7" s="1936"/>
      <c r="H7" s="1936"/>
      <c r="I7" s="1551"/>
    </row>
    <row r="8" spans="1:12" ht="12.75">
      <c r="A8" s="3224" t="s">
        <v>1956</v>
      </c>
      <c r="B8" s="3282">
        <v>15</v>
      </c>
      <c r="C8" s="3285"/>
      <c r="D8" s="3273"/>
      <c r="E8" s="136" t="s">
        <v>1957</v>
      </c>
      <c r="F8" s="1936"/>
      <c r="G8" s="1936"/>
      <c r="H8" s="1936"/>
      <c r="I8" s="1551"/>
    </row>
    <row r="9" spans="1:12" ht="12.75">
      <c r="A9" s="3224"/>
      <c r="B9" s="3282"/>
      <c r="C9" s="3286"/>
      <c r="D9" s="3273"/>
      <c r="E9" s="136" t="s">
        <v>1958</v>
      </c>
      <c r="F9" s="1936"/>
      <c r="G9" s="1936"/>
      <c r="H9" s="1936"/>
      <c r="I9" s="1551"/>
    </row>
    <row r="10" spans="1:12" ht="12.75">
      <c r="A10" s="3224" t="s">
        <v>1959</v>
      </c>
      <c r="B10" s="3282">
        <v>15</v>
      </c>
      <c r="C10" s="3285"/>
      <c r="D10" s="3273"/>
      <c r="E10" s="136" t="s">
        <v>1960</v>
      </c>
      <c r="F10" s="1936"/>
      <c r="G10" s="1936"/>
      <c r="H10" s="1936"/>
      <c r="I10" s="1551"/>
    </row>
    <row r="11" spans="1:12" ht="12.75">
      <c r="A11" s="3224"/>
      <c r="B11" s="3282"/>
      <c r="C11" s="3286"/>
      <c r="D11" s="3273"/>
      <c r="E11" s="136" t="s">
        <v>1961</v>
      </c>
      <c r="F11" s="1936"/>
      <c r="G11" s="1936"/>
      <c r="H11" s="1936"/>
      <c r="I11" s="1551"/>
    </row>
    <row r="12" spans="1:12" ht="12.75">
      <c r="A12" s="3224" t="s">
        <v>1962</v>
      </c>
      <c r="B12" s="3282">
        <v>15</v>
      </c>
      <c r="C12" s="3285"/>
      <c r="D12" s="3273"/>
      <c r="E12" s="136" t="s">
        <v>1963</v>
      </c>
      <c r="F12" s="1936"/>
      <c r="G12" s="1936"/>
      <c r="H12" s="1936"/>
      <c r="I12" s="1551"/>
    </row>
    <row r="13" spans="1:12" ht="12.75">
      <c r="A13" s="3224"/>
      <c r="B13" s="3282"/>
      <c r="C13" s="3286"/>
      <c r="D13" s="3273"/>
      <c r="E13" s="136" t="s">
        <v>1964</v>
      </c>
      <c r="F13" s="1936"/>
      <c r="G13" s="1936"/>
      <c r="H13" s="1936"/>
      <c r="I13" s="1551"/>
    </row>
    <row r="14" spans="1:12" ht="12.75">
      <c r="A14" s="3224" t="s">
        <v>1965</v>
      </c>
      <c r="B14" s="3282">
        <v>30</v>
      </c>
      <c r="C14" s="3285">
        <v>5</v>
      </c>
      <c r="D14" s="3273">
        <v>5</v>
      </c>
      <c r="E14" s="136" t="s">
        <v>1966</v>
      </c>
      <c r="F14" s="1936"/>
      <c r="G14" s="1936"/>
      <c r="H14" s="1936"/>
      <c r="I14" s="1551"/>
    </row>
    <row r="15" spans="1:12" ht="12.75">
      <c r="A15" s="3224"/>
      <c r="B15" s="3282"/>
      <c r="C15" s="3287"/>
      <c r="D15" s="3273"/>
      <c r="E15" s="136" t="s">
        <v>1967</v>
      </c>
      <c r="F15" s="1936"/>
      <c r="G15" s="1936"/>
      <c r="H15" s="1936"/>
      <c r="I15" s="1551"/>
    </row>
    <row r="16" spans="1:12" ht="12.75">
      <c r="A16" s="3224"/>
      <c r="B16" s="3282"/>
      <c r="C16" s="3286"/>
      <c r="D16" s="3273"/>
      <c r="E16" s="136" t="s">
        <v>1968</v>
      </c>
      <c r="F16" s="1936"/>
      <c r="G16" s="1936"/>
      <c r="H16" s="1936"/>
      <c r="I16" s="1551"/>
    </row>
    <row r="17" spans="1:36" ht="15">
      <c r="A17" s="1937" t="s">
        <v>1969</v>
      </c>
      <c r="B17" s="60"/>
      <c r="C17" s="137">
        <f>SUM(C5:C16)</f>
        <v>5</v>
      </c>
      <c r="D17" s="137">
        <f>SUM(D5:D16)</f>
        <v>5</v>
      </c>
      <c r="E17" s="134"/>
      <c r="F17" s="134"/>
      <c r="G17" s="134"/>
      <c r="H17" s="134"/>
      <c r="I17" s="134"/>
      <c r="K17" s="308"/>
      <c r="L17" s="308" t="s">
        <v>1970</v>
      </c>
      <c r="M17" s="308" t="s">
        <v>1971</v>
      </c>
    </row>
    <row r="18" spans="1:36" ht="31.9" customHeight="1" thickBot="1">
      <c r="A18" s="1938" t="s">
        <v>1972</v>
      </c>
      <c r="B18" s="1939"/>
      <c r="C18" s="138">
        <f>ROUND(C17/SUM(C17:D17),2)</f>
        <v>0.5</v>
      </c>
      <c r="D18" s="138">
        <f>1-C18</f>
        <v>0.5</v>
      </c>
      <c r="E18" s="3304" t="s">
        <v>2869</v>
      </c>
      <c r="F18" s="3305"/>
      <c r="G18" s="3305"/>
      <c r="H18" s="3305"/>
      <c r="I18" s="3305"/>
      <c r="K18" s="308" t="s">
        <v>1973</v>
      </c>
      <c r="L18" s="308">
        <f>IF(C1="",'数据-汇总表'!E3,SUMIF(项目类型,C1,'数据-汇总表'!E17:E26)+SUMIF(项目类型,C1,'数据-汇总表'!I17:I26))</f>
        <v>108441.15</v>
      </c>
      <c r="M18" s="308">
        <f>IF(C1="",'数据-汇总表'!E3,SUMIF(项目类型,C1,'数据-汇总表'!E17:E26))</f>
        <v>108441.15</v>
      </c>
    </row>
    <row r="19" spans="1:36" ht="15">
      <c r="A19" s="1940" t="s">
        <v>1974</v>
      </c>
      <c r="B19" s="1941" t="s">
        <v>1975</v>
      </c>
      <c r="C19" s="139">
        <f ca="1">SUMIF(INDIRECT("'"&amp;C4&amp;"'"&amp;"!A:A"),结果表!B19,INDIRECT("'"&amp;C4&amp;"'"&amp;"!B:B"))</f>
        <v>222471</v>
      </c>
      <c r="D19" s="140">
        <f ca="1">SUMIF(INDIRECT("'"&amp;D4&amp;"'"&amp;"!A:A"),结果表!B19,INDIRECT("'"&amp;D4&amp;"'"&amp;"!B:B"))</f>
        <v>179136</v>
      </c>
      <c r="E19" s="1940" t="s">
        <v>1976</v>
      </c>
      <c r="F19" s="1941" t="s">
        <v>1975</v>
      </c>
      <c r="G19" s="141">
        <f ca="1">ROUND(C19*$C$18+D19*$D$18,0)</f>
        <v>200804</v>
      </c>
      <c r="H19" s="1942" t="s">
        <v>1977</v>
      </c>
      <c r="I19" s="134"/>
      <c r="K19" s="308" t="s">
        <v>1978</v>
      </c>
      <c r="L19" s="308">
        <f>IF(C1="",'数据-汇总表'!D3,SUMIF(项目类型,C1,'数据-汇总表'!D17:D26)+SUMIF(项目类型,C1,'数据-汇总表'!H17:H27))</f>
        <v>21904.55</v>
      </c>
      <c r="M19" s="308">
        <f>IF(C1="",'数据-汇总表'!D3,SUMIF(项目类型,C1,'数据-汇总表'!D17:D26))</f>
        <v>21904.55</v>
      </c>
    </row>
    <row r="20" spans="1:36" ht="15">
      <c r="A20" s="1943"/>
      <c r="B20" s="1151" t="s">
        <v>1979</v>
      </c>
      <c r="C20" s="142">
        <f ca="1">SUMIF(INDIRECT("'"&amp;C4&amp;"'"&amp;"!A:A"),结果表!B20,INDIRECT("'"&amp;C4&amp;"'"&amp;"!B:B"))</f>
        <v>20515</v>
      </c>
      <c r="D20" s="143">
        <f ca="1">SUMIF(INDIRECT("'"&amp;D4&amp;"'"&amp;"!A:A"),结果表!B20,INDIRECT("'"&amp;D4&amp;"'"&amp;"!B:B"))</f>
        <v>16519</v>
      </c>
      <c r="E20" s="1943"/>
      <c r="F20" s="1151" t="s">
        <v>1979</v>
      </c>
      <c r="G20" s="144">
        <f ca="1">ROUND(C20*$C$18+D20*$D$18,0)</f>
        <v>18517</v>
      </c>
      <c r="H20" s="911" t="s">
        <v>1980</v>
      </c>
      <c r="I20" s="134"/>
    </row>
    <row r="21" spans="1:36" ht="15" customHeight="1" thickBot="1">
      <c r="A21" s="931"/>
      <c r="B21" s="1944" t="s">
        <v>1981</v>
      </c>
      <c r="C21" s="728">
        <f ca="1">ROUND(C19*10000/L19,0)</f>
        <v>101564</v>
      </c>
      <c r="D21" s="729">
        <f ca="1">ROUND(D19*10000/L19,0)</f>
        <v>81780</v>
      </c>
      <c r="E21" s="931"/>
      <c r="F21" s="1944" t="s">
        <v>1981</v>
      </c>
      <c r="G21" s="145">
        <f ca="1">ROUND(G19*10000/L19,0)</f>
        <v>91672</v>
      </c>
      <c r="H21" s="1945" t="s">
        <v>1980</v>
      </c>
      <c r="I21" s="134"/>
      <c r="K21" s="734">
        <f ca="1">G19/'数据-汇总表'!F31</f>
        <v>2.8525086376161686</v>
      </c>
    </row>
    <row r="22" spans="1:36" ht="15" thickBot="1">
      <c r="A22" s="1867" t="s">
        <v>1982</v>
      </c>
      <c r="B22" s="1946"/>
      <c r="C22" s="1947"/>
      <c r="D22" s="730">
        <f ca="1">IF(C19&lt;D19,D19/C19-1,C19/D19-1)</f>
        <v>0.2419111736334405</v>
      </c>
      <c r="E22" s="134"/>
      <c r="F22" s="134"/>
      <c r="G22" s="134"/>
      <c r="H22" s="134"/>
      <c r="I22" s="134"/>
    </row>
    <row r="23" spans="1:36" ht="13.5" thickBot="1">
      <c r="A23" s="1926"/>
      <c r="B23" s="1926"/>
      <c r="C23" s="1926"/>
      <c r="D23" s="1926"/>
      <c r="E23" s="134"/>
      <c r="F23" s="134"/>
      <c r="G23" s="134"/>
      <c r="H23" s="134"/>
      <c r="I23" s="134"/>
    </row>
    <row r="24" spans="1:36" ht="14.25">
      <c r="A24" s="3297" t="s">
        <v>1983</v>
      </c>
      <c r="B24" s="1941" t="s">
        <v>1975</v>
      </c>
      <c r="C24" s="141">
        <f>IF(B30=0,0,D30)</f>
        <v>0</v>
      </c>
      <c r="D24" s="1948"/>
      <c r="E24" s="134"/>
      <c r="F24" s="134"/>
      <c r="G24" s="134"/>
      <c r="H24" s="134"/>
      <c r="I24" s="134"/>
    </row>
    <row r="25" spans="1:36" ht="14.25">
      <c r="A25" s="3298"/>
      <c r="B25" s="1151" t="s">
        <v>1979</v>
      </c>
      <c r="C25" s="146">
        <f>IF(B30=0,0,C30)</f>
        <v>0</v>
      </c>
      <c r="D25" s="1949"/>
      <c r="E25" s="134"/>
      <c r="F25" s="134"/>
      <c r="G25" s="134"/>
      <c r="H25" s="134"/>
      <c r="I25" s="134"/>
    </row>
    <row r="26" spans="1:36" ht="13.5" customHeight="1">
      <c r="A26" s="1950" t="s">
        <v>1984</v>
      </c>
      <c r="B26" s="147" t="s">
        <v>1985</v>
      </c>
      <c r="C26" s="147" t="s">
        <v>1986</v>
      </c>
      <c r="D26" s="148" t="s">
        <v>1987</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1988</v>
      </c>
      <c r="B30" s="147"/>
      <c r="C30" s="147"/>
      <c r="D30" s="147"/>
      <c r="E30" s="2514" t="s">
        <v>2870</v>
      </c>
      <c r="F30" s="134"/>
      <c r="G30" s="134"/>
      <c r="H30" s="134"/>
      <c r="I30" s="134"/>
    </row>
    <row r="31" spans="1:36" s="2520" customFormat="1" ht="26.45" customHeight="1" thickTop="1" thickBot="1">
      <c r="A31" s="2515"/>
      <c r="B31" s="2516"/>
      <c r="C31" s="2516"/>
      <c r="D31" s="2516"/>
      <c r="E31" s="2516"/>
      <c r="F31" s="2516"/>
      <c r="G31" s="2516"/>
      <c r="H31" s="2516"/>
      <c r="I31" s="2517" t="s">
        <v>2871</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9">
        <f ca="1">IF(D32="总价",G19-C24,G20-C25)</f>
        <v>200804</v>
      </c>
      <c r="D32" s="1954" t="s">
        <v>3358</v>
      </c>
      <c r="E32" s="134"/>
      <c r="F32" s="134"/>
      <c r="G32" s="134"/>
      <c r="H32" s="134"/>
      <c r="I32" s="134"/>
    </row>
    <row r="33" spans="1:15" ht="15">
      <c r="A33" s="888" t="s">
        <v>1990</v>
      </c>
      <c r="B33" s="1955"/>
      <c r="C33" s="1956" t="s">
        <v>3340</v>
      </c>
      <c r="D33" s="1957" t="s">
        <v>3331</v>
      </c>
      <c r="E33" s="1958" t="s">
        <v>1991</v>
      </c>
      <c r="F33" s="1959" t="str">
        <f>IF(D32="楼面单价","取值（单价）","取值（总价）")</f>
        <v>取值（总价）</v>
      </c>
      <c r="G33" s="134"/>
      <c r="H33" s="134"/>
      <c r="I33" s="134"/>
    </row>
    <row r="34" spans="1:15" ht="15">
      <c r="A34" s="1960"/>
      <c r="B34" s="1961" t="s">
        <v>1992</v>
      </c>
      <c r="C34" s="153">
        <f ca="1">IF(C33="自定义",F34,C32-C35)</f>
        <v>167671</v>
      </c>
      <c r="D34" s="964">
        <f ca="1">IF(C33="自定义",ROUND(C34/C32,3),IF(C33="收益比率",SUMIF(INDIRECT("'"&amp;D33&amp;"'"&amp;"!b:b"),"土地收益比率",INDIRECT("'"&amp;D33&amp;"'"&amp;"!c:c")),SUMIF(INDIRECT("'"&amp;D33&amp;"'"&amp;"!b:b"),"土地成本比率",INDIRECT("'"&amp;D33&amp;"'"&amp;"!c:c"))))</f>
        <v>0.83499999999999996</v>
      </c>
      <c r="E34" s="1962" t="s">
        <v>1993</v>
      </c>
      <c r="F34" s="1492"/>
      <c r="G34" s="134"/>
      <c r="H34" s="134"/>
      <c r="I34" s="134"/>
    </row>
    <row r="35" spans="1:15" ht="15.75" thickBot="1">
      <c r="A35" s="1963"/>
      <c r="B35" s="1964" t="s">
        <v>1994</v>
      </c>
      <c r="C35" s="1326">
        <f ca="1">IF(C33="自定义",F35,ROUND(C32*D35,0))</f>
        <v>33133</v>
      </c>
      <c r="D35" s="1327">
        <f ca="1">IF(C33="自定义",ROUND(C35/C32,3),IF(C33="收益比率",SUMIF(INDIRECT("'"&amp;D33&amp;"'"&amp;"!b:b"),"建筑物收益比率",INDIRECT("'"&amp;D33&amp;"'"&amp;"!c:c")),SUMIF(INDIRECT("'"&amp;D33&amp;"'"&amp;"!b:b"),"建筑物成本比率",INDIRECT("'"&amp;D33&amp;"'"&amp;"!c:c"))))</f>
        <v>0.16500000000000001</v>
      </c>
      <c r="E35" s="1965" t="s">
        <v>1995</v>
      </c>
      <c r="F35" s="159"/>
      <c r="G35" s="134"/>
      <c r="H35" s="134"/>
      <c r="I35" s="134"/>
    </row>
    <row r="36" spans="1:15" ht="15.75" thickBot="1">
      <c r="A36" s="3274" t="s">
        <v>1996</v>
      </c>
      <c r="B36" s="1966" t="s">
        <v>1997</v>
      </c>
      <c r="C36" s="150"/>
      <c r="D36" s="1967"/>
      <c r="E36" s="1968"/>
      <c r="F36" s="1969"/>
      <c r="G36" s="134"/>
      <c r="H36" s="134"/>
      <c r="I36" s="134"/>
    </row>
    <row r="37" spans="1:15" ht="15.75" thickBot="1">
      <c r="A37" s="3275"/>
      <c r="B37" s="1853" t="s">
        <v>1998</v>
      </c>
      <c r="C37" s="152"/>
      <c r="D37" s="1295"/>
      <c r="E37" s="1295"/>
      <c r="F37" s="1969"/>
      <c r="G37" s="134"/>
      <c r="H37" s="134"/>
      <c r="I37" s="134"/>
    </row>
    <row r="38" spans="1:15" ht="15.75" thickBot="1">
      <c r="A38" s="3276"/>
      <c r="B38" s="1970" t="s">
        <v>1999</v>
      </c>
      <c r="C38" s="683"/>
      <c r="D38" s="1971" t="s">
        <v>2000</v>
      </c>
      <c r="E38" s="1295"/>
      <c r="F38" s="1969"/>
      <c r="G38" s="134"/>
      <c r="H38" s="134"/>
      <c r="I38" s="134"/>
    </row>
    <row r="39" spans="1:15" ht="15">
      <c r="A39" s="1943" t="s">
        <v>2001</v>
      </c>
      <c r="B39" s="1972" t="s">
        <v>2002</v>
      </c>
      <c r="C39" s="1973" t="s">
        <v>2003</v>
      </c>
      <c r="D39" s="1973" t="s">
        <v>2004</v>
      </c>
      <c r="E39" s="1974" t="s">
        <v>2005</v>
      </c>
      <c r="F39" s="1969"/>
      <c r="G39" s="134"/>
      <c r="H39" s="134"/>
      <c r="I39" s="134"/>
    </row>
    <row r="40" spans="1:15" ht="14.25">
      <c r="A40" s="1975" t="s">
        <v>2006</v>
      </c>
      <c r="B40" s="154"/>
      <c r="C40" s="155"/>
      <c r="D40" s="155"/>
      <c r="E40" s="156"/>
      <c r="F40" s="1969"/>
      <c r="G40" s="134"/>
      <c r="H40" s="134"/>
      <c r="I40" s="134"/>
    </row>
    <row r="41" spans="1:15" ht="14.25">
      <c r="A41" s="1975" t="s">
        <v>2007</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294" t="s">
        <v>2010</v>
      </c>
      <c r="B45" s="3295"/>
      <c r="C45" s="3296"/>
      <c r="D45" s="160">
        <f ca="1">ROUND(H101*F45,0)</f>
        <v>200804</v>
      </c>
      <c r="E45" s="161" t="s">
        <v>2011</v>
      </c>
      <c r="F45" s="162">
        <v>1</v>
      </c>
      <c r="G45" s="163" t="s">
        <v>2012</v>
      </c>
      <c r="H45" s="134"/>
      <c r="I45" s="134"/>
      <c r="J45" s="3211" t="s">
        <v>2013</v>
      </c>
      <c r="K45" s="3211"/>
      <c r="L45" s="3211"/>
      <c r="M45" s="3211"/>
      <c r="N45" s="3211"/>
      <c r="O45" s="3211"/>
    </row>
    <row r="46" spans="1:15" ht="14.25" customHeight="1">
      <c r="A46" s="3291" t="s">
        <v>2014</v>
      </c>
      <c r="B46" s="3292"/>
      <c r="C46" s="3292"/>
      <c r="D46" s="3292"/>
      <c r="E46" s="3292"/>
      <c r="F46" s="3292"/>
      <c r="G46" s="3293"/>
      <c r="H46" s="1985"/>
      <c r="I46" s="164"/>
      <c r="J46" s="2739">
        <v>1</v>
      </c>
      <c r="K46" s="3212" t="s">
        <v>2015</v>
      </c>
      <c r="L46" s="3212"/>
      <c r="M46" s="3213"/>
      <c r="N46" s="3213"/>
      <c r="O46" s="3213"/>
    </row>
    <row r="47" spans="1:15" ht="12" customHeight="1">
      <c r="A47" s="165" t="s">
        <v>2016</v>
      </c>
      <c r="B47" s="166"/>
      <c r="C47" s="167"/>
      <c r="D47" s="1241" t="s">
        <v>2017</v>
      </c>
      <c r="E47" s="308" t="s">
        <v>2018</v>
      </c>
      <c r="F47" s="168" t="s">
        <v>2019</v>
      </c>
      <c r="G47" s="2762" t="s">
        <v>2020</v>
      </c>
      <c r="H47" s="2763"/>
      <c r="I47" s="164"/>
      <c r="J47" s="2739">
        <v>2</v>
      </c>
      <c r="K47" s="3212" t="s">
        <v>2021</v>
      </c>
      <c r="L47" s="3212"/>
      <c r="M47" s="3214">
        <f>'数据-取费表'!B2</f>
        <v>44299</v>
      </c>
      <c r="N47" s="3214"/>
      <c r="O47" s="3214"/>
    </row>
    <row r="48" spans="1:15" ht="25.5">
      <c r="A48" s="3277" t="s">
        <v>2022</v>
      </c>
      <c r="B48" s="3278"/>
      <c r="C48" s="3278"/>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12" t="s">
        <v>2024</v>
      </c>
      <c r="L48" s="3212"/>
      <c r="M48" s="3215">
        <f ca="1">H101</f>
        <v>200804</v>
      </c>
      <c r="N48" s="3215"/>
      <c r="O48" s="3215"/>
    </row>
    <row r="49" spans="1:35" ht="25.5" customHeight="1">
      <c r="A49" s="2549" t="s">
        <v>2025</v>
      </c>
      <c r="B49" s="3260" t="s">
        <v>2026</v>
      </c>
      <c r="C49" s="3260"/>
      <c r="D49" s="1769">
        <v>0</v>
      </c>
      <c r="E49" s="330" t="s">
        <v>2027</v>
      </c>
      <c r="F49" s="2642" t="s">
        <v>34</v>
      </c>
      <c r="G49" s="3243"/>
      <c r="H49" s="2521" t="s">
        <v>2872</v>
      </c>
      <c r="I49" s="2522"/>
      <c r="J49" s="2739">
        <v>4</v>
      </c>
      <c r="K49" s="3212" t="str">
        <f>IF(项目基本情况!E8="房地产抵押价值","房地产抵押价值","抵押担保权已注销时的房地产抵押价值")</f>
        <v>抵押担保权已注销时的房地产抵押价值</v>
      </c>
      <c r="L49" s="3212"/>
      <c r="M49" s="3215">
        <f ca="1">IF(项目基本情况!E8="房地产抵押价值",H107,H109)</f>
        <v>200804</v>
      </c>
      <c r="N49" s="3215"/>
      <c r="O49" s="3215"/>
    </row>
    <row r="50" spans="1:35" ht="25.5" customHeight="1">
      <c r="A50" s="2767"/>
      <c r="B50" s="3260" t="s">
        <v>2028</v>
      </c>
      <c r="C50" s="3260"/>
      <c r="D50" s="2768"/>
      <c r="E50" s="338"/>
      <c r="F50" s="2642"/>
      <c r="G50" s="3244"/>
      <c r="H50" s="2523" t="s">
        <v>2873</v>
      </c>
      <c r="I50" s="2522"/>
      <c r="J50" s="3211" t="s">
        <v>2029</v>
      </c>
      <c r="K50" s="3211"/>
      <c r="L50" s="3211"/>
      <c r="M50" s="3211"/>
      <c r="N50" s="3211"/>
      <c r="O50" s="3211"/>
    </row>
    <row r="51" spans="1:35" ht="20.45" customHeight="1">
      <c r="A51" s="2769"/>
      <c r="B51" s="3260" t="s">
        <v>2030</v>
      </c>
      <c r="C51" s="3260"/>
      <c r="D51" s="1241"/>
      <c r="E51" s="333"/>
      <c r="F51" s="2642"/>
      <c r="G51" s="3245"/>
      <c r="H51" s="2523" t="s">
        <v>2874</v>
      </c>
      <c r="I51" s="2522"/>
      <c r="J51" s="2740" t="s">
        <v>2031</v>
      </c>
      <c r="K51" s="3212" t="s">
        <v>2032</v>
      </c>
      <c r="L51" s="3212"/>
      <c r="M51" s="2740" t="s">
        <v>2033</v>
      </c>
      <c r="N51" s="2740" t="s">
        <v>2034</v>
      </c>
      <c r="O51" s="2740" t="s">
        <v>2035</v>
      </c>
    </row>
    <row r="52" spans="1:35" ht="24" customHeight="1">
      <c r="A52" s="2551" t="s">
        <v>2036</v>
      </c>
      <c r="B52" s="3260" t="s">
        <v>2037</v>
      </c>
      <c r="C52" s="3260"/>
      <c r="D52" s="1241">
        <f ca="1">ROUND(D45*'数据-取费表'!B41/(1+'数据-取费表'!C42),0)</f>
        <v>10710</v>
      </c>
      <c r="E52" s="2550" t="s">
        <v>2038</v>
      </c>
      <c r="F52" s="2770">
        <f>'数据-取费表'!B41</f>
        <v>5.6000000000000001E-2</v>
      </c>
      <c r="G52" s="2771"/>
      <c r="H52" s="2760"/>
      <c r="I52" s="1986"/>
      <c r="J52" s="2739">
        <v>1</v>
      </c>
      <c r="K52" s="3237" t="s">
        <v>2039</v>
      </c>
      <c r="L52" s="3237"/>
      <c r="M52" s="2741" t="b">
        <f>D48</f>
        <v>0</v>
      </c>
      <c r="N52" s="2739" t="str">
        <f>E48</f>
        <v>销售额×税（费）率</v>
      </c>
      <c r="O52" s="2742">
        <f>F48</f>
        <v>5.6000000000000001E-2</v>
      </c>
    </row>
    <row r="53" spans="1:35" ht="12" customHeight="1">
      <c r="A53" s="2551" t="s">
        <v>2040</v>
      </c>
      <c r="B53" s="3261" t="s">
        <v>3029</v>
      </c>
      <c r="C53" s="3262"/>
      <c r="D53" s="1241">
        <f ca="1">ROUND(D45*'数据-取费表'!B41/(1+'数据-取费表'!C42),0)</f>
        <v>10710</v>
      </c>
      <c r="E53" s="2550" t="s">
        <v>2038</v>
      </c>
      <c r="F53" s="2770">
        <f>'数据-取费表'!B41</f>
        <v>5.6000000000000001E-2</v>
      </c>
      <c r="G53" s="2771"/>
      <c r="H53" s="2760"/>
      <c r="I53" s="1986"/>
      <c r="J53" s="2739">
        <v>2</v>
      </c>
      <c r="K53" s="3237" t="s">
        <v>2041</v>
      </c>
      <c r="L53" s="3237"/>
      <c r="M53" s="2741">
        <f t="shared" ref="M53:O54" ca="1" si="0">D55</f>
        <v>100</v>
      </c>
      <c r="N53" s="2739" t="str">
        <f t="shared" si="0"/>
        <v>销售额×税（费）率</v>
      </c>
      <c r="O53" s="2742" t="str">
        <f t="shared" si="0"/>
        <v>免征</v>
      </c>
    </row>
    <row r="54" spans="1:35" ht="12" customHeight="1">
      <c r="A54" s="2551" t="s">
        <v>2042</v>
      </c>
      <c r="B54" s="3261" t="s">
        <v>3030</v>
      </c>
      <c r="C54" s="3262"/>
      <c r="D54" s="1241">
        <f ca="1">C68</f>
        <v>10710</v>
      </c>
      <c r="E54" s="333" t="s">
        <v>2043</v>
      </c>
      <c r="F54" s="2770">
        <f>'数据-取费表'!B41</f>
        <v>5.6000000000000001E-2</v>
      </c>
      <c r="G54" s="2771"/>
      <c r="H54" s="2772"/>
      <c r="I54" s="1986"/>
      <c r="J54" s="2739">
        <v>3</v>
      </c>
      <c r="K54" s="3237" t="s">
        <v>2044</v>
      </c>
      <c r="L54" s="3237"/>
      <c r="M54" s="2741">
        <f t="shared" ca="1" si="0"/>
        <v>113656</v>
      </c>
      <c r="N54" s="2739" t="str">
        <f t="shared" si="0"/>
        <v>增值额×税（费）率</v>
      </c>
      <c r="O54" s="2743" t="str">
        <f t="shared" si="0"/>
        <v>免征</v>
      </c>
    </row>
    <row r="55" spans="1:35" ht="24" customHeight="1">
      <c r="A55" s="3300" t="s">
        <v>2045</v>
      </c>
      <c r="B55" s="3278"/>
      <c r="C55" s="3278"/>
      <c r="D55" s="2540">
        <f ca="1">IF(H55="个人住宅",0,ROUND(D45*I55,0))</f>
        <v>100</v>
      </c>
      <c r="E55" s="2550" t="s">
        <v>2046</v>
      </c>
      <c r="F55" s="2770" t="str">
        <f>IF(H55="正常",I55,"免征")</f>
        <v>免征</v>
      </c>
      <c r="G55" s="2771"/>
      <c r="H55" s="2766"/>
      <c r="I55" s="170">
        <f>'数据-取费表'!B49</f>
        <v>5.0000000000000001E-4</v>
      </c>
      <c r="J55" s="2739">
        <f>IF(H59="非个人房产","",4)</f>
        <v>4</v>
      </c>
      <c r="K55" s="3237" t="str">
        <f>IF(H59="非个人房产","——","个人所得税")</f>
        <v>个人所得税</v>
      </c>
      <c r="L55" s="3237"/>
      <c r="M55" s="2744">
        <f ca="1">D59</f>
        <v>1912</v>
      </c>
      <c r="N55" s="2221" t="str">
        <f>E59</f>
        <v>差额计税</v>
      </c>
      <c r="O55" s="2745">
        <f>F59</f>
        <v>0.01</v>
      </c>
    </row>
    <row r="56" spans="1:35" ht="24.75">
      <c r="A56" s="3300" t="s">
        <v>2047</v>
      </c>
      <c r="B56" s="3278"/>
      <c r="C56" s="3278"/>
      <c r="D56" s="2540">
        <f ca="1">IF(H56="个人住宅",D57,D58)</f>
        <v>113656</v>
      </c>
      <c r="E56" s="2550" t="s">
        <v>2048</v>
      </c>
      <c r="F56" s="2770" t="str">
        <f>IF(H56="正常",F58,"免征")</f>
        <v>免征</v>
      </c>
      <c r="G56" s="2773" t="s">
        <v>2049</v>
      </c>
      <c r="H56" s="2774"/>
      <c r="I56" s="1987"/>
      <c r="J56" s="2739" t="str">
        <f>IF(项目基本情况!K6="上海银行",IF(J55="",4,J55+1),"")</f>
        <v/>
      </c>
      <c r="K56" s="3218" t="str">
        <f>IF(项目基本情况!K6="上海银行","其他处置费用","")</f>
        <v/>
      </c>
      <c r="L56" s="3219"/>
      <c r="M56" s="2741" t="str">
        <f>IF(项目基本情况!K6="上海银行",M69,"")</f>
        <v/>
      </c>
      <c r="N56" s="3218" t="str">
        <f>IF(项目基本情况!K6="上海银行","包含处置中涉及的律师、诉讼、拍卖、评估等费用","")</f>
        <v/>
      </c>
      <c r="O56" s="3221"/>
    </row>
    <row r="57" spans="1:35" ht="12.75">
      <c r="A57" s="2551" t="s">
        <v>2025</v>
      </c>
      <c r="B57" s="3261" t="s">
        <v>2050</v>
      </c>
      <c r="C57" s="3262"/>
      <c r="D57" s="1769">
        <v>0</v>
      </c>
      <c r="E57" s="330" t="s">
        <v>2027</v>
      </c>
      <c r="F57" s="308"/>
      <c r="G57" s="2771"/>
      <c r="H57" s="2775"/>
      <c r="I57" s="1987"/>
      <c r="J57" s="3237">
        <f>IF(AND(J55="",J56=""),4,IF(项目基本情况!K6="上海银行",结果表!J56+1,结果表!J55+1))</f>
        <v>5</v>
      </c>
      <c r="K57" s="3237" t="s">
        <v>2051</v>
      </c>
      <c r="L57" s="2746" t="s">
        <v>2052</v>
      </c>
      <c r="M57" s="2747"/>
      <c r="N57" s="2748">
        <f ca="1">SUMIF(M52:M56,"&lt;9e307")</f>
        <v>115668</v>
      </c>
      <c r="O57" s="2749"/>
      <c r="P57" s="2909">
        <f ca="1">N57/M49</f>
        <v>0.57602438198442263</v>
      </c>
    </row>
    <row r="58" spans="1:35" ht="24.75">
      <c r="A58" s="2551" t="s">
        <v>2036</v>
      </c>
      <c r="B58" s="3261" t="s">
        <v>2053</v>
      </c>
      <c r="C58" s="3260"/>
      <c r="D58" s="2540">
        <f ca="1">IF(H58="转让取得",C81,C97)</f>
        <v>113656</v>
      </c>
      <c r="E58" s="2550" t="s">
        <v>2048</v>
      </c>
      <c r="F58" s="308" t="s">
        <v>34</v>
      </c>
      <c r="G58" s="2771"/>
      <c r="H58" s="2774"/>
      <c r="I58" s="1987"/>
      <c r="J58" s="3237"/>
      <c r="K58" s="3237"/>
      <c r="L58" s="2746" t="s">
        <v>2054</v>
      </c>
      <c r="M58" s="2750"/>
      <c r="N58" s="2751" t="str">
        <f ca="1">NUMBERSTRING(INT(N57*10000),2)&amp;"元整"</f>
        <v>壹拾壹亿伍仟陆佰陆拾捌万元整</v>
      </c>
      <c r="O58" s="2752"/>
    </row>
    <row r="59" spans="1:35" ht="24.75" thickBot="1">
      <c r="A59" s="3241" t="s">
        <v>2055</v>
      </c>
      <c r="B59" s="3242"/>
      <c r="C59" s="3242"/>
      <c r="D59" s="2776">
        <f ca="1">IF(H59="非个人房产","——",IF(H59="个人住宅（满五唯一有凭证）",0,IF(H59="个人其他（无凭证）",ROUND(D45*F59,0),ROUND(C67*F59,0))))</f>
        <v>1912</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2875</v>
      </c>
      <c r="J59" s="3239">
        <f>J57+1</f>
        <v>6</v>
      </c>
      <c r="K59" s="3237" t="s">
        <v>2056</v>
      </c>
      <c r="L59" s="2739" t="s">
        <v>2052</v>
      </c>
      <c r="M59" s="2753"/>
      <c r="N59" s="2754">
        <f ca="1">M49-N57</f>
        <v>85136</v>
      </c>
      <c r="O59" s="2755"/>
    </row>
    <row r="60" spans="1:35" ht="12" customHeight="1">
      <c r="A60" s="1988"/>
      <c r="B60" s="1926"/>
      <c r="C60" s="1926"/>
      <c r="D60" s="1926"/>
      <c r="E60" s="1757"/>
      <c r="F60" s="1987"/>
      <c r="G60" s="1987"/>
      <c r="H60" s="1989"/>
      <c r="I60" s="134"/>
      <c r="J60" s="3240"/>
      <c r="K60" s="3237"/>
      <c r="L60" s="2746" t="s">
        <v>2054</v>
      </c>
      <c r="M60" s="2750"/>
      <c r="N60" s="2751" t="str">
        <f ca="1">NUMBERSTRING(INT(N59*10000),2)&amp;"元整"</f>
        <v>捌亿伍仟壹佰叁拾陆万元整</v>
      </c>
      <c r="O60" s="2752"/>
    </row>
    <row r="61" spans="1:35" ht="13.5" thickBot="1">
      <c r="A61" s="3299" t="s">
        <v>2057</v>
      </c>
      <c r="B61" s="3299"/>
      <c r="C61" s="3299"/>
      <c r="D61" s="3299"/>
      <c r="E61" s="3299"/>
      <c r="F61" s="1987"/>
      <c r="G61" s="1987"/>
      <c r="H61" s="1989"/>
      <c r="I61" s="134"/>
      <c r="J61" s="2739">
        <f>J59+1</f>
        <v>7</v>
      </c>
      <c r="K61" s="3237" t="s">
        <v>2058</v>
      </c>
      <c r="L61" s="3237"/>
      <c r="M61" s="2756"/>
      <c r="N61" s="2757">
        <f ca="1">ROUND(N59*10000/'数据-汇总表'!E3,0)</f>
        <v>7851</v>
      </c>
      <c r="O61" s="2758"/>
    </row>
    <row r="62" spans="1:35" ht="12.75">
      <c r="A62" s="3256" t="s">
        <v>2059</v>
      </c>
      <c r="B62" s="3257"/>
      <c r="C62" s="2202"/>
      <c r="D62" s="2202" t="s">
        <v>2060</v>
      </c>
      <c r="E62" s="171" t="s">
        <v>2061</v>
      </c>
      <c r="F62" s="1987"/>
      <c r="G62" s="1987"/>
      <c r="H62" s="1989"/>
      <c r="I62" s="134"/>
    </row>
    <row r="63" spans="1:35" ht="12.75">
      <c r="A63" s="178" t="s">
        <v>775</v>
      </c>
      <c r="B63" s="172" t="s">
        <v>2062</v>
      </c>
      <c r="C63" s="2780">
        <f ca="1">ROUND((C64+C65)/(1+'数据-取费表'!C42),0)</f>
        <v>191242</v>
      </c>
      <c r="D63" s="172"/>
      <c r="E63" s="173"/>
      <c r="F63" s="1987"/>
      <c r="G63" s="1987"/>
      <c r="H63" s="1989"/>
      <c r="I63" s="134"/>
      <c r="J63" s="3220" t="s">
        <v>2063</v>
      </c>
      <c r="K63" s="1495" t="s">
        <v>2064</v>
      </c>
      <c r="L63" s="1495">
        <f ca="1">IF(M49&gt;10000,M49*0.5%,IF(AND(M49&gt;1000,M49&lt;=10000),M49*1%,IF(AND(M49&gt;100,M49&lt;=1000),M49*3%,IF(AND(M49&gt;10,M49&lt;=100),M49*5%,M49*8%))))</f>
        <v>1004.02</v>
      </c>
      <c r="M63" s="308">
        <f ca="1">ROUND(L63,1)</f>
        <v>1004</v>
      </c>
      <c r="N63" s="2759"/>
      <c r="Z63" s="1931"/>
      <c r="AI63" s="1932"/>
    </row>
    <row r="64" spans="1:35" ht="14.25" customHeight="1">
      <c r="A64" s="174" t="s">
        <v>770</v>
      </c>
      <c r="B64" s="175" t="s">
        <v>2065</v>
      </c>
      <c r="C64" s="2781">
        <f ca="1">D45</f>
        <v>200804</v>
      </c>
      <c r="D64" s="175" t="s">
        <v>32</v>
      </c>
      <c r="E64" s="177"/>
      <c r="F64" s="1987"/>
      <c r="G64" s="1987"/>
      <c r="H64" s="1989"/>
      <c r="I64" s="134"/>
      <c r="J64" s="3220"/>
      <c r="K64" s="1495" t="s">
        <v>2066</v>
      </c>
      <c r="L64" s="1495">
        <f ca="1">IF(M49&gt;2000,M49*0.5%,IF(AND(M49&gt;1000,M49&lt;=2000),M49*0.6%,IF(AND(M49&gt;500,M49&lt;=1000),M49*0.7%,IF(AND(M49&gt;200,M49&lt;=500),M49*0.8%,IF(AND(M49&gt;100,M49&lt;=200),M49*0.9%,IF(AND(M49&gt;50,M49&lt;=100),M49*1%,IF(AND(M49&gt;20,M49&lt;=50),M49*1.5%,IF(AND(M49&gt;10,M49&lt;=20),M49*2%,IF(AND(M49&gt;1,M49&lt;=10),M49*2.5%)))))))))</f>
        <v>1004.02</v>
      </c>
      <c r="M64" s="308">
        <f t="shared" ref="M64:M65" ca="1" si="1">ROUND(L64,1)</f>
        <v>1004</v>
      </c>
      <c r="N64" s="2760" t="s">
        <v>2067</v>
      </c>
      <c r="Z64" s="1931"/>
      <c r="AI64" s="1932"/>
    </row>
    <row r="65" spans="1:35" ht="14.25" customHeight="1">
      <c r="A65" s="174" t="s">
        <v>771</v>
      </c>
      <c r="B65" s="175" t="s">
        <v>2068</v>
      </c>
      <c r="C65" s="2782"/>
      <c r="D65" s="175"/>
      <c r="E65" s="177"/>
      <c r="F65" s="1987"/>
      <c r="G65" s="1987"/>
      <c r="H65" s="1989"/>
      <c r="I65" s="134"/>
      <c r="J65" s="3220"/>
      <c r="K65" s="1495" t="s">
        <v>2069</v>
      </c>
      <c r="L65" s="1495">
        <f ca="1">IF(M49&gt;1000,M49*0.1%,IF(AND(M49&gt;500,M49&lt;=1000),M49*0.5%,IF(AND(M49&gt;50,M49&lt;=500),M49*1%,IF(AND(M49&gt;1,M49&lt;=50),M49*1.5%))))</f>
        <v>200.804</v>
      </c>
      <c r="M65" s="308">
        <f t="shared" ca="1" si="1"/>
        <v>200.8</v>
      </c>
      <c r="N65" s="2760" t="s">
        <v>2067</v>
      </c>
      <c r="Z65" s="1931"/>
      <c r="AI65" s="1932"/>
    </row>
    <row r="66" spans="1:35" ht="14.25" customHeight="1">
      <c r="A66" s="178" t="s">
        <v>772</v>
      </c>
      <c r="B66" s="179" t="s">
        <v>2070</v>
      </c>
      <c r="C66" s="2783"/>
      <c r="D66" s="179" t="s">
        <v>32</v>
      </c>
      <c r="E66" s="1503" t="s">
        <v>1337</v>
      </c>
      <c r="F66" s="1987"/>
      <c r="G66" s="1987"/>
      <c r="H66" s="1989"/>
      <c r="I66" s="134"/>
      <c r="J66" s="3220"/>
      <c r="K66" s="1495" t="s">
        <v>2071</v>
      </c>
      <c r="L66" s="1495">
        <f ca="1">M49*0.5%</f>
        <v>1004.02</v>
      </c>
      <c r="M66" s="308">
        <f ca="1">IF(L66&gt;0.5,0.5,ROUND(L66,0))</f>
        <v>0.5</v>
      </c>
      <c r="N66" s="2760" t="s">
        <v>2072</v>
      </c>
      <c r="Z66" s="1931"/>
      <c r="AI66" s="1932"/>
    </row>
    <row r="67" spans="1:35" ht="14.25" customHeight="1">
      <c r="A67" s="178" t="s">
        <v>773</v>
      </c>
      <c r="B67" s="179" t="s">
        <v>2073</v>
      </c>
      <c r="C67" s="2784">
        <f ca="1">C63-C66</f>
        <v>191242</v>
      </c>
      <c r="D67" s="175" t="s">
        <v>32</v>
      </c>
      <c r="E67" s="177"/>
      <c r="F67" s="1987"/>
      <c r="G67" s="1987"/>
      <c r="H67" s="1989"/>
      <c r="I67" s="134"/>
      <c r="J67" s="3220"/>
      <c r="K67" s="1495" t="s">
        <v>2074</v>
      </c>
      <c r="L67" s="1495">
        <f ca="1">IF(M49&gt;=10000,(8.25+(M49-10000)*0.01%),IF(AND(M49&gt;=8000,M49&lt;10000),(7.85+(M49-8000)*0.02%),IF(AND(M49&gt;=5000,M49&lt;8000),(6.65+(M49-5000)*0.04%),IF(AND(M49&gt;=2000,M49&lt;5000),(4.25+(PM49-2000)*0.08%),IF(AND(M49&gt;=1000,M49&lt;2000),(2.75+(M49-1000)*0.15%),IF(AND(M49&gt;=100,M49&lt;1000),(0.5+(M49-100)*0.25%),IF(AND(M49&gt;0,M49&lt;100),M49*0.5%)))))))</f>
        <v>27.330400000000001</v>
      </c>
      <c r="M67" s="308">
        <f ca="1">ROUND(L67*0.9,1)</f>
        <v>24.6</v>
      </c>
      <c r="N67" s="2759"/>
      <c r="Z67" s="1931"/>
      <c r="AI67" s="1932"/>
    </row>
    <row r="68" spans="1:35" ht="14.25" customHeight="1" thickBot="1">
      <c r="A68" s="181" t="s">
        <v>774</v>
      </c>
      <c r="B68" s="182" t="s">
        <v>2075</v>
      </c>
      <c r="C68" s="2785">
        <f ca="1">IF(C67&lt;=0,0,ROUND(C67*D68,0))</f>
        <v>10710</v>
      </c>
      <c r="D68" s="2786">
        <f>'数据-取费表'!B41</f>
        <v>5.6000000000000001E-2</v>
      </c>
      <c r="E68" s="184"/>
      <c r="F68" s="1987"/>
      <c r="G68" s="1987"/>
      <c r="H68" s="1989"/>
      <c r="I68" s="134"/>
      <c r="J68" s="3220"/>
      <c r="K68" s="1495" t="s">
        <v>2076</v>
      </c>
      <c r="L68" s="1495">
        <f ca="1">IF(M49&gt;10000,M49*0.5%,IF(AND(M49&gt;5000,M49&lt;=10000),M49*1%,IF(AND(M49&gt;1000,M49&lt;=5000),M49*2%,IF(AND(M49&gt;200,M49&lt;=1000),M49*3%,M49*5%))))</f>
        <v>1004.02</v>
      </c>
      <c r="M68" s="308">
        <f ca="1">ROUND(L68,1)</f>
        <v>1004</v>
      </c>
      <c r="N68" s="2759"/>
      <c r="Z68" s="1931"/>
      <c r="AI68" s="1932"/>
    </row>
    <row r="69" spans="1:35" s="1951" customFormat="1" ht="16.5" customHeight="1">
      <c r="A69" s="1990"/>
      <c r="B69" s="1991"/>
      <c r="C69" s="1992"/>
      <c r="D69" s="1993"/>
      <c r="E69" s="1994"/>
      <c r="F69" s="1757"/>
      <c r="G69" s="1757"/>
      <c r="H69" s="1756"/>
      <c r="I69" s="1926"/>
      <c r="J69" s="3220"/>
      <c r="K69" s="1495" t="s">
        <v>2077</v>
      </c>
      <c r="L69" s="1495"/>
      <c r="M69" s="308">
        <f ca="1">ROUND(SUM(M63:M68),0)</f>
        <v>3238</v>
      </c>
      <c r="N69" s="2761">
        <f ca="1">M69/M49</f>
        <v>1.6125176789306986E-2</v>
      </c>
      <c r="O69" s="734"/>
      <c r="P69" s="734"/>
      <c r="Q69" s="734"/>
      <c r="R69" s="734"/>
      <c r="S69" s="734"/>
      <c r="T69" s="734"/>
      <c r="U69" s="734"/>
      <c r="V69" s="734"/>
      <c r="W69" s="734"/>
      <c r="X69" s="734"/>
      <c r="Y69" s="734"/>
      <c r="Z69" s="1931"/>
      <c r="AA69" s="1931"/>
      <c r="AB69" s="1931"/>
      <c r="AC69" s="1931"/>
      <c r="AD69" s="1931"/>
      <c r="AE69" s="1931"/>
      <c r="AF69" s="1931"/>
      <c r="AG69" s="1931"/>
      <c r="AH69" s="1931"/>
    </row>
    <row r="70" spans="1:35" s="1996" customFormat="1" ht="15" thickBot="1">
      <c r="A70" s="3264" t="s">
        <v>2078</v>
      </c>
      <c r="B70" s="3265"/>
      <c r="C70" s="3265"/>
      <c r="D70" s="3265"/>
      <c r="E70" s="3265"/>
      <c r="F70" s="3265"/>
      <c r="G70" s="3265"/>
      <c r="H70" s="3265"/>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56" t="s">
        <v>2059</v>
      </c>
      <c r="B71" s="3257"/>
      <c r="C71" s="2202"/>
      <c r="D71" s="2202" t="s">
        <v>2060</v>
      </c>
      <c r="E71" s="185" t="s">
        <v>2061</v>
      </c>
      <c r="F71" s="186"/>
      <c r="G71" s="186"/>
      <c r="H71" s="187"/>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2079</v>
      </c>
      <c r="C72" s="2784">
        <f ca="1">ROUND(D45/(1+'数据-取费表'!C42),0)</f>
        <v>191242</v>
      </c>
      <c r="D72" s="175" t="s">
        <v>32</v>
      </c>
      <c r="E72" s="2547"/>
      <c r="F72" s="2546"/>
      <c r="G72" s="2546"/>
      <c r="H72" s="188"/>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2080</v>
      </c>
      <c r="C73" s="2784">
        <f ca="1">C74+C78</f>
        <v>1147</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2081</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2082</v>
      </c>
      <c r="C75" s="2787"/>
      <c r="D75" s="175" t="s">
        <v>32</v>
      </c>
      <c r="E75" s="190" t="s">
        <v>2083</v>
      </c>
      <c r="F75" s="2788"/>
      <c r="G75" s="190"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2085</v>
      </c>
      <c r="C76" s="175">
        <f>IF(F75="购房发票",ROUND(C75*H75*D76,0),0)</f>
        <v>0</v>
      </c>
      <c r="D76" s="2790">
        <v>0.05</v>
      </c>
      <c r="E76" s="3261" t="s">
        <v>2086</v>
      </c>
      <c r="F76" s="3260"/>
      <c r="G76" s="3260"/>
      <c r="H76" s="326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2087</v>
      </c>
      <c r="C77" s="175">
        <f>ROUND(IF(G77="个人住宅",0,IF(G77="2016年5月1日前购买",C75*D77,C75*D77/(1+'数据-取费表'!C42))),0)</f>
        <v>0</v>
      </c>
      <c r="D77" s="2791">
        <f>'数据-取费表'!B48+'数据-取费表'!B49</f>
        <v>3.0499999999999999E-2</v>
      </c>
      <c r="E77" s="2540" t="s">
        <v>2088</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2089</v>
      </c>
      <c r="C78" s="2792">
        <f ca="1">ROUND(D45*D78/(1+'数据-取费表'!C42),0)</f>
        <v>1147</v>
      </c>
      <c r="D78" s="2793">
        <f>'数据-取费表'!B43</f>
        <v>6.000000000000001E-3</v>
      </c>
      <c r="E78" s="3253" t="s">
        <v>2090</v>
      </c>
      <c r="F78" s="3254"/>
      <c r="G78" s="3254"/>
      <c r="H78" s="325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2091</v>
      </c>
      <c r="C79" s="2784">
        <f ca="1">C72-C73</f>
        <v>190095</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2092</v>
      </c>
      <c r="C80" s="2794">
        <f ca="1">IF(C79&lt;=0,0,C79/C73)</f>
        <v>165.73234524847427</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2093</v>
      </c>
      <c r="C81" s="2795">
        <f ca="1">ROUND(IF(C79&lt;=0,0,IF(C80&gt;=200%,C79*60%-C73*35%,IF(C80&gt;=100%,C79*50%-C73*15%,IF(C80&gt;=50%,C79*40%-C73*5%,IF(C80&lt;50%,C79*30%,0))))),0)</f>
        <v>113656</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9"/>
      <c r="B82" s="690"/>
      <c r="C82" s="7"/>
      <c r="D82" s="7"/>
      <c r="E82" s="690"/>
      <c r="F82" s="690"/>
      <c r="G82" s="690"/>
      <c r="H82" s="691"/>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64" t="s">
        <v>2094</v>
      </c>
      <c r="B83" s="3265"/>
      <c r="C83" s="3265"/>
      <c r="D83" s="3265"/>
      <c r="E83" s="3265"/>
      <c r="F83" s="3265"/>
      <c r="G83" s="3265"/>
      <c r="H83" s="326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56" t="s">
        <v>2059</v>
      </c>
      <c r="B84" s="3257"/>
      <c r="C84" s="2202"/>
      <c r="D84" s="2202" t="s">
        <v>2060</v>
      </c>
      <c r="E84" s="185" t="s">
        <v>2061</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2079</v>
      </c>
      <c r="C85" s="2784">
        <f ca="1">ROUND(D45/(1+'数据-取费表'!C42),0)</f>
        <v>191242</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2080</v>
      </c>
      <c r="C86" s="2784">
        <f ca="1">IF(H88="仅含出让金",C87+C90+C91+C92+C93+C94,C87+C91+C92+C93+C94)</f>
        <v>1147</v>
      </c>
      <c r="D86" s="2797"/>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2096</v>
      </c>
      <c r="C88" s="2798"/>
      <c r="D88" s="2793"/>
      <c r="E88" s="199" t="s">
        <v>2097</v>
      </c>
      <c r="F88" s="2543"/>
      <c r="G88" s="200" t="s">
        <v>2098</v>
      </c>
      <c r="H88" s="2003"/>
      <c r="I88" s="2000"/>
      <c r="J88" s="2737" t="s">
        <v>3026</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2087</v>
      </c>
      <c r="C89" s="2792">
        <f>ROUND(C88*D89,0)</f>
        <v>0</v>
      </c>
      <c r="D89" s="2793">
        <f>'数据-取费表'!B48+'数据-取费表'!B49</f>
        <v>3.0499999999999999E-2</v>
      </c>
      <c r="E89" s="199"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2100</v>
      </c>
      <c r="C90" s="2798"/>
      <c r="D90" s="2793"/>
      <c r="E90" s="199" t="str">
        <f>IF(H88="-","土地取得成本中已包含该笔费用"," ")</f>
        <v xml:space="preserve"> </v>
      </c>
      <c r="F90" s="2543"/>
      <c r="G90" s="3222" t="s">
        <v>2867</v>
      </c>
      <c r="H90" s="3223"/>
      <c r="I90" s="2000"/>
      <c r="J90" s="2737" t="s">
        <v>3027</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2101</v>
      </c>
      <c r="B91" s="175" t="s">
        <v>2102</v>
      </c>
      <c r="C91" s="2792">
        <f>IF(H91="——",成本法!C33,I91)</f>
        <v>0</v>
      </c>
      <c r="D91" s="2793"/>
      <c r="E91" s="3253" t="s">
        <v>2103</v>
      </c>
      <c r="F91" s="3254"/>
      <c r="G91" s="3254"/>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2104</v>
      </c>
      <c r="B92" s="175" t="s">
        <v>2105</v>
      </c>
      <c r="C92" s="2792">
        <f>ROUND((C87+C90+C91)*D92,0)</f>
        <v>0</v>
      </c>
      <c r="D92" s="2799"/>
      <c r="E92" s="3253" t="s">
        <v>2106</v>
      </c>
      <c r="F92" s="3254"/>
      <c r="G92" s="3254"/>
      <c r="H92" s="3255"/>
      <c r="I92" s="2000"/>
      <c r="J92" s="2738" t="s">
        <v>3028</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2107</v>
      </c>
      <c r="B93" s="175" t="s">
        <v>2089</v>
      </c>
      <c r="C93" s="2792">
        <f ca="1">ROUND(D45*D93/(1+'数据-取费表'!C42),0)</f>
        <v>1147</v>
      </c>
      <c r="D93" s="2793">
        <f>'数据-取费表'!B43</f>
        <v>6.000000000000001E-3</v>
      </c>
      <c r="E93" s="3253" t="s">
        <v>2090</v>
      </c>
      <c r="F93" s="3254"/>
      <c r="G93" s="3254"/>
      <c r="H93" s="325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2108</v>
      </c>
      <c r="B94" s="175" t="s">
        <v>2109</v>
      </c>
      <c r="C94" s="2798">
        <f>ROUND((C87+C90+C91)*D94,0)</f>
        <v>0</v>
      </c>
      <c r="D94" s="2793">
        <v>0.2</v>
      </c>
      <c r="E94" s="3301" t="s">
        <v>2110</v>
      </c>
      <c r="F94" s="3302"/>
      <c r="G94" s="3302"/>
      <c r="H94" s="3303"/>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2091</v>
      </c>
      <c r="C95" s="2784">
        <f ca="1">ROUND(C85-C86,0)</f>
        <v>190095</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2092</v>
      </c>
      <c r="C96" s="2794">
        <f ca="1">IF(C95&lt;=0,0,C95/C86)</f>
        <v>165.73234524847427</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2093</v>
      </c>
      <c r="C97" s="2795">
        <f ca="1">ROUND(IF(C95&lt;=0,0,IF(C96&gt;=200%,C95*60%-C86*35%,IF(C96&gt;=100%,C95*50%-C86*15%,IF(C96&gt;=50%,C95*40%-C86*5%,IF(C96&lt;50%,C95*30%,0))))),0)</f>
        <v>113656</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2111</v>
      </c>
      <c r="B99" s="1926"/>
      <c r="C99" s="1926"/>
      <c r="D99" s="1926"/>
      <c r="E99" s="1757"/>
      <c r="F99" s="1757"/>
      <c r="G99" s="1757"/>
      <c r="H99" s="1756"/>
      <c r="I99" s="134"/>
    </row>
    <row r="100" spans="1:35" ht="18.75" customHeight="1">
      <c r="A100" s="3195" t="s">
        <v>2112</v>
      </c>
      <c r="B100" s="3196"/>
      <c r="C100" s="3196"/>
      <c r="D100" s="3238"/>
      <c r="E100" s="3196" t="s">
        <v>2113</v>
      </c>
      <c r="F100" s="3196"/>
      <c r="G100" s="3196"/>
      <c r="H100" s="3238"/>
      <c r="I100" s="134"/>
    </row>
    <row r="101" spans="1:35" ht="18.75" customHeight="1">
      <c r="A101" s="3246" t="s">
        <v>2114</v>
      </c>
      <c r="B101" s="3247"/>
      <c r="C101" s="2801" t="str">
        <f>C4</f>
        <v>成本法</v>
      </c>
      <c r="D101" s="2802" t="str">
        <f>D4</f>
        <v>假设开发法</v>
      </c>
      <c r="E101" s="3216" t="s">
        <v>2115</v>
      </c>
      <c r="F101" s="3217"/>
      <c r="G101" s="2006" t="s">
        <v>2116</v>
      </c>
      <c r="H101" s="2811">
        <f ca="1">H118</f>
        <v>200804</v>
      </c>
      <c r="I101" s="134"/>
    </row>
    <row r="102" spans="1:35" ht="18.75" customHeight="1">
      <c r="A102" s="3248" t="s">
        <v>2117</v>
      </c>
      <c r="B102" s="2800" t="s">
        <v>2116</v>
      </c>
      <c r="C102" s="2801">
        <f ca="1">C19</f>
        <v>222471</v>
      </c>
      <c r="D102" s="2802">
        <f ca="1">D19</f>
        <v>179136</v>
      </c>
      <c r="E102" s="3216"/>
      <c r="F102" s="3217"/>
      <c r="G102" s="2006" t="s">
        <v>2118</v>
      </c>
      <c r="H102" s="2771">
        <f ca="1">I118</f>
        <v>18517</v>
      </c>
      <c r="I102" s="134"/>
    </row>
    <row r="103" spans="1:35" ht="42.75" customHeight="1">
      <c r="A103" s="3248"/>
      <c r="B103" s="2800" t="s">
        <v>2118</v>
      </c>
      <c r="C103" s="2803">
        <f ca="1">C20</f>
        <v>20515</v>
      </c>
      <c r="D103" s="2804">
        <f ca="1">D20</f>
        <v>16519</v>
      </c>
      <c r="E103" s="3209" t="s">
        <v>2119</v>
      </c>
      <c r="F103" s="3210"/>
      <c r="G103" s="2007" t="s">
        <v>2120</v>
      </c>
      <c r="H103" s="2811">
        <f>IF(D36="正常操作",H104+H105+H106,H105+H106)</f>
        <v>0</v>
      </c>
      <c r="I103" s="134"/>
    </row>
    <row r="104" spans="1:35" ht="18.75" customHeight="1">
      <c r="A104" s="3248" t="s">
        <v>2121</v>
      </c>
      <c r="B104" s="2805" t="s">
        <v>2116</v>
      </c>
      <c r="C104" s="2806">
        <f ca="1">H118</f>
        <v>200804</v>
      </c>
      <c r="D104" s="2807"/>
      <c r="E104" s="1853" t="s">
        <v>2122</v>
      </c>
      <c r="F104" s="1845"/>
      <c r="G104" s="2007" t="s">
        <v>2120</v>
      </c>
      <c r="H104" s="2812">
        <f>IF(D36="同一抵押权人同一抵押物续贷",C36&amp;"（续贷，未扣减，详见特别提示）",C36)</f>
        <v>0</v>
      </c>
      <c r="I104" s="134"/>
    </row>
    <row r="105" spans="1:35" ht="18.75" customHeight="1" thickBot="1">
      <c r="A105" s="3258"/>
      <c r="B105" s="2808" t="s">
        <v>2118</v>
      </c>
      <c r="C105" s="2809">
        <f ca="1">I118</f>
        <v>18517</v>
      </c>
      <c r="D105" s="2810"/>
      <c r="E105" s="1853" t="s">
        <v>2123</v>
      </c>
      <c r="F105" s="1845"/>
      <c r="G105" s="2007" t="s">
        <v>2120</v>
      </c>
      <c r="H105" s="2813">
        <f>C37</f>
        <v>0</v>
      </c>
      <c r="I105" s="134"/>
    </row>
    <row r="106" spans="1:35" ht="18.75" customHeight="1">
      <c r="A106" s="1926" t="s">
        <v>2124</v>
      </c>
      <c r="B106" s="1926"/>
      <c r="C106" s="1926"/>
      <c r="D106" s="1926"/>
      <c r="E106" s="2008" t="s">
        <v>2125</v>
      </c>
      <c r="F106" s="1845"/>
      <c r="G106" s="2007" t="s">
        <v>2120</v>
      </c>
      <c r="H106" s="2813">
        <f>C38</f>
        <v>0</v>
      </c>
      <c r="I106" s="134"/>
    </row>
    <row r="107" spans="1:35" ht="18.75" customHeight="1">
      <c r="A107" s="134"/>
      <c r="B107" s="134"/>
      <c r="C107" s="134"/>
      <c r="D107" s="134"/>
      <c r="E107" s="3249" t="str">
        <f>IF(项目基本情况!E8="已注销","——","3.房地产抵押价值")</f>
        <v>——</v>
      </c>
      <c r="F107" s="3217"/>
      <c r="G107" s="2006" t="s">
        <v>2116</v>
      </c>
      <c r="H107" s="2811" t="str">
        <f>IF(E107="——","——",H101-H103)</f>
        <v>——</v>
      </c>
      <c r="I107" s="134"/>
    </row>
    <row r="108" spans="1:35" ht="18.75" customHeight="1">
      <c r="A108" s="134"/>
      <c r="B108" s="134"/>
      <c r="C108" s="134"/>
      <c r="D108" s="134"/>
      <c r="E108" s="3249"/>
      <c r="F108" s="3217"/>
      <c r="G108" s="2006" t="s">
        <v>2118</v>
      </c>
      <c r="H108" s="2771" t="e">
        <f>ROUND(H107*10000/'数据-汇总表'!E3,0)</f>
        <v>#VALUE!</v>
      </c>
      <c r="I108" s="134"/>
    </row>
    <row r="109" spans="1:35" ht="18.75" customHeight="1">
      <c r="A109" s="134"/>
      <c r="B109" s="134"/>
      <c r="C109" s="134"/>
      <c r="D109" s="134"/>
      <c r="E109" s="3249" t="str">
        <f>IF(项目基本情况!E8="已注销及未注销","4.抵押担保权已注销时的房地产抵押价值",IF(项目基本情况!E8="已注销","3.抵押担保权已注销时的房地产抵押价值","——"))</f>
        <v>3.抵押担保权已注销时的房地产抵押价值</v>
      </c>
      <c r="F109" s="3217"/>
      <c r="G109" s="2006" t="s">
        <v>2116</v>
      </c>
      <c r="H109" s="2814">
        <f ca="1">IF(E109="——","——",H101-H105-H106)</f>
        <v>200804</v>
      </c>
      <c r="I109" s="134"/>
    </row>
    <row r="110" spans="1:35" ht="18.75" customHeight="1">
      <c r="A110" s="134"/>
      <c r="B110" s="134"/>
      <c r="C110" s="134"/>
      <c r="D110" s="134"/>
      <c r="E110" s="3249"/>
      <c r="F110" s="3217"/>
      <c r="G110" s="2006" t="s">
        <v>2118</v>
      </c>
      <c r="H110" s="2771">
        <f ca="1">IF(H109="——","——",ROUND(H109*10000/'数据-汇总表'!E3,0))</f>
        <v>18517</v>
      </c>
      <c r="I110" s="134"/>
    </row>
    <row r="111" spans="1:35" ht="18.75" customHeight="1">
      <c r="A111" s="134"/>
      <c r="B111" s="134"/>
      <c r="C111" s="134"/>
      <c r="D111" s="134"/>
      <c r="E111" s="3250" t="str">
        <f>IF(项目基本情况!E9="抵押净值",IF(OR(项目基本情况!E8="已注销",项目基本情况!E8="房地产抵押价值"),"4.抵押净值","5.抵押净值"),"——")</f>
        <v>——</v>
      </c>
      <c r="F111" s="3236"/>
      <c r="G111" s="2006" t="s">
        <v>2116</v>
      </c>
      <c r="H111" s="2811" t="str">
        <f>IF(E111="——","——",N59)</f>
        <v>——</v>
      </c>
      <c r="I111" s="134"/>
    </row>
    <row r="112" spans="1:35" ht="18.75" customHeight="1" thickBot="1">
      <c r="A112" s="134"/>
      <c r="B112" s="134"/>
      <c r="C112" s="134"/>
      <c r="D112" s="134"/>
      <c r="E112" s="3251"/>
      <c r="F112" s="3252"/>
      <c r="G112" s="2009" t="s">
        <v>2118</v>
      </c>
      <c r="H112" s="2815" t="str">
        <f>IF(E111="——","——",N61)</f>
        <v>——</v>
      </c>
      <c r="I112" s="134"/>
    </row>
    <row r="113" spans="1:27" ht="18.75" customHeight="1">
      <c r="A113" s="134"/>
      <c r="B113" s="134"/>
      <c r="C113" s="134"/>
      <c r="D113" s="134"/>
      <c r="E113" s="3259" t="s">
        <v>2124</v>
      </c>
      <c r="F113" s="3259"/>
      <c r="G113" s="3259"/>
      <c r="H113" s="3259"/>
      <c r="I113" s="134"/>
    </row>
    <row r="114" spans="1:27" ht="3.75" customHeight="1">
      <c r="A114" s="1926"/>
      <c r="B114" s="1926"/>
      <c r="C114" s="1926"/>
      <c r="D114" s="1926"/>
      <c r="E114" s="1988"/>
      <c r="F114" s="1988"/>
      <c r="G114" s="1988"/>
      <c r="H114" s="1988"/>
      <c r="I114" s="1926"/>
    </row>
    <row r="115" spans="1:27" ht="18.75" customHeight="1">
      <c r="A115" s="3270" t="s">
        <v>2126</v>
      </c>
      <c r="B115" s="3271"/>
      <c r="C115" s="3271"/>
      <c r="D115" s="3271"/>
      <c r="E115" s="3271"/>
      <c r="F115" s="3271"/>
      <c r="G115" s="3271"/>
      <c r="H115" s="3271"/>
      <c r="I115" s="3272"/>
    </row>
    <row r="116" spans="1:27" ht="27" customHeight="1">
      <c r="A116" s="3224" t="s">
        <v>2127</v>
      </c>
      <c r="B116" s="3228" t="s">
        <v>2128</v>
      </c>
      <c r="C116" s="3228" t="s">
        <v>2129</v>
      </c>
      <c r="D116" s="3234" t="s">
        <v>2130</v>
      </c>
      <c r="E116" s="3235"/>
      <c r="F116" s="3266" t="s">
        <v>2131</v>
      </c>
      <c r="G116" s="3266"/>
      <c r="H116" s="3224" t="s">
        <v>2132</v>
      </c>
      <c r="I116" s="3224"/>
    </row>
    <row r="117" spans="1:27" ht="18.75" customHeight="1">
      <c r="A117" s="3224"/>
      <c r="B117" s="3229"/>
      <c r="C117" s="3229"/>
      <c r="D117" s="2545" t="s">
        <v>2133</v>
      </c>
      <c r="E117" s="2545" t="s">
        <v>2134</v>
      </c>
      <c r="F117" s="2545" t="s">
        <v>2133</v>
      </c>
      <c r="G117" s="2545" t="s">
        <v>2135</v>
      </c>
      <c r="H117" s="2545" t="s">
        <v>2133</v>
      </c>
      <c r="I117" s="2545" t="s">
        <v>2135</v>
      </c>
    </row>
    <row r="118" spans="1:27" ht="24.75" customHeight="1">
      <c r="A118" s="2816" t="str">
        <f>项目基本情况!S2</f>
        <v>北京市丰台区科技园东区三期1516-51地块出让国有建设用地使用权及在建建筑物房地产</v>
      </c>
      <c r="B118" s="2545">
        <f>M18</f>
        <v>108441.15</v>
      </c>
      <c r="C118" s="2545">
        <f>M19</f>
        <v>21904.55</v>
      </c>
      <c r="D118" s="2545">
        <f ca="1">ROUND(IF(D32="总价",C34,E118*B118/10000),0)</f>
        <v>167671</v>
      </c>
      <c r="E118" s="2545">
        <f ca="1">ROUND(IF(C33="自定义",IF(D32="楼面单价",C34,D118*10000/B118),I118-G118),0)</f>
        <v>15462</v>
      </c>
      <c r="F118" s="2545">
        <f ca="1">ROUND(IF(D32="总价",C35,G118*B118/10000),0)</f>
        <v>33133</v>
      </c>
      <c r="G118" s="2545">
        <f ca="1">ROUND(IF(D32="楼面单价",C35,F118*10000/B118),0)</f>
        <v>3055</v>
      </c>
      <c r="H118" s="2545">
        <f ca="1">ROUND(IF(D32="总价",C32,I118*B118/10000),0)</f>
        <v>200804</v>
      </c>
      <c r="I118" s="2545">
        <f ca="1">ROUND(IF(D32="楼面单价",C32,H118*10000/B118),0)</f>
        <v>18517</v>
      </c>
    </row>
    <row r="119" spans="1:27" ht="18.75" customHeight="1">
      <c r="A119" s="3224" t="s">
        <v>2136</v>
      </c>
      <c r="B119" s="3224"/>
      <c r="C119" s="3224"/>
      <c r="D119" s="3230" t="str">
        <f ca="1">NUMBERSTRING(INT(D118*10000),2)&amp;"元整"</f>
        <v>壹拾陆亿柒仟陆佰柒拾壹万元整</v>
      </c>
      <c r="E119" s="3231"/>
      <c r="F119" s="3230" t="str">
        <f ca="1">NUMBERSTRING(INT(F118*10000),2)&amp;"元整"</f>
        <v>叁亿叁仟壹佰叁拾叁万元整</v>
      </c>
      <c r="G119" s="3231"/>
      <c r="H119" s="3230" t="str">
        <f ca="1">NUMBERSTRING(INT(H118*10000),2)&amp;"元整"</f>
        <v>贰拾亿零捌佰零肆万元整</v>
      </c>
      <c r="I119" s="3231"/>
    </row>
    <row r="120" spans="1:27" ht="18.75" customHeight="1">
      <c r="A120" s="3225" t="str">
        <f>IF(项目基本情况!B9="房地产市场价值","",MID(E103,3,LEN(E103)-2))</f>
        <v>估价师知悉的法定优先受偿款</v>
      </c>
      <c r="B120" s="3226"/>
      <c r="C120" s="3227"/>
      <c r="D120" s="3225">
        <f>H103</f>
        <v>0</v>
      </c>
      <c r="E120" s="3226"/>
      <c r="F120" s="3226"/>
      <c r="G120" s="3226"/>
      <c r="H120" s="3226"/>
      <c r="I120" s="3227"/>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67" t="s">
        <v>2136</v>
      </c>
      <c r="B121" s="3268"/>
      <c r="C121" s="3269"/>
      <c r="D121" s="3230" t="str">
        <f>IF(D120=0,"零元整",NUMBERSTRING(INT(D120*10000),2)&amp;"元整")</f>
        <v>零元整</v>
      </c>
      <c r="E121" s="3232"/>
      <c r="F121" s="3232"/>
      <c r="G121" s="3232"/>
      <c r="H121" s="3232"/>
      <c r="I121" s="3231"/>
      <c r="AA121" s="734"/>
    </row>
    <row r="122" spans="1:27" ht="18.75" customHeight="1">
      <c r="A122" s="3236" t="str">
        <f>IF(项目基本情况!B9="房地产市场价值","",MID(E107,3,LEN(E107)-2))</f>
        <v/>
      </c>
      <c r="B122" s="3236"/>
      <c r="C122" s="3236"/>
      <c r="D122" s="3225" t="str">
        <f>H107</f>
        <v>——</v>
      </c>
      <c r="E122" s="3226"/>
      <c r="F122" s="3226"/>
      <c r="G122" s="3226"/>
      <c r="H122" s="3226"/>
      <c r="I122" s="3227"/>
      <c r="AA122" s="734"/>
    </row>
    <row r="123" spans="1:27" ht="18.75" customHeight="1">
      <c r="A123" s="3224" t="s">
        <v>2136</v>
      </c>
      <c r="B123" s="3224"/>
      <c r="C123" s="3224"/>
      <c r="D123" s="3230" t="e">
        <f>NUMBERSTRING(INT(D122*10000),2)&amp;"元整"</f>
        <v>#VALUE!</v>
      </c>
      <c r="E123" s="3232"/>
      <c r="F123" s="3232"/>
      <c r="G123" s="3232"/>
      <c r="H123" s="3232"/>
      <c r="I123" s="3231"/>
      <c r="AA123" s="734"/>
    </row>
    <row r="124" spans="1:27" ht="18.75" customHeight="1">
      <c r="A124" s="3236" t="str">
        <f>IF(项目基本情况!B9="房地产市场价值","",MID(E109,3,LEN(E109)-2))</f>
        <v>抵押担保权已注销时的房地产抵押价值</v>
      </c>
      <c r="B124" s="3236"/>
      <c r="C124" s="3236"/>
      <c r="D124" s="3225">
        <f ca="1">H109</f>
        <v>200804</v>
      </c>
      <c r="E124" s="3226"/>
      <c r="F124" s="3226"/>
      <c r="G124" s="3226"/>
      <c r="H124" s="3226"/>
      <c r="I124" s="3227"/>
      <c r="AA124" s="734"/>
    </row>
    <row r="125" spans="1:27" ht="18.75" customHeight="1">
      <c r="A125" s="3224" t="s">
        <v>2136</v>
      </c>
      <c r="B125" s="3224"/>
      <c r="C125" s="3224"/>
      <c r="D125" s="3230" t="str">
        <f ca="1">NUMBERSTRING(INT(D124*10000),2)&amp;"元整"</f>
        <v>贰拾亿零捌佰零肆万元整</v>
      </c>
      <c r="E125" s="3232"/>
      <c r="F125" s="3232"/>
      <c r="G125" s="3232"/>
      <c r="H125" s="3232"/>
      <c r="I125" s="3231"/>
      <c r="AA125" s="734"/>
    </row>
    <row r="126" spans="1:27" ht="18.75" customHeight="1">
      <c r="A126" s="3236" t="str">
        <f>IF(项目基本情况!B9="房地产市场价值","",MID(E111,3,LEN(E111)-2))</f>
        <v/>
      </c>
      <c r="B126" s="3236"/>
      <c r="C126" s="3236"/>
      <c r="D126" s="3225" t="str">
        <f>H111</f>
        <v>——</v>
      </c>
      <c r="E126" s="3226"/>
      <c r="F126" s="3226"/>
      <c r="G126" s="3226"/>
      <c r="H126" s="3226"/>
      <c r="I126" s="3227"/>
      <c r="AA126" s="734"/>
    </row>
    <row r="127" spans="1:27" ht="18.75" customHeight="1">
      <c r="A127" s="3224" t="s">
        <v>2136</v>
      </c>
      <c r="B127" s="3224"/>
      <c r="C127" s="3224"/>
      <c r="D127" s="3230" t="e">
        <f>NUMBERSTRING(INT(D126*10000),2)&amp;"元整"</f>
        <v>#VALUE!</v>
      </c>
      <c r="E127" s="3232"/>
      <c r="F127" s="3232"/>
      <c r="G127" s="3232"/>
      <c r="H127" s="3232"/>
      <c r="I127" s="3231"/>
      <c r="AA127" s="734"/>
    </row>
    <row r="128" spans="1:27" ht="21.75" customHeight="1">
      <c r="A128" s="3233" t="s">
        <v>2137</v>
      </c>
      <c r="B128" s="3233"/>
      <c r="C128" s="3233"/>
      <c r="D128" s="3233"/>
      <c r="E128" s="3233"/>
      <c r="F128" s="3233"/>
      <c r="G128" s="3233"/>
      <c r="H128" s="3233"/>
      <c r="I128" s="3233"/>
      <c r="AA128" s="734"/>
    </row>
    <row r="129" spans="1:35" ht="21.75" customHeight="1">
      <c r="A129" s="2010" t="s">
        <v>2138</v>
      </c>
      <c r="B129" s="2011"/>
      <c r="C129" s="2012" t="s">
        <v>2139</v>
      </c>
      <c r="D129" s="2013"/>
      <c r="E129" s="2013"/>
      <c r="F129" s="2013"/>
      <c r="G129" s="2013"/>
      <c r="H129" s="2014"/>
      <c r="I129" s="2015"/>
      <c r="AA129" s="734"/>
    </row>
    <row r="130" spans="1:35" ht="21.75" customHeight="1">
      <c r="A130" s="2016">
        <v>1</v>
      </c>
      <c r="B130" s="2017"/>
      <c r="C130" s="2017"/>
      <c r="D130" s="2018"/>
      <c r="E130" s="2018"/>
      <c r="F130" s="2018"/>
      <c r="G130" s="2018"/>
      <c r="H130" s="2019"/>
      <c r="I130" s="2020"/>
      <c r="AA130" s="734"/>
    </row>
    <row r="131" spans="1:35" ht="21.75" customHeight="1">
      <c r="A131" s="2016">
        <v>2</v>
      </c>
      <c r="B131" s="2017"/>
      <c r="C131" s="2017"/>
      <c r="D131" s="2018"/>
      <c r="E131" s="2018"/>
      <c r="F131" s="2018"/>
      <c r="G131" s="2018"/>
      <c r="H131" s="2019"/>
      <c r="I131" s="2020"/>
      <c r="J131" s="3091" t="s">
        <v>3348</v>
      </c>
      <c r="AA131" s="734"/>
    </row>
    <row r="132" spans="1:35" ht="21.75" customHeight="1">
      <c r="A132" s="2016">
        <v>3</v>
      </c>
      <c r="B132" s="2017"/>
      <c r="C132" s="2017"/>
      <c r="D132" s="2018"/>
      <c r="E132" s="2018"/>
      <c r="F132" s="2018"/>
      <c r="G132" s="2018"/>
      <c r="H132" s="2019"/>
      <c r="I132" s="2020"/>
      <c r="AA132" s="734"/>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4"/>
    </row>
    <row r="135" spans="1:35" ht="21.75" customHeight="1">
      <c r="A135" s="734"/>
      <c r="B135" s="734"/>
      <c r="C135" s="734"/>
      <c r="D135" s="734"/>
      <c r="E135" s="734"/>
      <c r="F135" s="2026" t="s">
        <v>2140</v>
      </c>
      <c r="G135" s="2027"/>
      <c r="H135" s="2027"/>
      <c r="I135" s="2028" t="s">
        <v>2141</v>
      </c>
    </row>
    <row r="136" spans="1:35" ht="21.75" customHeight="1">
      <c r="A136" s="734"/>
      <c r="B136" s="2029"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7"/>
      <c r="C138" s="2027"/>
      <c r="D138" s="2027"/>
      <c r="E138" s="2027"/>
      <c r="F138" s="2027"/>
      <c r="G138" s="2027"/>
      <c r="H138" s="2027"/>
      <c r="I138" s="2028" t="s">
        <v>2143</v>
      </c>
    </row>
    <row r="139" spans="1:35" ht="21.75" customHeight="1">
      <c r="A139" s="734"/>
      <c r="B139" s="2029" t="s">
        <v>2144</v>
      </c>
      <c r="C139" s="734"/>
      <c r="D139" s="734"/>
      <c r="E139" s="734"/>
      <c r="F139" s="734"/>
      <c r="G139" s="734"/>
      <c r="H139" s="734"/>
      <c r="I139" s="734"/>
    </row>
    <row r="140" spans="1:35" ht="21.75" customHeight="1">
      <c r="A140" s="734"/>
      <c r="B140" s="2029"/>
      <c r="C140" s="734"/>
      <c r="D140" s="734"/>
      <c r="E140" s="734"/>
      <c r="F140" s="734"/>
      <c r="G140" s="734"/>
      <c r="H140" s="734"/>
      <c r="I140" s="734"/>
    </row>
    <row r="141" spans="1:35" ht="21.75" customHeight="1">
      <c r="A141" s="734"/>
      <c r="B141" s="2027"/>
      <c r="C141" s="2027"/>
      <c r="D141" s="2027"/>
      <c r="E141" s="2027"/>
      <c r="F141" s="2027"/>
      <c r="G141" s="2027"/>
      <c r="H141" s="2027"/>
      <c r="I141" s="2028" t="s">
        <v>2143</v>
      </c>
    </row>
    <row r="142" spans="1:35" ht="21.75" customHeight="1">
      <c r="A142" s="734"/>
      <c r="B142" s="2029"/>
      <c r="C142" s="2030"/>
      <c r="D142" s="2031"/>
      <c r="E142" s="2031"/>
      <c r="F142" s="1920"/>
      <c r="G142" s="734"/>
      <c r="H142" s="734"/>
      <c r="I142" s="734"/>
    </row>
    <row r="143" spans="1:35" s="135" customFormat="1" ht="21.75" customHeight="1">
      <c r="A143" s="734"/>
      <c r="B143" s="2029"/>
      <c r="C143" s="2030"/>
      <c r="D143" s="2031"/>
      <c r="E143" s="2031"/>
      <c r="F143" s="192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09" t="str">
        <f>项目基本情况!B1</f>
        <v>北京市丰台区科技园东区三期1516-51地块出让国有建设用地使用权及在建建筑物房地产抵押价值预评估</v>
      </c>
      <c r="C37" s="3109"/>
      <c r="D37" s="3109"/>
      <c r="E37" s="3109"/>
      <c r="F37" s="3109"/>
      <c r="G37" s="3109"/>
      <c r="H37" s="3109"/>
      <c r="I37" s="3109"/>
    </row>
    <row r="38" spans="1:9">
      <c r="A38" s="947"/>
      <c r="B38" s="947"/>
    </row>
    <row r="39" spans="1:9">
      <c r="A39" s="945" t="s">
        <v>818</v>
      </c>
      <c r="B39" s="945" t="s">
        <v>820</v>
      </c>
    </row>
    <row r="40" spans="1:9">
      <c r="A40" s="945"/>
      <c r="B40" s="1653" t="str">
        <f>项目基本情况!B5</f>
        <v>北京市四合庄兴鹏投资管理中心</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王鹏（注册号：1120050019)、郑燚（注册号：1120070131)</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N58" sqref="N58"/>
    </sheetView>
  </sheetViews>
  <sheetFormatPr defaultColWidth="9" defaultRowHeight="14.25"/>
  <cols>
    <col min="1" max="1" width="14.375" style="363" customWidth="1"/>
    <col min="2" max="2" width="15.75" style="363" customWidth="1"/>
    <col min="3" max="3" width="24.375" style="363" customWidth="1"/>
    <col min="4" max="4" width="14.125" style="363" customWidth="1"/>
    <col min="5" max="5" width="16.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200352</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18476</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2462</v>
      </c>
      <c r="B4" s="362"/>
      <c r="C4" s="3324" t="s">
        <v>2463</v>
      </c>
      <c r="D4" s="3325"/>
      <c r="E4" s="3326" t="s">
        <v>2464</v>
      </c>
      <c r="F4" s="3327"/>
      <c r="G4" s="3324" t="s">
        <v>2465</v>
      </c>
      <c r="H4" s="3325"/>
      <c r="I4" s="3324" t="s">
        <v>2466</v>
      </c>
      <c r="J4" s="3325"/>
      <c r="K4" s="567" t="s">
        <v>2467</v>
      </c>
      <c r="L4" s="2934"/>
      <c r="M4" s="2935"/>
      <c r="N4" s="2935"/>
      <c r="O4" s="2935"/>
      <c r="P4" s="3328" t="s">
        <v>2468</v>
      </c>
      <c r="Q4" s="3329"/>
      <c r="R4" s="3311" t="s">
        <v>2464</v>
      </c>
      <c r="S4" s="3312"/>
      <c r="T4" s="3311" t="s">
        <v>2465</v>
      </c>
      <c r="U4" s="3312"/>
      <c r="V4" s="3336" t="s">
        <v>2466</v>
      </c>
      <c r="W4" s="3336"/>
      <c r="X4" s="1533"/>
      <c r="Y4" s="3311" t="s">
        <v>2468</v>
      </c>
      <c r="Z4" s="3312"/>
      <c r="AA4" s="3306" t="s">
        <v>2464</v>
      </c>
      <c r="AB4" s="3307" t="s">
        <v>2465</v>
      </c>
      <c r="AC4" s="3306" t="s">
        <v>2466</v>
      </c>
    </row>
    <row r="5" spans="1:30" ht="45.6" customHeight="1">
      <c r="A5" s="364"/>
      <c r="B5" s="365"/>
      <c r="C5" s="3317" t="s">
        <v>3290</v>
      </c>
      <c r="D5" s="3318"/>
      <c r="E5" s="3315" t="str">
        <f>土地案例!A2</f>
        <v>北京市丰台区丽泽金融商务区南区F-22、F-23地块F3其他类多功能用地</v>
      </c>
      <c r="F5" s="3316"/>
      <c r="G5" s="3317" t="str">
        <f>土地案例!A3</f>
        <v>北京市丰台区丽泽金融商务区南区D-02地块B4综合性商业金融服务业用地</v>
      </c>
      <c r="H5" s="3318"/>
      <c r="I5" s="3317" t="str">
        <f>土地案例!A4</f>
        <v>丰台区丽泽金融商务区南区D-07、D-08地块</v>
      </c>
      <c r="J5" s="3318"/>
      <c r="K5" s="567"/>
      <c r="L5" s="2934"/>
      <c r="M5" s="2935"/>
      <c r="N5" s="2935"/>
      <c r="O5" s="2935"/>
      <c r="P5" s="3330"/>
      <c r="Q5" s="3331"/>
      <c r="R5" s="3313"/>
      <c r="S5" s="3314"/>
      <c r="T5" s="3313"/>
      <c r="U5" s="3314"/>
      <c r="V5" s="3336"/>
      <c r="W5" s="3336"/>
      <c r="X5" s="1533"/>
      <c r="Y5" s="3313"/>
      <c r="Z5" s="3314"/>
      <c r="AA5" s="3307"/>
      <c r="AB5" s="3307"/>
      <c r="AC5" s="3307"/>
    </row>
    <row r="6" spans="1:30" ht="15.75" thickBot="1">
      <c r="A6" s="366"/>
      <c r="B6" s="367"/>
      <c r="C6" s="3319" t="s">
        <v>3291</v>
      </c>
      <c r="D6" s="3320"/>
      <c r="E6" s="3321" t="s">
        <v>3291</v>
      </c>
      <c r="F6" s="3322"/>
      <c r="G6" s="3319" t="s">
        <v>3291</v>
      </c>
      <c r="H6" s="3320"/>
      <c r="I6" s="3319" t="s">
        <v>3291</v>
      </c>
      <c r="J6" s="3320"/>
      <c r="K6" s="567" t="s">
        <v>2364</v>
      </c>
      <c r="L6" s="2934"/>
      <c r="M6" s="2935"/>
      <c r="N6" s="2935"/>
      <c r="O6" s="2935"/>
      <c r="P6" s="3332"/>
      <c r="Q6" s="3333"/>
      <c r="R6" s="3313"/>
      <c r="S6" s="3314"/>
      <c r="T6" s="3334"/>
      <c r="U6" s="3335"/>
      <c r="V6" s="3336"/>
      <c r="W6" s="3336"/>
      <c r="X6" s="1533"/>
      <c r="Y6" s="3334"/>
      <c r="Z6" s="3335"/>
      <c r="AA6" s="3308"/>
      <c r="AB6" s="3308"/>
      <c r="AC6" s="3308"/>
    </row>
    <row r="7" spans="1:30" s="113" customFormat="1" ht="15.75" thickBot="1">
      <c r="A7" s="368" t="s">
        <v>2365</v>
      </c>
      <c r="B7" s="369"/>
      <c r="C7" s="370">
        <f>'数据-取费表'!B2</f>
        <v>44299</v>
      </c>
      <c r="D7" s="371">
        <v>100</v>
      </c>
      <c r="E7" s="372" t="str">
        <f>土地案例!AA2</f>
        <v>2018-07-06</v>
      </c>
      <c r="F7" s="373">
        <f>SUMIF(70:70,YEAR(E7)&amp;"-"&amp;INT((MONTH(E7)+2)/3),71:71)</f>
        <v>98.900000000000063</v>
      </c>
      <c r="G7" s="2153" t="str">
        <f>土地案例!AA3</f>
        <v>2017-11-14</v>
      </c>
      <c r="H7" s="371">
        <f>SUMIF(70:70,YEAR(G7)&amp;"-"&amp;INT((MONTH(G7)+2)/3),71:71)</f>
        <v>98.60000000000008</v>
      </c>
      <c r="I7" s="2153" t="str">
        <f>土地案例!AA4</f>
        <v>2017-05-18</v>
      </c>
      <c r="J7" s="371">
        <f>SUMIF(70:70,YEAR(I7)&amp;"-"&amp;INT((MONTH(I7)+2)/3),71:71)</f>
        <v>98.400000000000091</v>
      </c>
      <c r="K7" s="568"/>
      <c r="L7" s="2936"/>
      <c r="M7" s="2937"/>
      <c r="N7" s="2937"/>
      <c r="O7" s="2937"/>
      <c r="P7" s="3309" t="s">
        <v>2366</v>
      </c>
      <c r="Q7" s="3337"/>
      <c r="R7" s="710" t="s">
        <v>17</v>
      </c>
      <c r="S7" s="711">
        <f t="shared" ref="S7:S15" si="0">F7</f>
        <v>98.900000000000063</v>
      </c>
      <c r="T7" s="710" t="s">
        <v>17</v>
      </c>
      <c r="U7" s="711">
        <f t="shared" ref="U7:U15" si="1">H7</f>
        <v>98.60000000000008</v>
      </c>
      <c r="V7" s="710" t="s">
        <v>17</v>
      </c>
      <c r="W7" s="711">
        <f t="shared" ref="W7:W15" si="2">J7</f>
        <v>98.400000000000091</v>
      </c>
      <c r="X7" s="712"/>
      <c r="Y7" s="3309" t="s">
        <v>2366</v>
      </c>
      <c r="Z7" s="3310"/>
      <c r="AA7" s="713">
        <f>D7/F7</f>
        <v>1.0111223458038416</v>
      </c>
      <c r="AB7" s="713">
        <f>D7/H7</f>
        <v>1.0141987829614596</v>
      </c>
      <c r="AC7" s="713">
        <f>D7/J7</f>
        <v>1.016260162601625</v>
      </c>
    </row>
    <row r="8" spans="1:30" s="113" customFormat="1" ht="15.75" thickBot="1">
      <c r="A8" s="368" t="s">
        <v>2367</v>
      </c>
      <c r="B8" s="369"/>
      <c r="C8" s="374" t="s">
        <v>2368</v>
      </c>
      <c r="D8" s="371">
        <v>100</v>
      </c>
      <c r="E8" s="374" t="s">
        <v>2368</v>
      </c>
      <c r="F8" s="373">
        <f>SUMIF(73:73,E8,74:74)-SUMIF(73:73,C8,74:74)+100</f>
        <v>100</v>
      </c>
      <c r="G8" s="374" t="s">
        <v>2368</v>
      </c>
      <c r="H8" s="371">
        <f>SUMIF(73:73,G8,74:74)-SUMIF(73:73,C8,74:74)+100</f>
        <v>100</v>
      </c>
      <c r="I8" s="374" t="s">
        <v>2368</v>
      </c>
      <c r="J8" s="371">
        <f>SUMIF(73:73,I8,74:74)-SUMIF(73:73,C8,74:74)+100</f>
        <v>100</v>
      </c>
      <c r="K8" s="568"/>
      <c r="L8" s="2936"/>
      <c r="M8" s="2937"/>
      <c r="N8" s="2937"/>
      <c r="O8" s="2937"/>
      <c r="P8" s="3309" t="s">
        <v>2369</v>
      </c>
      <c r="Q8" s="3310"/>
      <c r="R8" s="710" t="s">
        <v>17</v>
      </c>
      <c r="S8" s="711">
        <f t="shared" si="0"/>
        <v>100</v>
      </c>
      <c r="T8" s="710" t="s">
        <v>17</v>
      </c>
      <c r="U8" s="711">
        <f t="shared" si="1"/>
        <v>100</v>
      </c>
      <c r="V8" s="710" t="s">
        <v>17</v>
      </c>
      <c r="W8" s="711">
        <f t="shared" si="2"/>
        <v>100</v>
      </c>
      <c r="X8" s="712"/>
      <c r="Y8" s="3309" t="s">
        <v>2369</v>
      </c>
      <c r="Z8" s="3310"/>
      <c r="AA8" s="713">
        <f t="shared" ref="AA8:AA45" si="3">D8/F8</f>
        <v>1</v>
      </c>
      <c r="AB8" s="713">
        <f t="shared" ref="AB8:AB45" si="4">D8/H8</f>
        <v>1</v>
      </c>
      <c r="AC8" s="713">
        <f t="shared" ref="AC8:AC45" si="5">D8/J8</f>
        <v>1</v>
      </c>
    </row>
    <row r="9" spans="1:30" s="113" customFormat="1" ht="15">
      <c r="A9" s="375" t="s">
        <v>2370</v>
      </c>
      <c r="B9" s="67" t="s">
        <v>2371</v>
      </c>
      <c r="C9" s="2156" t="s">
        <v>3269</v>
      </c>
      <c r="D9" s="131">
        <v>100</v>
      </c>
      <c r="E9" s="2156" t="s">
        <v>3271</v>
      </c>
      <c r="F9" s="131">
        <f>SUMIF(75:75,E9,76:76)-SUMIF(75:75,C9,76:76)+100</f>
        <v>97</v>
      </c>
      <c r="G9" s="2156" t="s">
        <v>3269</v>
      </c>
      <c r="H9" s="131">
        <f>SUMIF(75:75,G9,76:76)-SUMIF(75:75,C9,76:76)+100</f>
        <v>100</v>
      </c>
      <c r="I9" s="2156" t="s">
        <v>3271</v>
      </c>
      <c r="J9" s="131">
        <f>SUMIF(75:75,I9,76:76)-SUMIF(75:75,C9,76:76)+100</f>
        <v>97</v>
      </c>
      <c r="K9" s="568"/>
      <c r="L9" s="2936"/>
      <c r="M9" s="2937"/>
      <c r="N9" s="2937"/>
      <c r="O9" s="2991"/>
      <c r="P9" s="3323" t="s">
        <v>2372</v>
      </c>
      <c r="Q9" s="1521" t="str">
        <f t="shared" ref="Q9:Q15" si="6">B9</f>
        <v>用途</v>
      </c>
      <c r="R9" s="710" t="s">
        <v>17</v>
      </c>
      <c r="S9" s="711">
        <f t="shared" si="0"/>
        <v>97</v>
      </c>
      <c r="T9" s="710" t="s">
        <v>17</v>
      </c>
      <c r="U9" s="711">
        <f t="shared" si="1"/>
        <v>100</v>
      </c>
      <c r="V9" s="710" t="s">
        <v>17</v>
      </c>
      <c r="W9" s="711">
        <f t="shared" si="2"/>
        <v>97</v>
      </c>
      <c r="X9" s="712"/>
      <c r="Y9" s="3282" t="s">
        <v>2373</v>
      </c>
      <c r="Z9" s="55" t="str">
        <f t="shared" ref="Z9:Z15" si="7">Q9</f>
        <v>用途</v>
      </c>
      <c r="AA9" s="713">
        <f t="shared" si="3"/>
        <v>1.0309278350515463</v>
      </c>
      <c r="AB9" s="713">
        <f t="shared" si="4"/>
        <v>1</v>
      </c>
      <c r="AC9" s="713">
        <f t="shared" si="5"/>
        <v>1.0309278350515463</v>
      </c>
    </row>
    <row r="10" spans="1:30" s="386" customFormat="1" ht="27">
      <c r="A10" s="380"/>
      <c r="B10" s="381" t="s">
        <v>2374</v>
      </c>
      <c r="C10" s="391"/>
      <c r="D10" s="132">
        <v>100</v>
      </c>
      <c r="E10" s="424"/>
      <c r="F10" s="132">
        <f>ROUND(100/'数据-取费表'!G16,0)</f>
        <v>105</v>
      </c>
      <c r="G10" s="422"/>
      <c r="H10" s="132">
        <f>ROUND(100/'数据-取费表'!G16,0)</f>
        <v>105</v>
      </c>
      <c r="I10" s="422"/>
      <c r="J10" s="132">
        <f>ROUND(100/'数据-取费表'!G16,0)</f>
        <v>105</v>
      </c>
      <c r="K10" s="628"/>
      <c r="L10" s="2938"/>
      <c r="M10" s="2939"/>
      <c r="N10" s="2939"/>
      <c r="O10" s="2992"/>
      <c r="P10" s="3323"/>
      <c r="Q10" s="1521" t="str">
        <f t="shared" si="6"/>
        <v>土地使用年限（年）</v>
      </c>
      <c r="R10" s="710" t="s">
        <v>17</v>
      </c>
      <c r="S10" s="711">
        <f t="shared" si="0"/>
        <v>105</v>
      </c>
      <c r="T10" s="710" t="s">
        <v>17</v>
      </c>
      <c r="U10" s="711">
        <f t="shared" si="1"/>
        <v>105</v>
      </c>
      <c r="V10" s="710" t="s">
        <v>17</v>
      </c>
      <c r="W10" s="711">
        <f t="shared" si="2"/>
        <v>105</v>
      </c>
      <c r="X10" s="712"/>
      <c r="Y10" s="3282"/>
      <c r="Z10" s="55" t="str">
        <f t="shared" si="7"/>
        <v>土地使用年限（年）</v>
      </c>
      <c r="AA10" s="713">
        <f t="shared" si="3"/>
        <v>0.95238095238095233</v>
      </c>
      <c r="AB10" s="713">
        <f t="shared" si="4"/>
        <v>0.95238095238095233</v>
      </c>
      <c r="AC10" s="713">
        <f t="shared" si="5"/>
        <v>0.95238095238095233</v>
      </c>
    </row>
    <row r="11" spans="1:30" ht="15">
      <c r="A11" s="387"/>
      <c r="B11" s="381" t="s">
        <v>2375</v>
      </c>
      <c r="C11" s="388">
        <f>'数据-汇总表'!I6</f>
        <v>3.21</v>
      </c>
      <c r="D11" s="132">
        <v>100</v>
      </c>
      <c r="E11" s="388">
        <f>土地案例!L2</f>
        <v>3.04</v>
      </c>
      <c r="F11" s="132">
        <f>LOOKUP(E11,80:80,81:81)-LOOKUP(C11,80:80,81:81)+100</f>
        <v>100</v>
      </c>
      <c r="G11" s="389">
        <f>土地案例!L3</f>
        <v>7.4525300000000003</v>
      </c>
      <c r="H11" s="132">
        <f>LOOKUP(G11,80:80,81:81)-LOOKUP(C11,80:80,81:81)+100</f>
        <v>96</v>
      </c>
      <c r="I11" s="388">
        <f>土地案例!L4</f>
        <v>5.8</v>
      </c>
      <c r="J11" s="132">
        <f>LOOKUP(I11,80:80,81:81)-LOOKUP(C11,80:80,81:81)+100</f>
        <v>98</v>
      </c>
      <c r="K11" s="629">
        <v>1</v>
      </c>
      <c r="L11" s="2940"/>
      <c r="M11" s="2935"/>
      <c r="N11" s="2935"/>
      <c r="O11" s="2993"/>
      <c r="P11" s="3323"/>
      <c r="Q11" s="1521" t="str">
        <f t="shared" si="6"/>
        <v>容积率</v>
      </c>
      <c r="R11" s="710" t="s">
        <v>17</v>
      </c>
      <c r="S11" s="711">
        <f t="shared" si="0"/>
        <v>100</v>
      </c>
      <c r="T11" s="710" t="s">
        <v>17</v>
      </c>
      <c r="U11" s="711">
        <f t="shared" si="1"/>
        <v>96</v>
      </c>
      <c r="V11" s="710" t="s">
        <v>17</v>
      </c>
      <c r="W11" s="711">
        <f t="shared" si="2"/>
        <v>98</v>
      </c>
      <c r="X11" s="712"/>
      <c r="Y11" s="3282"/>
      <c r="Z11" s="55" t="str">
        <f t="shared" si="7"/>
        <v>容积率</v>
      </c>
      <c r="AA11" s="713">
        <f t="shared" si="3"/>
        <v>1</v>
      </c>
      <c r="AB11" s="713">
        <f t="shared" si="4"/>
        <v>1.0416666666666667</v>
      </c>
      <c r="AC11" s="713">
        <f t="shared" si="5"/>
        <v>1.0204081632653061</v>
      </c>
    </row>
    <row r="12" spans="1:30" s="113" customFormat="1" ht="15">
      <c r="A12" s="390"/>
      <c r="B12" s="2072" t="s">
        <v>2564</v>
      </c>
      <c r="C12" s="3064" t="s">
        <v>3300</v>
      </c>
      <c r="D12" s="392">
        <v>100</v>
      </c>
      <c r="E12" s="3075" t="s">
        <v>3315</v>
      </c>
      <c r="F12" s="132">
        <f>SUMIF(82:82,E12,83:83)-SUMIF(82:82,C12,83:83)+100</f>
        <v>95</v>
      </c>
      <c r="G12" s="3075" t="s">
        <v>3315</v>
      </c>
      <c r="H12" s="132">
        <f>SUMIF(82:82,G12,83:83)-SUMIF(82:82,C12,83:83)+100</f>
        <v>95</v>
      </c>
      <c r="I12" s="3075" t="s">
        <v>3315</v>
      </c>
      <c r="J12" s="132">
        <f>SUMIF(82:82,I12,83:83)-SUMIF(82:82,C12,83:83)+100</f>
        <v>95</v>
      </c>
      <c r="K12" s="628"/>
      <c r="L12" s="2936"/>
      <c r="M12" s="2937"/>
      <c r="N12" s="2937"/>
      <c r="O12" s="2991"/>
      <c r="P12" s="3323"/>
      <c r="Q12" s="1521" t="str">
        <f t="shared" si="6"/>
        <v>配建</v>
      </c>
      <c r="R12" s="710" t="s">
        <v>17</v>
      </c>
      <c r="S12" s="711">
        <f t="shared" si="0"/>
        <v>95</v>
      </c>
      <c r="T12" s="710" t="s">
        <v>17</v>
      </c>
      <c r="U12" s="711">
        <f t="shared" si="1"/>
        <v>95</v>
      </c>
      <c r="V12" s="710" t="s">
        <v>17</v>
      </c>
      <c r="W12" s="711">
        <f t="shared" si="2"/>
        <v>95</v>
      </c>
      <c r="X12" s="712"/>
      <c r="Y12" s="3282"/>
      <c r="Z12" s="55" t="str">
        <f t="shared" si="7"/>
        <v>配建</v>
      </c>
      <c r="AA12" s="713">
        <f>D12/F12</f>
        <v>1.0526315789473684</v>
      </c>
      <c r="AB12" s="713">
        <f>D12/H12</f>
        <v>1.0526315789473684</v>
      </c>
      <c r="AC12" s="713">
        <f>D12/J12</f>
        <v>1.0526315789473684</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323"/>
      <c r="Q13" s="1521">
        <f t="shared" si="6"/>
        <v>111</v>
      </c>
      <c r="R13" s="710" t="s">
        <v>17</v>
      </c>
      <c r="S13" s="711">
        <f t="shared" si="0"/>
        <v>100</v>
      </c>
      <c r="T13" s="710" t="s">
        <v>17</v>
      </c>
      <c r="U13" s="711">
        <f t="shared" si="1"/>
        <v>100</v>
      </c>
      <c r="V13" s="710" t="s">
        <v>17</v>
      </c>
      <c r="W13" s="711">
        <f t="shared" si="2"/>
        <v>100</v>
      </c>
      <c r="X13" s="712"/>
      <c r="Y13" s="3282"/>
      <c r="Z13" s="55">
        <f t="shared" si="7"/>
        <v>111</v>
      </c>
      <c r="AA13" s="713">
        <f>D13/F13</f>
        <v>1</v>
      </c>
      <c r="AB13" s="713">
        <f>D13/H13</f>
        <v>1</v>
      </c>
      <c r="AC13" s="713">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323"/>
      <c r="Q14" s="1521">
        <f t="shared" si="6"/>
        <v>111</v>
      </c>
      <c r="R14" s="710" t="s">
        <v>17</v>
      </c>
      <c r="S14" s="711">
        <f t="shared" si="0"/>
        <v>100</v>
      </c>
      <c r="T14" s="710" t="s">
        <v>17</v>
      </c>
      <c r="U14" s="711">
        <f t="shared" si="1"/>
        <v>100</v>
      </c>
      <c r="V14" s="710" t="s">
        <v>17</v>
      </c>
      <c r="W14" s="711">
        <f t="shared" si="2"/>
        <v>100</v>
      </c>
      <c r="X14" s="712"/>
      <c r="Y14" s="3282"/>
      <c r="Z14" s="55">
        <f t="shared" si="7"/>
        <v>111</v>
      </c>
      <c r="AA14" s="713">
        <f>D14/F14</f>
        <v>1</v>
      </c>
      <c r="AB14" s="713">
        <f>D14/H14</f>
        <v>1</v>
      </c>
      <c r="AC14" s="713">
        <f>D14/J14</f>
        <v>1</v>
      </c>
    </row>
    <row r="15" spans="1:30" ht="20.25" customHeight="1">
      <c r="A15" s="399" t="s">
        <v>2376</v>
      </c>
      <c r="B15" s="65" t="s">
        <v>1941</v>
      </c>
      <c r="C15" s="2075">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38" t="s">
        <v>2377</v>
      </c>
      <c r="Q15" s="1530" t="str">
        <f t="shared" si="6"/>
        <v>居住社区成熟度</v>
      </c>
      <c r="R15" s="714" t="s">
        <v>17</v>
      </c>
      <c r="S15" s="715">
        <f t="shared" si="0"/>
        <v>100</v>
      </c>
      <c r="T15" s="714" t="s">
        <v>17</v>
      </c>
      <c r="U15" s="715">
        <f t="shared" si="1"/>
        <v>100</v>
      </c>
      <c r="V15" s="714" t="s">
        <v>17</v>
      </c>
      <c r="W15" s="715">
        <f t="shared" si="2"/>
        <v>100</v>
      </c>
      <c r="X15" s="1533"/>
      <c r="Y15" s="3338" t="s">
        <v>2377</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1"/>
      <c r="M16" s="2935"/>
      <c r="N16" s="2935"/>
      <c r="O16" s="2993"/>
      <c r="P16" s="3339"/>
      <c r="Q16" s="1530"/>
      <c r="R16" s="714"/>
      <c r="S16" s="715"/>
      <c r="T16" s="714"/>
      <c r="U16" s="715"/>
      <c r="V16" s="714"/>
      <c r="W16" s="715"/>
      <c r="X16" s="1533"/>
      <c r="Y16" s="3339"/>
      <c r="Z16" s="1534"/>
      <c r="AA16" s="1531">
        <v>1</v>
      </c>
      <c r="AB16" s="1531">
        <v>1</v>
      </c>
      <c r="AC16" s="1531">
        <v>1</v>
      </c>
    </row>
    <row r="17" spans="1:29" ht="71.25">
      <c r="A17" s="387"/>
      <c r="B17" s="410" t="s">
        <v>2470</v>
      </c>
      <c r="C17" s="2134" t="str">
        <f>估价对象房地状况!C16</f>
        <v>估价对象位于花乡，周边商业氛围成熟度较好，2公里内有花乡奥莱村、万达广场等商业项目，人流量较大，商业繁华度较好</v>
      </c>
      <c r="D17" s="409">
        <v>100</v>
      </c>
      <c r="E17" s="3071" t="s">
        <v>3302</v>
      </c>
      <c r="F17" s="409">
        <f>SUMIF(90:90,E18,91:91)-SUMIF(90:90,C18,91:91)+100</f>
        <v>105</v>
      </c>
      <c r="G17" s="3071" t="s">
        <v>3301</v>
      </c>
      <c r="H17" s="414">
        <f>SUMIF(90:90,G18,91:91)-SUMIF(90:90,C18,91:91)+100</f>
        <v>105</v>
      </c>
      <c r="I17" s="3071" t="s">
        <v>3301</v>
      </c>
      <c r="J17" s="414">
        <f>SUMIF(90:90,I18,91:91)-SUMIF(90:90,C18,91:91)+100</f>
        <v>105</v>
      </c>
      <c r="K17" s="629">
        <v>5</v>
      </c>
      <c r="L17" s="2941"/>
      <c r="M17" s="2935"/>
      <c r="N17" s="2935"/>
      <c r="O17" s="2993"/>
      <c r="P17" s="3339"/>
      <c r="Q17" s="1530" t="str">
        <f>B17</f>
        <v>商业繁华度</v>
      </c>
      <c r="R17" s="714" t="s">
        <v>17</v>
      </c>
      <c r="S17" s="715">
        <f>F17</f>
        <v>105</v>
      </c>
      <c r="T17" s="714" t="s">
        <v>17</v>
      </c>
      <c r="U17" s="715">
        <f>H17</f>
        <v>105</v>
      </c>
      <c r="V17" s="714" t="s">
        <v>17</v>
      </c>
      <c r="W17" s="715">
        <f>J17</f>
        <v>105</v>
      </c>
      <c r="X17" s="1533"/>
      <c r="Y17" s="3339"/>
      <c r="Z17" s="1534" t="str">
        <f>Q17</f>
        <v>商业繁华度</v>
      </c>
      <c r="AA17" s="1531">
        <f t="shared" si="3"/>
        <v>0.95238095238095233</v>
      </c>
      <c r="AB17" s="1531">
        <f t="shared" si="4"/>
        <v>0.95238095238095233</v>
      </c>
      <c r="AC17" s="1531">
        <f t="shared" si="5"/>
        <v>0.95238095238095233</v>
      </c>
    </row>
    <row r="18" spans="1:29" ht="15">
      <c r="A18" s="387"/>
      <c r="B18" s="415"/>
      <c r="C18" s="2080" t="s">
        <v>3273</v>
      </c>
      <c r="D18" s="409"/>
      <c r="E18" s="2082" t="s">
        <v>3274</v>
      </c>
      <c r="F18" s="409"/>
      <c r="G18" s="2082" t="s">
        <v>3274</v>
      </c>
      <c r="H18" s="407"/>
      <c r="I18" s="2082" t="s">
        <v>3274</v>
      </c>
      <c r="J18" s="407"/>
      <c r="K18" s="628"/>
      <c r="L18" s="2941"/>
      <c r="M18" s="2935"/>
      <c r="N18" s="2935"/>
      <c r="O18" s="2993"/>
      <c r="P18" s="3339"/>
      <c r="Q18" s="1530"/>
      <c r="R18" s="714"/>
      <c r="S18" s="715"/>
      <c r="T18" s="714"/>
      <c r="U18" s="715"/>
      <c r="V18" s="714"/>
      <c r="W18" s="715"/>
      <c r="X18" s="1533"/>
      <c r="Y18" s="3339"/>
      <c r="Z18" s="1534"/>
      <c r="AA18" s="1531">
        <v>1</v>
      </c>
      <c r="AB18" s="1531">
        <v>1</v>
      </c>
      <c r="AC18" s="1531">
        <v>1</v>
      </c>
    </row>
    <row r="19" spans="1:29" ht="71.25">
      <c r="A19" s="387"/>
      <c r="B19" s="410" t="s">
        <v>2504</v>
      </c>
      <c r="C19" s="2134" t="str">
        <f>估价对象房地状况!C17</f>
        <v>估价对象位于花乡，周边办公楼项目较多，有诺德中心、东旭国际中心等项目，入驻率较高，办公集聚程度较好</v>
      </c>
      <c r="D19" s="414">
        <v>100</v>
      </c>
      <c r="E19" s="3072" t="s">
        <v>3303</v>
      </c>
      <c r="F19" s="414">
        <f>SUMIF(92:92,E20,93:93)-SUMIF(92:92,C20,93:93)+100</f>
        <v>105</v>
      </c>
      <c r="G19" s="3072" t="s">
        <v>3303</v>
      </c>
      <c r="H19" s="409">
        <f>SUMIF(92:92,G20,93:93)-SUMIF(92:92,C20,93:93)+100</f>
        <v>105</v>
      </c>
      <c r="I19" s="3072" t="s">
        <v>3303</v>
      </c>
      <c r="J19" s="409">
        <f>SUMIF(92:92,I20,93:93)-SUMIF(92:92,C20,93:93)+100</f>
        <v>105</v>
      </c>
      <c r="K19" s="629">
        <v>5</v>
      </c>
      <c r="L19" s="2941"/>
      <c r="M19" s="2935"/>
      <c r="N19" s="2935"/>
      <c r="O19" s="2993"/>
      <c r="P19" s="3339"/>
      <c r="Q19" s="1530" t="str">
        <f>B19</f>
        <v>办公集聚程度</v>
      </c>
      <c r="R19" s="714" t="s">
        <v>17</v>
      </c>
      <c r="S19" s="715">
        <f>F19</f>
        <v>105</v>
      </c>
      <c r="T19" s="714" t="s">
        <v>17</v>
      </c>
      <c r="U19" s="715">
        <f>H19</f>
        <v>105</v>
      </c>
      <c r="V19" s="714" t="s">
        <v>17</v>
      </c>
      <c r="W19" s="715">
        <f>J19</f>
        <v>105</v>
      </c>
      <c r="X19" s="1533"/>
      <c r="Y19" s="3339"/>
      <c r="Z19" s="1534" t="str">
        <f>Q19</f>
        <v>办公集聚程度</v>
      </c>
      <c r="AA19" s="1531">
        <f t="shared" si="3"/>
        <v>0.95238095238095233</v>
      </c>
      <c r="AB19" s="1531">
        <f t="shared" si="4"/>
        <v>0.95238095238095233</v>
      </c>
      <c r="AC19" s="1531">
        <f t="shared" si="5"/>
        <v>0.95238095238095233</v>
      </c>
    </row>
    <row r="20" spans="1:29" ht="15">
      <c r="A20" s="387"/>
      <c r="B20" s="415"/>
      <c r="C20" s="406" t="s">
        <v>3273</v>
      </c>
      <c r="D20" s="407"/>
      <c r="E20" s="2082" t="s">
        <v>3274</v>
      </c>
      <c r="F20" s="407"/>
      <c r="G20" s="2082" t="s">
        <v>3274</v>
      </c>
      <c r="H20" s="407"/>
      <c r="I20" s="2082" t="s">
        <v>3274</v>
      </c>
      <c r="J20" s="407"/>
      <c r="K20" s="628"/>
      <c r="L20" s="2941"/>
      <c r="M20" s="2935"/>
      <c r="N20" s="2935"/>
      <c r="O20" s="2993"/>
      <c r="P20" s="3339"/>
      <c r="Q20" s="1530"/>
      <c r="R20" s="714"/>
      <c r="S20" s="715"/>
      <c r="T20" s="714"/>
      <c r="U20" s="715"/>
      <c r="V20" s="714"/>
      <c r="W20" s="715"/>
      <c r="X20" s="1533"/>
      <c r="Y20" s="3339"/>
      <c r="Z20" s="1534"/>
      <c r="AA20" s="1531">
        <v>1</v>
      </c>
      <c r="AB20" s="1531">
        <v>1</v>
      </c>
      <c r="AC20" s="1531">
        <v>1</v>
      </c>
    </row>
    <row r="21" spans="1:29" ht="85.5">
      <c r="A21" s="387"/>
      <c r="B21" s="410" t="s">
        <v>2526</v>
      </c>
      <c r="C21" s="2079" t="str">
        <f>估价对象房地状况!C18</f>
        <v>估价对象周边道路状况较好、公共交通通达情况较好、有400、602、685等多路公交车经过，地铁9号线、房山线经过，停车便捷程度，综合评价交通便捷度较好</v>
      </c>
      <c r="D21" s="409">
        <v>100</v>
      </c>
      <c r="E21" s="3071" t="s">
        <v>3304</v>
      </c>
      <c r="F21" s="414">
        <f>SUMIF(94:94,E22,95:95)-SUMIF(94:94,C22,95:95)+100</f>
        <v>100</v>
      </c>
      <c r="G21" s="3071" t="s">
        <v>3304</v>
      </c>
      <c r="H21" s="409">
        <f>SUMIF(94:94,G22,95:95)-SUMIF(94:94,C22,95:95)+100</f>
        <v>100</v>
      </c>
      <c r="I21" s="3071" t="s">
        <v>3304</v>
      </c>
      <c r="J21" s="409">
        <f>SUMIF(94:94,I22,95:95)-SUMIF(94:94,C22,95:95)+100</f>
        <v>100</v>
      </c>
      <c r="K21" s="629">
        <v>2</v>
      </c>
      <c r="L21" s="2941"/>
      <c r="M21" s="2935"/>
      <c r="N21" s="2935"/>
      <c r="O21" s="2993"/>
      <c r="P21" s="3339"/>
      <c r="Q21" s="1530" t="str">
        <f>B21</f>
        <v>交通便捷度</v>
      </c>
      <c r="R21" s="714" t="s">
        <v>17</v>
      </c>
      <c r="S21" s="715">
        <f>F21</f>
        <v>100</v>
      </c>
      <c r="T21" s="714" t="s">
        <v>17</v>
      </c>
      <c r="U21" s="715">
        <f>H21</f>
        <v>100</v>
      </c>
      <c r="V21" s="714" t="s">
        <v>17</v>
      </c>
      <c r="W21" s="715">
        <f>J21</f>
        <v>100</v>
      </c>
      <c r="X21" s="1533"/>
      <c r="Y21" s="3339"/>
      <c r="Z21" s="1534" t="str">
        <f>Q21</f>
        <v>交通便捷度</v>
      </c>
      <c r="AA21" s="1531">
        <f t="shared" si="3"/>
        <v>1</v>
      </c>
      <c r="AB21" s="1531">
        <f t="shared" si="4"/>
        <v>1</v>
      </c>
      <c r="AC21" s="1531">
        <f t="shared" si="5"/>
        <v>1</v>
      </c>
    </row>
    <row r="22" spans="1:29" ht="15">
      <c r="A22" s="387"/>
      <c r="B22" s="1287"/>
      <c r="C22" s="406" t="s">
        <v>3274</v>
      </c>
      <c r="D22" s="409"/>
      <c r="E22" s="2077" t="s">
        <v>3274</v>
      </c>
      <c r="F22" s="407"/>
      <c r="G22" s="2082" t="s">
        <v>3274</v>
      </c>
      <c r="H22" s="407"/>
      <c r="I22" s="2082" t="s">
        <v>3274</v>
      </c>
      <c r="J22" s="407"/>
      <c r="K22" s="628"/>
      <c r="L22" s="2941"/>
      <c r="M22" s="2935"/>
      <c r="N22" s="2935"/>
      <c r="O22" s="2993"/>
      <c r="P22" s="3339"/>
      <c r="Q22" s="1530"/>
      <c r="R22" s="714"/>
      <c r="S22" s="715"/>
      <c r="T22" s="714"/>
      <c r="U22" s="715"/>
      <c r="V22" s="714"/>
      <c r="W22" s="715"/>
      <c r="X22" s="1533"/>
      <c r="Y22" s="3339"/>
      <c r="Z22" s="1534"/>
      <c r="AA22" s="1531">
        <v>1</v>
      </c>
      <c r="AB22" s="1531">
        <v>1</v>
      </c>
      <c r="AC22" s="1531">
        <v>1</v>
      </c>
    </row>
    <row r="23" spans="1:29" ht="15">
      <c r="A23" s="364"/>
      <c r="B23" s="410" t="s">
        <v>2565</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339"/>
      <c r="Q23" s="1530" t="str">
        <f t="shared" ref="Q23:Q37" si="8">B23</f>
        <v>区域土地利用方向</v>
      </c>
      <c r="R23" s="714" t="s">
        <v>17</v>
      </c>
      <c r="S23" s="715">
        <f>F23</f>
        <v>100</v>
      </c>
      <c r="T23" s="714" t="s">
        <v>17</v>
      </c>
      <c r="U23" s="715">
        <f>H23</f>
        <v>100</v>
      </c>
      <c r="V23" s="714" t="s">
        <v>17</v>
      </c>
      <c r="W23" s="715">
        <f>J23</f>
        <v>100</v>
      </c>
      <c r="X23" s="1533"/>
      <c r="Y23" s="3339"/>
      <c r="Z23" s="1534" t="str">
        <f>Q23</f>
        <v>区域土地利用方向</v>
      </c>
      <c r="AA23" s="1531">
        <f t="shared" si="3"/>
        <v>1</v>
      </c>
      <c r="AB23" s="1531">
        <f t="shared" si="4"/>
        <v>1</v>
      </c>
      <c r="AC23" s="1531">
        <f t="shared" si="5"/>
        <v>1</v>
      </c>
    </row>
    <row r="24" spans="1:29" ht="15">
      <c r="A24" s="364"/>
      <c r="B24" s="415"/>
      <c r="C24" s="573" t="s">
        <v>3274</v>
      </c>
      <c r="D24" s="407"/>
      <c r="E24" s="573" t="s">
        <v>3274</v>
      </c>
      <c r="F24" s="407"/>
      <c r="G24" s="573" t="s">
        <v>3274</v>
      </c>
      <c r="H24" s="407"/>
      <c r="I24" s="573" t="s">
        <v>3274</v>
      </c>
      <c r="J24" s="407"/>
      <c r="K24" s="745"/>
      <c r="L24" s="2941"/>
      <c r="M24" s="2935"/>
      <c r="N24" s="2935"/>
      <c r="O24" s="2993"/>
      <c r="P24" s="3339"/>
      <c r="Q24" s="1530"/>
      <c r="R24" s="714"/>
      <c r="S24" s="715"/>
      <c r="T24" s="714"/>
      <c r="U24" s="715"/>
      <c r="V24" s="714"/>
      <c r="W24" s="715"/>
      <c r="X24" s="1533"/>
      <c r="Y24" s="3339"/>
      <c r="Z24" s="1534"/>
      <c r="AA24" s="1531"/>
      <c r="AB24" s="1531"/>
      <c r="AC24" s="1531"/>
    </row>
    <row r="25" spans="1:29" ht="57">
      <c r="A25" s="364"/>
      <c r="B25" s="1287" t="s">
        <v>2566</v>
      </c>
      <c r="C25" s="2134" t="str">
        <f>估价对象房地状况!C20</f>
        <v>区域自然环境：科丰公园、丰台科技生态公园；人文环境：汽车博物馆、首经贸大曦；综合评价环境状况较好</v>
      </c>
      <c r="D25" s="409">
        <v>100</v>
      </c>
      <c r="E25" s="3071" t="s">
        <v>3316</v>
      </c>
      <c r="F25" s="409">
        <f>SUMIF(98:98,E26,99:99)-SUMIF(98:98,C26,99:99)+100</f>
        <v>100</v>
      </c>
      <c r="G25" s="3071" t="s">
        <v>3316</v>
      </c>
      <c r="H25" s="409">
        <f>SUMIF(98:98,G26,99:99)-SUMIF(98:98,C26,99:99)+100</f>
        <v>100</v>
      </c>
      <c r="I25" s="3071" t="s">
        <v>3316</v>
      </c>
      <c r="J25" s="409">
        <f>SUMIF(98:98,I26,99:99)-SUMIF(98:98,C26,99:99)+100</f>
        <v>100</v>
      </c>
      <c r="K25" s="629">
        <v>3</v>
      </c>
      <c r="L25" s="2941"/>
      <c r="M25" s="2935"/>
      <c r="N25" s="2935"/>
      <c r="O25" s="2993"/>
      <c r="P25" s="3339"/>
      <c r="Q25" s="1530" t="str">
        <f t="shared" si="8"/>
        <v>自然及人文环境状况</v>
      </c>
      <c r="R25" s="714" t="s">
        <v>17</v>
      </c>
      <c r="S25" s="715">
        <f>F25</f>
        <v>100</v>
      </c>
      <c r="T25" s="714" t="s">
        <v>17</v>
      </c>
      <c r="U25" s="715">
        <f>H25</f>
        <v>100</v>
      </c>
      <c r="V25" s="714" t="s">
        <v>17</v>
      </c>
      <c r="W25" s="715">
        <f>J25</f>
        <v>100</v>
      </c>
      <c r="X25" s="1533"/>
      <c r="Y25" s="3339"/>
      <c r="Z25" s="1534" t="str">
        <f>Q25</f>
        <v>自然及人文环境状况</v>
      </c>
      <c r="AA25" s="1531">
        <f t="shared" si="3"/>
        <v>1</v>
      </c>
      <c r="AB25" s="1531">
        <f t="shared" si="4"/>
        <v>1</v>
      </c>
      <c r="AC25" s="1531">
        <f t="shared" si="5"/>
        <v>1</v>
      </c>
    </row>
    <row r="26" spans="1:29" ht="15">
      <c r="A26" s="364"/>
      <c r="B26" s="415"/>
      <c r="C26" s="406" t="s">
        <v>3274</v>
      </c>
      <c r="D26" s="407"/>
      <c r="E26" s="406" t="s">
        <v>3274</v>
      </c>
      <c r="F26" s="407"/>
      <c r="G26" s="406" t="s">
        <v>3274</v>
      </c>
      <c r="H26" s="407"/>
      <c r="I26" s="406" t="s">
        <v>3274</v>
      </c>
      <c r="J26" s="407"/>
      <c r="K26" s="628"/>
      <c r="L26" s="2941"/>
      <c r="M26" s="2935"/>
      <c r="N26" s="2935"/>
      <c r="O26" s="2993"/>
      <c r="P26" s="3339"/>
      <c r="Q26" s="1530"/>
      <c r="R26" s="714"/>
      <c r="S26" s="715"/>
      <c r="T26" s="714"/>
      <c r="U26" s="715"/>
      <c r="V26" s="714"/>
      <c r="W26" s="715"/>
      <c r="X26" s="1533"/>
      <c r="Y26" s="3339"/>
      <c r="Z26" s="1534"/>
      <c r="AA26" s="1531">
        <v>1</v>
      </c>
      <c r="AB26" s="1531">
        <v>1</v>
      </c>
      <c r="AC26" s="1531">
        <v>1</v>
      </c>
    </row>
    <row r="27" spans="1:29" s="113" customFormat="1" ht="28.5">
      <c r="A27" s="605"/>
      <c r="B27" s="1287" t="s">
        <v>2471</v>
      </c>
      <c r="C27" s="2079"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339"/>
      <c r="Q27" s="1521" t="str">
        <f t="shared" si="8"/>
        <v>公共配套设施</v>
      </c>
      <c r="R27" s="710" t="s">
        <v>17</v>
      </c>
      <c r="S27" s="711">
        <f>F27</f>
        <v>100</v>
      </c>
      <c r="T27" s="710" t="s">
        <v>17</v>
      </c>
      <c r="U27" s="711">
        <f>H27</f>
        <v>100</v>
      </c>
      <c r="V27" s="710" t="s">
        <v>17</v>
      </c>
      <c r="W27" s="711">
        <f>J27</f>
        <v>100</v>
      </c>
      <c r="X27" s="712"/>
      <c r="Y27" s="3339"/>
      <c r="Z27" s="55" t="str">
        <f>Q27</f>
        <v>公共配套设施</v>
      </c>
      <c r="AA27" s="1531">
        <f>D27/F27</f>
        <v>1</v>
      </c>
      <c r="AB27" s="1531">
        <f>D27/H27</f>
        <v>1</v>
      </c>
      <c r="AC27" s="1531">
        <f>D27/J27</f>
        <v>1</v>
      </c>
    </row>
    <row r="28" spans="1:29" s="113" customFormat="1" ht="15">
      <c r="A28" s="605"/>
      <c r="B28" s="415"/>
      <c r="C28" s="2157" t="s">
        <v>3274</v>
      </c>
      <c r="D28" s="407"/>
      <c r="E28" s="2157" t="s">
        <v>3274</v>
      </c>
      <c r="F28" s="407"/>
      <c r="G28" s="2157" t="s">
        <v>3274</v>
      </c>
      <c r="H28" s="407"/>
      <c r="I28" s="2157" t="s">
        <v>3274</v>
      </c>
      <c r="J28" s="407"/>
      <c r="K28" s="628"/>
      <c r="L28" s="2936"/>
      <c r="M28" s="2937"/>
      <c r="N28" s="2937"/>
      <c r="O28" s="2991"/>
      <c r="P28" s="3339"/>
      <c r="Q28" s="1521"/>
      <c r="R28" s="710"/>
      <c r="S28" s="711"/>
      <c r="T28" s="710"/>
      <c r="U28" s="711"/>
      <c r="V28" s="710"/>
      <c r="W28" s="711"/>
      <c r="X28" s="712"/>
      <c r="Y28" s="3339"/>
      <c r="Z28" s="55"/>
      <c r="AA28" s="1531">
        <v>1</v>
      </c>
      <c r="AB28" s="1531">
        <v>1</v>
      </c>
      <c r="AC28" s="1531">
        <v>1</v>
      </c>
    </row>
    <row r="29" spans="1:29" s="113" customFormat="1" ht="28.5">
      <c r="A29" s="605"/>
      <c r="B29" s="1287" t="s">
        <v>2472</v>
      </c>
      <c r="C29" s="2079"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339"/>
      <c r="Q29" s="1521" t="str">
        <f t="shared" ref="Q29" si="9">B29</f>
        <v>基础设施水平</v>
      </c>
      <c r="R29" s="710" t="s">
        <v>17</v>
      </c>
      <c r="S29" s="711">
        <f>F29</f>
        <v>100</v>
      </c>
      <c r="T29" s="710" t="s">
        <v>17</v>
      </c>
      <c r="U29" s="711">
        <f>H29</f>
        <v>100</v>
      </c>
      <c r="V29" s="710" t="s">
        <v>17</v>
      </c>
      <c r="W29" s="711">
        <f>J29</f>
        <v>100</v>
      </c>
      <c r="X29" s="712"/>
      <c r="Y29" s="3339"/>
      <c r="Z29" s="55" t="str">
        <f>Q29</f>
        <v>基础设施水平</v>
      </c>
      <c r="AA29" s="1531">
        <f>D29/F29</f>
        <v>1</v>
      </c>
      <c r="AB29" s="1531">
        <f>D29/H29</f>
        <v>1</v>
      </c>
      <c r="AC29" s="1531">
        <f>D29/J29</f>
        <v>1</v>
      </c>
    </row>
    <row r="30" spans="1:29" s="113" customFormat="1" ht="15">
      <c r="A30" s="605"/>
      <c r="B30" s="415"/>
      <c r="C30" s="2157" t="s">
        <v>3275</v>
      </c>
      <c r="D30" s="407"/>
      <c r="E30" s="2157" t="s">
        <v>3275</v>
      </c>
      <c r="F30" s="407"/>
      <c r="G30" s="2157" t="s">
        <v>3275</v>
      </c>
      <c r="H30" s="407"/>
      <c r="I30" s="2157" t="s">
        <v>3275</v>
      </c>
      <c r="J30" s="407"/>
      <c r="K30" s="628"/>
      <c r="L30" s="2936"/>
      <c r="M30" s="2937"/>
      <c r="N30" s="2937"/>
      <c r="O30" s="2991"/>
      <c r="P30" s="3339"/>
      <c r="Q30" s="1521"/>
      <c r="R30" s="710"/>
      <c r="S30" s="711"/>
      <c r="T30" s="710"/>
      <c r="U30" s="711"/>
      <c r="V30" s="710"/>
      <c r="W30" s="711"/>
      <c r="X30" s="712"/>
      <c r="Y30" s="3339"/>
      <c r="Z30" s="55"/>
      <c r="AA30" s="1531">
        <v>1</v>
      </c>
      <c r="AB30" s="1531">
        <v>1</v>
      </c>
      <c r="AC30" s="1531">
        <v>1</v>
      </c>
    </row>
    <row r="31" spans="1:29" ht="15">
      <c r="A31" s="387"/>
      <c r="B31" s="415" t="s">
        <v>2473</v>
      </c>
      <c r="C31" s="573" t="s">
        <v>3276</v>
      </c>
      <c r="D31" s="394">
        <v>100</v>
      </c>
      <c r="E31" s="590" t="s">
        <v>3276</v>
      </c>
      <c r="F31" s="394">
        <f>SUMIF(104:104,E31,105:105)-SUMIF(104:104,C31,105:105)+100</f>
        <v>100</v>
      </c>
      <c r="G31" s="590" t="s">
        <v>3289</v>
      </c>
      <c r="H31" s="394">
        <f>SUMIF(104:104,G31,105:105)-SUMIF(104:104,C31,105:105)+100</f>
        <v>102</v>
      </c>
      <c r="I31" s="590" t="s">
        <v>3289</v>
      </c>
      <c r="J31" s="394">
        <f>SUMIF(104:104,I31,105:105)-SUMIF(104:104,C31,105:105)+100</f>
        <v>102</v>
      </c>
      <c r="K31" s="629">
        <v>2</v>
      </c>
      <c r="L31" s="2941"/>
      <c r="M31" s="2935"/>
      <c r="N31" s="2935"/>
      <c r="O31" s="2993"/>
      <c r="P31" s="3339"/>
      <c r="Q31" s="1530" t="str">
        <f t="shared" si="8"/>
        <v>临街状况</v>
      </c>
      <c r="R31" s="714" t="s">
        <v>17</v>
      </c>
      <c r="S31" s="715">
        <f t="shared" ref="S31:S45" si="10">F31</f>
        <v>100</v>
      </c>
      <c r="T31" s="714" t="s">
        <v>17</v>
      </c>
      <c r="U31" s="715">
        <f t="shared" ref="U31:U45" si="11">H31</f>
        <v>102</v>
      </c>
      <c r="V31" s="714" t="s">
        <v>17</v>
      </c>
      <c r="W31" s="715">
        <f t="shared" ref="W31:W45" si="12">J31</f>
        <v>102</v>
      </c>
      <c r="X31" s="1533"/>
      <c r="Y31" s="3339"/>
      <c r="Z31" s="1534" t="str">
        <f t="shared" ref="Z31:Z45" si="13">Q31</f>
        <v>临街状况</v>
      </c>
      <c r="AA31" s="1531">
        <f t="shared" si="3"/>
        <v>1</v>
      </c>
      <c r="AB31" s="1531">
        <f t="shared" si="4"/>
        <v>0.98039215686274506</v>
      </c>
      <c r="AC31" s="1531">
        <f t="shared" si="5"/>
        <v>0.98039215686274506</v>
      </c>
    </row>
    <row r="32" spans="1:29" ht="27">
      <c r="A32" s="387"/>
      <c r="B32" s="1287" t="s">
        <v>2508</v>
      </c>
      <c r="C32" s="3074" t="s">
        <v>3312</v>
      </c>
      <c r="D32" s="409">
        <v>100</v>
      </c>
      <c r="E32" s="3071" t="s">
        <v>3313</v>
      </c>
      <c r="F32" s="409">
        <f>SUMIF(106:106,E33,107:107)-SUMIF(106:106,C33,107:107)+100</f>
        <v>100</v>
      </c>
      <c r="G32" s="3071" t="s">
        <v>3313</v>
      </c>
      <c r="H32" s="409">
        <f>SUMIF(106:106,G33,107:107)-SUMIF(106:106,C33,107:107)+100</f>
        <v>100</v>
      </c>
      <c r="I32" s="3074" t="s">
        <v>3314</v>
      </c>
      <c r="J32" s="409">
        <f>SUMIF(106:106,I33,107:107)-SUMIF(106:106,C33,107:107)+100</f>
        <v>99</v>
      </c>
      <c r="K32" s="629">
        <v>1</v>
      </c>
      <c r="L32" s="2941"/>
      <c r="M32" s="2935"/>
      <c r="N32" s="2935"/>
      <c r="O32" s="2993"/>
      <c r="P32" s="3339"/>
      <c r="Q32" s="1530" t="str">
        <f t="shared" si="8"/>
        <v>毗邻道路的类型与等级</v>
      </c>
      <c r="R32" s="714" t="s">
        <v>17</v>
      </c>
      <c r="S32" s="715">
        <f t="shared" si="10"/>
        <v>100</v>
      </c>
      <c r="T32" s="714" t="s">
        <v>17</v>
      </c>
      <c r="U32" s="715">
        <f t="shared" si="11"/>
        <v>100</v>
      </c>
      <c r="V32" s="714" t="s">
        <v>17</v>
      </c>
      <c r="W32" s="715">
        <f t="shared" si="12"/>
        <v>99</v>
      </c>
      <c r="X32" s="1533"/>
      <c r="Y32" s="3339"/>
      <c r="Z32" s="1534" t="str">
        <f t="shared" si="13"/>
        <v>毗邻道路的类型与等级</v>
      </c>
      <c r="AA32" s="1531">
        <f t="shared" si="3"/>
        <v>1</v>
      </c>
      <c r="AB32" s="1531">
        <f t="shared" si="4"/>
        <v>1</v>
      </c>
      <c r="AC32" s="1531">
        <f t="shared" si="5"/>
        <v>1.0101010101010102</v>
      </c>
    </row>
    <row r="33" spans="1:29" ht="15">
      <c r="A33" s="387"/>
      <c r="B33" s="415"/>
      <c r="C33" s="406" t="s">
        <v>3307</v>
      </c>
      <c r="D33" s="407"/>
      <c r="E33" s="406" t="s">
        <v>3307</v>
      </c>
      <c r="F33" s="407"/>
      <c r="G33" s="406" t="s">
        <v>3307</v>
      </c>
      <c r="H33" s="407"/>
      <c r="I33" s="406" t="s">
        <v>3309</v>
      </c>
      <c r="J33" s="407"/>
      <c r="K33" s="570"/>
      <c r="L33" s="2941"/>
      <c r="M33" s="2935"/>
      <c r="N33" s="2935"/>
      <c r="O33" s="2993"/>
      <c r="P33" s="3339"/>
      <c r="Q33" s="1530"/>
      <c r="R33" s="714"/>
      <c r="S33" s="715"/>
      <c r="T33" s="714"/>
      <c r="U33" s="715"/>
      <c r="V33" s="714"/>
      <c r="W33" s="715"/>
      <c r="X33" s="1533"/>
      <c r="Y33" s="3339"/>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39"/>
      <c r="Q34" s="1530" t="str">
        <f t="shared" si="8"/>
        <v>土地级别</v>
      </c>
      <c r="R34" s="714" t="s">
        <v>17</v>
      </c>
      <c r="S34" s="715">
        <f t="shared" si="10"/>
        <v>100</v>
      </c>
      <c r="T34" s="714" t="s">
        <v>17</v>
      </c>
      <c r="U34" s="715">
        <f t="shared" si="11"/>
        <v>100</v>
      </c>
      <c r="V34" s="714" t="s">
        <v>17</v>
      </c>
      <c r="W34" s="715">
        <f t="shared" si="12"/>
        <v>100</v>
      </c>
      <c r="X34" s="1533"/>
      <c r="Y34" s="3339"/>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39"/>
      <c r="Q35" s="1530">
        <f t="shared" si="8"/>
        <v>111</v>
      </c>
      <c r="R35" s="714" t="s">
        <v>17</v>
      </c>
      <c r="S35" s="715">
        <f t="shared" si="10"/>
        <v>100</v>
      </c>
      <c r="T35" s="714" t="s">
        <v>17</v>
      </c>
      <c r="U35" s="715">
        <f t="shared" si="11"/>
        <v>100</v>
      </c>
      <c r="V35" s="714" t="s">
        <v>17</v>
      </c>
      <c r="W35" s="715">
        <f t="shared" si="12"/>
        <v>100</v>
      </c>
      <c r="X35" s="1533"/>
      <c r="Y35" s="3339"/>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340" t="s">
        <v>2382</v>
      </c>
      <c r="Q36" s="1530">
        <f t="shared" si="8"/>
        <v>111</v>
      </c>
      <c r="R36" s="714" t="s">
        <v>17</v>
      </c>
      <c r="S36" s="715">
        <f t="shared" si="10"/>
        <v>100</v>
      </c>
      <c r="T36" s="714" t="s">
        <v>17</v>
      </c>
      <c r="U36" s="715">
        <f t="shared" si="11"/>
        <v>100</v>
      </c>
      <c r="V36" s="714" t="s">
        <v>17</v>
      </c>
      <c r="W36" s="715">
        <f t="shared" si="12"/>
        <v>100</v>
      </c>
      <c r="X36" s="1533"/>
      <c r="Y36" s="3341" t="s">
        <v>2382</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341"/>
      <c r="Q37" s="1530">
        <f t="shared" si="8"/>
        <v>111</v>
      </c>
      <c r="R37" s="717" t="s">
        <v>17</v>
      </c>
      <c r="S37" s="718">
        <f t="shared" si="10"/>
        <v>100</v>
      </c>
      <c r="T37" s="717" t="s">
        <v>17</v>
      </c>
      <c r="U37" s="718">
        <f t="shared" si="11"/>
        <v>100</v>
      </c>
      <c r="V37" s="717" t="s">
        <v>17</v>
      </c>
      <c r="W37" s="718">
        <f t="shared" si="12"/>
        <v>100</v>
      </c>
      <c r="X37" s="719"/>
      <c r="Y37" s="3341"/>
      <c r="Z37" s="720">
        <f t="shared" si="13"/>
        <v>111</v>
      </c>
      <c r="AA37" s="1531">
        <f t="shared" si="3"/>
        <v>1</v>
      </c>
      <c r="AB37" s="1531">
        <f t="shared" si="4"/>
        <v>1</v>
      </c>
      <c r="AC37" s="1531">
        <f t="shared" si="5"/>
        <v>1</v>
      </c>
    </row>
    <row r="38" spans="1:29" ht="15">
      <c r="A38" s="431" t="s">
        <v>2380</v>
      </c>
      <c r="B38" s="415" t="s">
        <v>2568</v>
      </c>
      <c r="C38" s="635">
        <f>'数据-基础表'!A3</f>
        <v>23493.01</v>
      </c>
      <c r="D38" s="426">
        <v>100</v>
      </c>
      <c r="E38" s="635">
        <f>土地案例!J2</f>
        <v>39410.74</v>
      </c>
      <c r="F38" s="426">
        <f>LOOKUP(E38,117:117,118:118)-LOOKUP(C38,117:117,118:118)+100</f>
        <v>100</v>
      </c>
      <c r="G38" s="635">
        <f>土地案例!J3</f>
        <v>14089.17</v>
      </c>
      <c r="H38" s="426">
        <f>LOOKUP(G38,117:117,118:118)-LOOKUP(C38,117:117,118:118)+100</f>
        <v>99</v>
      </c>
      <c r="I38" s="487">
        <f>土地案例!J4</f>
        <v>27295.08</v>
      </c>
      <c r="J38" s="426">
        <f>LOOKUP(I38,117:117,118:118)-LOOKUP(C38,117:117,118:118)+100</f>
        <v>100</v>
      </c>
      <c r="K38" s="570"/>
      <c r="L38" s="2941"/>
      <c r="M38" s="2935"/>
      <c r="N38" s="2935"/>
      <c r="O38" s="2993"/>
      <c r="P38" s="3341"/>
      <c r="Q38" s="1530" t="str">
        <f>B38</f>
        <v>宗地面积</v>
      </c>
      <c r="R38" s="714" t="s">
        <v>17</v>
      </c>
      <c r="S38" s="715">
        <f t="shared" si="10"/>
        <v>100</v>
      </c>
      <c r="T38" s="714" t="s">
        <v>17</v>
      </c>
      <c r="U38" s="715">
        <f t="shared" si="11"/>
        <v>99</v>
      </c>
      <c r="V38" s="714" t="s">
        <v>17</v>
      </c>
      <c r="W38" s="715">
        <f t="shared" si="12"/>
        <v>100</v>
      </c>
      <c r="X38" s="1533"/>
      <c r="Y38" s="3341"/>
      <c r="Z38" s="1534" t="str">
        <f t="shared" si="13"/>
        <v>宗地面积</v>
      </c>
      <c r="AA38" s="1531">
        <f t="shared" si="3"/>
        <v>1</v>
      </c>
      <c r="AB38" s="1531">
        <f t="shared" si="4"/>
        <v>1.0101010101010102</v>
      </c>
      <c r="AC38" s="1531">
        <f t="shared" si="5"/>
        <v>1</v>
      </c>
    </row>
    <row r="39" spans="1:29" ht="15">
      <c r="A39" s="431"/>
      <c r="B39" s="381" t="s">
        <v>2569</v>
      </c>
      <c r="C39" s="2085" t="s">
        <v>3281</v>
      </c>
      <c r="D39" s="394">
        <v>100</v>
      </c>
      <c r="E39" s="2085" t="s">
        <v>3281</v>
      </c>
      <c r="F39" s="394">
        <f>SUMIF(119:119,E39,120:120)-SUMIF(119:119,C39,120:120)+100</f>
        <v>100</v>
      </c>
      <c r="G39" s="2085" t="s">
        <v>3281</v>
      </c>
      <c r="H39" s="394">
        <f>SUMIF(119:119,G39,120:120)-SUMIF(119:119,C39,120:120)+100</f>
        <v>100</v>
      </c>
      <c r="I39" s="2085" t="s">
        <v>3281</v>
      </c>
      <c r="J39" s="394">
        <f>SUMIF(119:119,I39,120:120)-SUMIF(119:119,C39,120:120)+100</f>
        <v>100</v>
      </c>
      <c r="K39" s="569">
        <v>2</v>
      </c>
      <c r="L39" s="2941"/>
      <c r="M39" s="2935"/>
      <c r="N39" s="2935"/>
      <c r="O39" s="2993"/>
      <c r="P39" s="3341"/>
      <c r="Q39" s="1530" t="str">
        <f t="shared" ref="Q39:Q45" si="14">B39</f>
        <v>宗地形状</v>
      </c>
      <c r="R39" s="714" t="s">
        <v>17</v>
      </c>
      <c r="S39" s="715">
        <f t="shared" si="10"/>
        <v>100</v>
      </c>
      <c r="T39" s="714" t="s">
        <v>17</v>
      </c>
      <c r="U39" s="715">
        <f t="shared" si="11"/>
        <v>100</v>
      </c>
      <c r="V39" s="714" t="s">
        <v>17</v>
      </c>
      <c r="W39" s="715">
        <f t="shared" si="12"/>
        <v>100</v>
      </c>
      <c r="X39" s="1533"/>
      <c r="Y39" s="3341"/>
      <c r="Z39" s="1534" t="str">
        <f t="shared" si="13"/>
        <v>宗地形状</v>
      </c>
      <c r="AA39" s="1531">
        <f t="shared" si="3"/>
        <v>1</v>
      </c>
      <c r="AB39" s="1531">
        <f t="shared" si="4"/>
        <v>1</v>
      </c>
      <c r="AC39" s="1531">
        <f t="shared" si="5"/>
        <v>1</v>
      </c>
    </row>
    <row r="40" spans="1:29" ht="15">
      <c r="A40" s="431"/>
      <c r="B40" s="381" t="s">
        <v>2570</v>
      </c>
      <c r="C40" s="2085" t="s">
        <v>3274</v>
      </c>
      <c r="D40" s="394">
        <v>100</v>
      </c>
      <c r="E40" s="2085" t="s">
        <v>3274</v>
      </c>
      <c r="F40" s="394">
        <f>SUMIF(121:121,E40,122:122)-SUMIF(121:121,C40,122:122)+100</f>
        <v>100</v>
      </c>
      <c r="G40" s="2085" t="s">
        <v>3274</v>
      </c>
      <c r="H40" s="394">
        <f>SUMIF(121:121,G40,122:122)-SUMIF(121:121,C40,122:122)+100</f>
        <v>100</v>
      </c>
      <c r="I40" s="2085" t="s">
        <v>3274</v>
      </c>
      <c r="J40" s="394">
        <f>SUMIF(121:121,I40,122:122)-SUMIF(121:121,C40,122:122)+100</f>
        <v>100</v>
      </c>
      <c r="K40" s="569">
        <v>2</v>
      </c>
      <c r="L40" s="2941"/>
      <c r="M40" s="2935"/>
      <c r="N40" s="2935"/>
      <c r="O40" s="2993"/>
      <c r="P40" s="3341"/>
      <c r="Q40" s="1530" t="str">
        <f t="shared" si="14"/>
        <v>临街宽度及深度</v>
      </c>
      <c r="R40" s="714" t="s">
        <v>17</v>
      </c>
      <c r="S40" s="715">
        <f t="shared" si="10"/>
        <v>100</v>
      </c>
      <c r="T40" s="714" t="s">
        <v>17</v>
      </c>
      <c r="U40" s="715">
        <f t="shared" si="11"/>
        <v>100</v>
      </c>
      <c r="V40" s="714" t="s">
        <v>17</v>
      </c>
      <c r="W40" s="715">
        <f t="shared" si="12"/>
        <v>100</v>
      </c>
      <c r="X40" s="1533"/>
      <c r="Y40" s="3341"/>
      <c r="Z40" s="1534" t="str">
        <f t="shared" si="13"/>
        <v>临街宽度及深度</v>
      </c>
      <c r="AA40" s="1531">
        <f t="shared" si="3"/>
        <v>1</v>
      </c>
      <c r="AB40" s="1531">
        <f t="shared" si="4"/>
        <v>1</v>
      </c>
      <c r="AC40" s="1531">
        <f t="shared" si="5"/>
        <v>1</v>
      </c>
    </row>
    <row r="41" spans="1:29" s="113" customFormat="1" ht="15">
      <c r="A41" s="432"/>
      <c r="B41" s="381" t="s">
        <v>2571</v>
      </c>
      <c r="C41" s="2159" t="s">
        <v>3285</v>
      </c>
      <c r="D41" s="132">
        <v>100</v>
      </c>
      <c r="E41" s="2159" t="s">
        <v>3288</v>
      </c>
      <c r="F41" s="394">
        <f>SUMIF(123:123,E41,124:124)-SUMIF(123:123,C41,124:124)+100</f>
        <v>98.5</v>
      </c>
      <c r="G41" s="2159" t="s">
        <v>3288</v>
      </c>
      <c r="H41" s="394">
        <f>SUMIF(123:123,G41,124:124)-SUMIF(123:123,C41,124:124)+100</f>
        <v>98.5</v>
      </c>
      <c r="I41" s="2159" t="s">
        <v>3288</v>
      </c>
      <c r="J41" s="394">
        <f>SUMIF(123:123,I41,124:124)-SUMIF(123:123,C41,124:124)+100</f>
        <v>98.5</v>
      </c>
      <c r="K41" s="569">
        <v>0.5</v>
      </c>
      <c r="L41" s="2936"/>
      <c r="M41" s="2937"/>
      <c r="N41" s="2937"/>
      <c r="O41" s="2991"/>
      <c r="P41" s="3341"/>
      <c r="Q41" s="1530" t="str">
        <f t="shared" si="14"/>
        <v>宗地开发程度</v>
      </c>
      <c r="R41" s="710" t="s">
        <v>17</v>
      </c>
      <c r="S41" s="711">
        <f t="shared" si="10"/>
        <v>98.5</v>
      </c>
      <c r="T41" s="710" t="s">
        <v>17</v>
      </c>
      <c r="U41" s="711">
        <f t="shared" si="11"/>
        <v>98.5</v>
      </c>
      <c r="V41" s="710" t="s">
        <v>17</v>
      </c>
      <c r="W41" s="711">
        <f t="shared" si="12"/>
        <v>98.5</v>
      </c>
      <c r="X41" s="712"/>
      <c r="Y41" s="3341"/>
      <c r="Z41" s="55" t="str">
        <f t="shared" si="13"/>
        <v>宗地开发程度</v>
      </c>
      <c r="AA41" s="713">
        <f t="shared" si="3"/>
        <v>1.015228426395939</v>
      </c>
      <c r="AB41" s="713">
        <f t="shared" si="4"/>
        <v>1.015228426395939</v>
      </c>
      <c r="AC41" s="713">
        <f t="shared" si="5"/>
        <v>1.015228426395939</v>
      </c>
    </row>
    <row r="42" spans="1:29" ht="15">
      <c r="A42" s="431"/>
      <c r="B42" s="381" t="s">
        <v>2572</v>
      </c>
      <c r="C42" s="2085" t="s">
        <v>3274</v>
      </c>
      <c r="D42" s="394">
        <v>100</v>
      </c>
      <c r="E42" s="2085" t="s">
        <v>3274</v>
      </c>
      <c r="F42" s="394">
        <f>SUMIF(125:125,E42,126:126)-SUMIF(125:125,C42,126:126)+100</f>
        <v>100</v>
      </c>
      <c r="G42" s="2085" t="s">
        <v>3274</v>
      </c>
      <c r="H42" s="394">
        <f>SUMIF(125:125,G42,126:126)-SUMIF(125:125,C42,126:126)+100</f>
        <v>100</v>
      </c>
      <c r="I42" s="2085" t="s">
        <v>3274</v>
      </c>
      <c r="J42" s="394">
        <f>SUMIF(125:125,I42,126:126)-SUMIF(125:125,C42,126:126)+100</f>
        <v>100</v>
      </c>
      <c r="K42" s="569">
        <v>2</v>
      </c>
      <c r="L42" s="2941"/>
      <c r="M42" s="2935"/>
      <c r="N42" s="2935"/>
      <c r="O42" s="2993"/>
      <c r="P42" s="3341" t="s">
        <v>2382</v>
      </c>
      <c r="Q42" s="1530" t="str">
        <f t="shared" si="14"/>
        <v>工程地质条件</v>
      </c>
      <c r="R42" s="714" t="s">
        <v>17</v>
      </c>
      <c r="S42" s="715">
        <f t="shared" si="10"/>
        <v>100</v>
      </c>
      <c r="T42" s="714" t="s">
        <v>17</v>
      </c>
      <c r="U42" s="715">
        <f t="shared" si="11"/>
        <v>100</v>
      </c>
      <c r="V42" s="714" t="s">
        <v>17</v>
      </c>
      <c r="W42" s="715">
        <f t="shared" si="12"/>
        <v>100</v>
      </c>
      <c r="X42" s="1533"/>
      <c r="Y42" s="3341" t="s">
        <v>2382</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341"/>
      <c r="Q43" s="1530">
        <f t="shared" si="14"/>
        <v>111</v>
      </c>
      <c r="R43" s="714" t="s">
        <v>17</v>
      </c>
      <c r="S43" s="715">
        <f t="shared" si="10"/>
        <v>100</v>
      </c>
      <c r="T43" s="714" t="s">
        <v>17</v>
      </c>
      <c r="U43" s="715">
        <f t="shared" si="11"/>
        <v>100</v>
      </c>
      <c r="V43" s="714" t="s">
        <v>17</v>
      </c>
      <c r="W43" s="715">
        <f t="shared" si="12"/>
        <v>100</v>
      </c>
      <c r="X43" s="1533"/>
      <c r="Y43" s="3341"/>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341"/>
      <c r="Q44" s="1530">
        <f t="shared" si="14"/>
        <v>111</v>
      </c>
      <c r="R44" s="714" t="s">
        <v>17</v>
      </c>
      <c r="S44" s="715">
        <f t="shared" si="10"/>
        <v>100</v>
      </c>
      <c r="T44" s="714" t="s">
        <v>17</v>
      </c>
      <c r="U44" s="715">
        <f t="shared" si="11"/>
        <v>100</v>
      </c>
      <c r="V44" s="714" t="s">
        <v>17</v>
      </c>
      <c r="W44" s="715">
        <f t="shared" si="12"/>
        <v>100</v>
      </c>
      <c r="X44" s="1533"/>
      <c r="Y44" s="3341"/>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341"/>
      <c r="Q45" s="1530">
        <f t="shared" si="14"/>
        <v>111</v>
      </c>
      <c r="R45" s="717" t="s">
        <v>17</v>
      </c>
      <c r="S45" s="718">
        <f t="shared" si="10"/>
        <v>100</v>
      </c>
      <c r="T45" s="717" t="s">
        <v>17</v>
      </c>
      <c r="U45" s="718">
        <f t="shared" si="11"/>
        <v>100</v>
      </c>
      <c r="V45" s="717" t="s">
        <v>17</v>
      </c>
      <c r="W45" s="718">
        <f t="shared" si="12"/>
        <v>100</v>
      </c>
      <c r="X45" s="719"/>
      <c r="Y45" s="3341"/>
      <c r="Z45" s="720">
        <f t="shared" si="13"/>
        <v>111</v>
      </c>
      <c r="AA45" s="1531">
        <f t="shared" si="3"/>
        <v>1</v>
      </c>
      <c r="AB45" s="1531">
        <f t="shared" si="4"/>
        <v>1</v>
      </c>
      <c r="AC45" s="1531">
        <f t="shared" si="5"/>
        <v>1</v>
      </c>
    </row>
    <row r="46" spans="1:29" ht="15">
      <c r="A46" s="438" t="s">
        <v>2537</v>
      </c>
      <c r="B46" s="2161" t="s">
        <v>2573</v>
      </c>
      <c r="C46" s="638" t="s">
        <v>1</v>
      </c>
      <c r="D46" s="440"/>
      <c r="E46" s="441">
        <f>ROUND(土地案例!AL2,0)</f>
        <v>26563</v>
      </c>
      <c r="F46" s="442"/>
      <c r="G46" s="441">
        <f>ROUND(土地案例!AL3,0)</f>
        <v>33810</v>
      </c>
      <c r="H46" s="444"/>
      <c r="I46" s="441">
        <f>ROUND(土地案例!AL4,0)</f>
        <v>27125</v>
      </c>
      <c r="J46" s="444"/>
      <c r="K46" s="723"/>
      <c r="L46" s="2943"/>
      <c r="M46" s="2944"/>
      <c r="N46" s="2935"/>
      <c r="O46" s="2944"/>
      <c r="P46" s="3323" t="str">
        <f>A46</f>
        <v>成交单价</v>
      </c>
      <c r="Q46" s="3323"/>
      <c r="R46" s="3336">
        <f>E46</f>
        <v>26563</v>
      </c>
      <c r="S46" s="3336"/>
      <c r="T46" s="3336">
        <f>G46</f>
        <v>33810</v>
      </c>
      <c r="U46" s="3336"/>
      <c r="V46" s="3336">
        <f>I46</f>
        <v>27125</v>
      </c>
      <c r="W46" s="3336"/>
      <c r="X46" s="699"/>
      <c r="Y46" s="721"/>
      <c r="Z46" s="699"/>
      <c r="AA46" s="699"/>
      <c r="AB46" s="699"/>
      <c r="AC46" s="699"/>
    </row>
    <row r="47" spans="1:29" ht="15.75" thickBot="1">
      <c r="A47" s="445" t="s">
        <v>2486</v>
      </c>
      <c r="B47" s="639"/>
      <c r="C47" s="448">
        <f>R48</f>
        <v>28242</v>
      </c>
      <c r="D47" s="2531" t="s">
        <v>2876</v>
      </c>
      <c r="E47" s="448">
        <f>R47</f>
        <v>25561</v>
      </c>
      <c r="F47" s="2532"/>
      <c r="G47" s="447">
        <f>T47</f>
        <v>32654</v>
      </c>
      <c r="H47" s="2532"/>
      <c r="I47" s="448">
        <f>V47</f>
        <v>26510</v>
      </c>
      <c r="J47" s="2532"/>
      <c r="K47" s="2534">
        <f>F47+H47+J47</f>
        <v>0</v>
      </c>
      <c r="L47" s="2943"/>
      <c r="M47" s="2944"/>
      <c r="N47" s="2944"/>
      <c r="O47" s="2944"/>
      <c r="P47" s="3323" t="str">
        <f>A47</f>
        <v>比较价值（元/平方米）</v>
      </c>
      <c r="Q47" s="3323"/>
      <c r="R47" s="3342">
        <f>ROUND(PRODUCT(R46,AA7:AA45),0)</f>
        <v>25561</v>
      </c>
      <c r="S47" s="3342"/>
      <c r="T47" s="3342">
        <f>ROUND(PRODUCT(T46,AB7:AB45),0)</f>
        <v>32654</v>
      </c>
      <c r="U47" s="3342"/>
      <c r="V47" s="3342">
        <f>ROUND(PRODUCT(V46,AC7:AC45),0)</f>
        <v>26510</v>
      </c>
      <c r="W47" s="3342"/>
      <c r="X47" s="699"/>
      <c r="Y47" s="699"/>
      <c r="Z47" s="699"/>
      <c r="AA47" s="699"/>
      <c r="AB47" s="699"/>
      <c r="AC47" s="699"/>
    </row>
    <row r="48" spans="1:29" ht="15.75" thickBot="1">
      <c r="A48" s="449" t="s">
        <v>2574</v>
      </c>
      <c r="B48" s="450"/>
      <c r="C48" s="451">
        <f>R48</f>
        <v>28242</v>
      </c>
      <c r="D48" s="451"/>
      <c r="E48" s="451"/>
      <c r="F48" s="451"/>
      <c r="G48" s="451"/>
      <c r="H48" s="451"/>
      <c r="I48" s="451"/>
      <c r="J48" s="451"/>
      <c r="K48" s="724"/>
      <c r="L48" s="2943"/>
      <c r="M48" s="2944"/>
      <c r="N48" s="2944"/>
      <c r="O48" s="2944"/>
      <c r="P48" s="3343" t="str">
        <f>A48</f>
        <v>估价对象XX用房的比较价值（楼面单价，元/平方米）</v>
      </c>
      <c r="Q48" s="3344"/>
      <c r="R48" s="3345">
        <f>ROUND(IF(D47="简单平均",AVERAGE(R47:W47),R47*F47+T47*H47+V47*J47),0)</f>
        <v>28242</v>
      </c>
      <c r="S48" s="3345"/>
      <c r="T48" s="3345"/>
      <c r="U48" s="3345"/>
      <c r="V48" s="3345"/>
      <c r="W48" s="3345"/>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2488</v>
      </c>
      <c r="D51" s="455"/>
      <c r="E51" s="456">
        <f>IF(E46&lt;E47,E47/E46-1,E46/E47-1)</f>
        <v>3.9200344274480603E-2</v>
      </c>
      <c r="F51" s="457" t="str">
        <f>IF(OR(E51&gt;=0.3,E51&lt;=-0.3),"超过30%","")</f>
        <v/>
      </c>
      <c r="G51" s="456">
        <f>IF(G46&lt;G47,G47/G46-1,G46/G47-1)</f>
        <v>3.5401482207386481E-2</v>
      </c>
      <c r="H51" s="457" t="str">
        <f>IF(OR(G51&gt;=0.3,G51&lt;=-0.3),"超过30%","")</f>
        <v/>
      </c>
      <c r="I51" s="456">
        <f>IF(I46&lt;I47,I47/I46-1,I46/I47-1)</f>
        <v>2.3198792908336374E-2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2489</v>
      </c>
      <c r="D52" s="458"/>
      <c r="E52" s="456">
        <f>IF(E47&lt;G47,G47/E47-1,E47/G47-1)</f>
        <v>0.27749305582723682</v>
      </c>
      <c r="F52" s="457" t="str">
        <f>IF(OR(E52&gt;=0.2,E52&lt;=-0.2),"超过20%","")</f>
        <v>超过20%</v>
      </c>
      <c r="G52" s="456">
        <f>IF(G47&lt;I47,I47/G47-1,G47/I47-1)</f>
        <v>0.23176159939645413</v>
      </c>
      <c r="H52" s="457" t="str">
        <f>IF(OR(G52&gt;=0.2,G52&lt;=-0.2),"超过20%","")</f>
        <v>超过20%</v>
      </c>
      <c r="I52" s="456">
        <f>IF(I47&lt;E47,E47/I47-1,I47/E47-1)</f>
        <v>3.7126872970540958E-2</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2490</v>
      </c>
      <c r="D53" s="458"/>
      <c r="E53" s="456">
        <f>IF(E46&lt;G46,G46/E46-1,E46/G46-1)</f>
        <v>0.27282309980047437</v>
      </c>
      <c r="F53" s="457" t="str">
        <f>IF(OR(E53&gt;=0.3,E53&lt;=-0.3),"超过30%","")</f>
        <v/>
      </c>
      <c r="G53" s="456">
        <f>IF(G46&lt;I46,I46/G46-1,G46/I46-1)</f>
        <v>0.2464516129032257</v>
      </c>
      <c r="H53" s="457" t="str">
        <f>IF(OR(G53&gt;=0.3,G53&lt;=-0.3),"超过30%","")</f>
        <v/>
      </c>
      <c r="I53" s="456">
        <f>IF(I46&lt;E46,E46/I46-1,I46/E46-1)</f>
        <v>2.1157248804728468E-2</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2575</v>
      </c>
      <c r="B55" s="641" t="s">
        <v>2576</v>
      </c>
      <c r="C55" s="2162" t="s">
        <v>2577</v>
      </c>
      <c r="D55" s="2163" t="s">
        <v>2578</v>
      </c>
      <c r="E55" s="642" t="s">
        <v>2579</v>
      </c>
      <c r="F55" s="1015" t="s">
        <v>2580</v>
      </c>
      <c r="G55" s="3324" t="s">
        <v>2581</v>
      </c>
      <c r="H55" s="3346"/>
      <c r="I55" s="140" t="s">
        <v>2582</v>
      </c>
      <c r="J55" s="2164">
        <f>项目基本情况!F35</f>
        <v>0</v>
      </c>
      <c r="K55" s="2165" t="s">
        <v>2583</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2584</v>
      </c>
      <c r="B56" s="645">
        <f>C48</f>
        <v>28242</v>
      </c>
      <c r="C56" s="646">
        <v>1</v>
      </c>
      <c r="D56" s="1069">
        <v>1</v>
      </c>
      <c r="E56" s="646">
        <f>'数据-汇总表'!E8+'数据-汇总表'!E9</f>
        <v>68210</v>
      </c>
      <c r="F56" s="1011">
        <f t="shared" ref="F56:F65" si="15">ROUND(B56*E56/10000,0)</f>
        <v>192639</v>
      </c>
      <c r="G56" s="3347"/>
      <c r="H56" s="3323"/>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2585</v>
      </c>
      <c r="B57" s="224">
        <f>ROUND($C$48*C57*D57,0)</f>
        <v>4942</v>
      </c>
      <c r="C57" s="176">
        <f t="shared" ref="C57:C65" si="16">IF($C$55="北京市系数",I57,J57)</f>
        <v>0.7</v>
      </c>
      <c r="D57" s="1070">
        <v>0.25</v>
      </c>
      <c r="E57" s="650">
        <f>'数据-汇总表'!G19</f>
        <v>8892</v>
      </c>
      <c r="F57" s="1011">
        <f t="shared" si="15"/>
        <v>4394</v>
      </c>
      <c r="G57" s="3348" t="s">
        <v>2586</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2587</v>
      </c>
      <c r="B58" s="224">
        <f t="shared" ref="B58:B65" si="17">ROUND($C$48*C58*D58,0)</f>
        <v>2824</v>
      </c>
      <c r="C58" s="176">
        <f t="shared" si="16"/>
        <v>0.4</v>
      </c>
      <c r="D58" s="1070">
        <v>0.25</v>
      </c>
      <c r="E58" s="650"/>
      <c r="F58" s="1011">
        <f t="shared" si="15"/>
        <v>0</v>
      </c>
      <c r="G58" s="3348"/>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2588</v>
      </c>
      <c r="B59" s="224">
        <f t="shared" si="17"/>
        <v>1977</v>
      </c>
      <c r="C59" s="176">
        <f t="shared" si="16"/>
        <v>0.28000000000000003</v>
      </c>
      <c r="D59" s="1070">
        <v>0.25</v>
      </c>
      <c r="E59" s="650"/>
      <c r="F59" s="1011">
        <f t="shared" si="15"/>
        <v>0</v>
      </c>
      <c r="G59" s="3348"/>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2589</v>
      </c>
      <c r="B60" s="224">
        <f t="shared" si="17"/>
        <v>1765</v>
      </c>
      <c r="C60" s="176">
        <f t="shared" si="16"/>
        <v>0.25</v>
      </c>
      <c r="D60" s="1070">
        <v>0.25</v>
      </c>
      <c r="E60" s="650"/>
      <c r="F60" s="1011">
        <f t="shared" si="15"/>
        <v>0</v>
      </c>
      <c r="G60" s="3348"/>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2590</v>
      </c>
      <c r="B61" s="224">
        <f t="shared" si="17"/>
        <v>1765</v>
      </c>
      <c r="C61" s="176">
        <f t="shared" si="16"/>
        <v>0.25</v>
      </c>
      <c r="D61" s="1070">
        <v>0.25</v>
      </c>
      <c r="E61" s="223">
        <f>'数据-汇总表'!E11</f>
        <v>0</v>
      </c>
      <c r="F61" s="1011">
        <f t="shared" si="15"/>
        <v>0</v>
      </c>
      <c r="G61" s="2166" t="s">
        <v>2591</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2592</v>
      </c>
      <c r="B62" s="224">
        <f t="shared" si="17"/>
        <v>1765</v>
      </c>
      <c r="C62" s="176">
        <f t="shared" si="16"/>
        <v>0.25</v>
      </c>
      <c r="D62" s="1070">
        <v>0.25</v>
      </c>
      <c r="E62" s="223">
        <f>'数据-汇总表'!E12</f>
        <v>0</v>
      </c>
      <c r="F62" s="1011">
        <f t="shared" si="15"/>
        <v>0</v>
      </c>
      <c r="G62" s="1017" t="s">
        <v>27</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2594</v>
      </c>
      <c r="B63" s="224">
        <f t="shared" si="17"/>
        <v>1412</v>
      </c>
      <c r="C63" s="176">
        <f t="shared" si="16"/>
        <v>0.2</v>
      </c>
      <c r="D63" s="1070">
        <v>0.25</v>
      </c>
      <c r="E63" s="223">
        <f>'数据-汇总表'!E13</f>
        <v>23509</v>
      </c>
      <c r="F63" s="1011">
        <f t="shared" si="15"/>
        <v>3319</v>
      </c>
      <c r="G63" s="1017" t="s">
        <v>3292</v>
      </c>
      <c r="H63" s="1012" t="str">
        <f>IF(G63="商业",项目基本情况!B37,IF(G63="办公",项目基本情况!C37,IF(G63="住宅",项目基本情况!D37,项目基本情况!E37)))</f>
        <v>五级</v>
      </c>
      <c r="I63" s="1016">
        <f>SUMIF(修正!A45:A56,H63,修正!H45:H56)</f>
        <v>0.2</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2596</v>
      </c>
      <c r="B64" s="224">
        <f t="shared" si="17"/>
        <v>1412</v>
      </c>
      <c r="C64" s="176">
        <f t="shared" si="16"/>
        <v>0.2</v>
      </c>
      <c r="D64" s="1070">
        <v>0.25</v>
      </c>
      <c r="E64" s="223">
        <f>'数据-汇总表'!E14</f>
        <v>0</v>
      </c>
      <c r="F64" s="1011">
        <f t="shared" si="15"/>
        <v>0</v>
      </c>
      <c r="G64" s="2166" t="s">
        <v>2586</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2597</v>
      </c>
      <c r="B65" s="224">
        <f t="shared" si="17"/>
        <v>1412</v>
      </c>
      <c r="C65" s="176">
        <f t="shared" si="16"/>
        <v>0.2</v>
      </c>
      <c r="D65" s="1070">
        <v>0.25</v>
      </c>
      <c r="E65" s="223">
        <f>'数据-汇总表'!E15</f>
        <v>0</v>
      </c>
      <c r="F65" s="1011">
        <f t="shared" si="15"/>
        <v>0</v>
      </c>
      <c r="G65" s="2167" t="s">
        <v>2591</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2598</v>
      </c>
      <c r="B66" s="652" t="s">
        <v>28</v>
      </c>
      <c r="C66" s="652" t="s">
        <v>29</v>
      </c>
      <c r="D66" s="652" t="s">
        <v>997</v>
      </c>
      <c r="E66" s="652">
        <f>IF(B46="楼面地价",SUM(E56:E65),'数据-汇总表'!D3)</f>
        <v>100611</v>
      </c>
      <c r="F66" s="653">
        <f>IF(B46="楼面地价",SUM(F56:F65),ROUND(C48*E66/10000,0))</f>
        <v>200352</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54">
        <f t="shared" ref="P68" si="19">EDATE(O68,-3)</f>
        <v>43101</v>
      </c>
      <c r="Q68" s="1054">
        <f t="shared" ref="Q68" si="20">EDATE(P68,-3)</f>
        <v>43009</v>
      </c>
      <c r="R68" s="1054">
        <f t="shared" ref="R68" si="21">EDATE(Q68,-3)</f>
        <v>42917</v>
      </c>
      <c r="S68" s="1054">
        <f t="shared" ref="S68" si="22">EDATE(R68,-3)</f>
        <v>42826</v>
      </c>
      <c r="T68" s="2944"/>
      <c r="U68" s="2944"/>
      <c r="V68" s="2944"/>
      <c r="W68" s="2944"/>
      <c r="X68" s="2944"/>
      <c r="Y68" s="2944"/>
      <c r="Z68" s="2944"/>
      <c r="AA68" s="2944"/>
      <c r="AB68" s="2944"/>
      <c r="AC68" s="2944"/>
    </row>
    <row r="69" spans="1:29" ht="21.75" thickBot="1">
      <c r="A69" s="703" t="s">
        <v>2491</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28.5">
      <c r="A70" s="2168" t="s">
        <v>2599</v>
      </c>
      <c r="B70" s="1263"/>
      <c r="C70" s="1337" t="str">
        <f>YEAR(C68)&amp;"-"&amp;ROUNDUP(MONTH(C68)/3,0)</f>
        <v>2021-2</v>
      </c>
      <c r="D70" s="1337" t="str">
        <f>YEAR(D68)&amp;"-"&amp;ROUNDUP(MONTH(D68)/3,0)</f>
        <v>2021-1</v>
      </c>
      <c r="E70" s="1337" t="str">
        <f t="shared" ref="E70:O70" si="23">YEAR(E68)&amp;"-"&amp;ROUNDUP(MONTH(E68)/3,0)</f>
        <v>2020-4</v>
      </c>
      <c r="F70" s="1337" t="str">
        <f t="shared" si="23"/>
        <v>2020-3</v>
      </c>
      <c r="G70" s="1337" t="str">
        <f t="shared" si="23"/>
        <v>2020-2</v>
      </c>
      <c r="H70" s="1337" t="str">
        <f t="shared" si="23"/>
        <v>2020-1</v>
      </c>
      <c r="I70" s="1337" t="str">
        <f t="shared" si="23"/>
        <v>2019-4</v>
      </c>
      <c r="J70" s="1337" t="str">
        <f t="shared" si="23"/>
        <v>2019-3</v>
      </c>
      <c r="K70" s="1337" t="str">
        <f t="shared" si="23"/>
        <v>2019-2</v>
      </c>
      <c r="L70" s="1337" t="str">
        <f t="shared" si="23"/>
        <v>2019-1</v>
      </c>
      <c r="M70" s="1337" t="str">
        <f t="shared" si="23"/>
        <v>2018-4</v>
      </c>
      <c r="N70" s="1337" t="str">
        <f t="shared" si="23"/>
        <v>2018-3</v>
      </c>
      <c r="O70" s="1337" t="str">
        <f t="shared" si="23"/>
        <v>2018-2</v>
      </c>
      <c r="P70" s="3063" t="str">
        <f t="shared" ref="P70:S70" si="24">YEAR(P68)&amp;"-"&amp;ROUNDUP(MONTH(P68)/3,0)</f>
        <v>2018-1</v>
      </c>
      <c r="Q70" s="3063" t="str">
        <f t="shared" si="24"/>
        <v>2017-4</v>
      </c>
      <c r="R70" s="3063" t="str">
        <f t="shared" si="24"/>
        <v>2017-3</v>
      </c>
      <c r="S70" s="3063" t="str">
        <f t="shared" si="24"/>
        <v>2017-2</v>
      </c>
      <c r="T70" s="2960"/>
      <c r="U70" s="2960"/>
      <c r="V70" s="2960"/>
      <c r="W70" s="2960"/>
      <c r="X70" s="2960"/>
      <c r="Y70" s="2960"/>
      <c r="Z70" s="2960"/>
      <c r="AA70" s="2960"/>
      <c r="AB70" s="2960"/>
      <c r="AC70" s="2960"/>
    </row>
    <row r="71" spans="1:29" s="113" customFormat="1" ht="30" customHeight="1">
      <c r="A71" s="2169" t="s">
        <v>2600</v>
      </c>
      <c r="B71" s="294" t="str">
        <f>"北京市平均增长率"&amp;TEXT(SUMIF(基准地价修正!N21:N25,A71,基准地价修正!P21:P25),"0.00%")</f>
        <v>北京市平均增长率1.87%</v>
      </c>
      <c r="C71" s="560">
        <v>100</v>
      </c>
      <c r="D71" s="552">
        <f>C71-0.1</f>
        <v>99.9</v>
      </c>
      <c r="E71" s="552">
        <f t="shared" ref="E71:S71" si="25">D71-0.1</f>
        <v>99.800000000000011</v>
      </c>
      <c r="F71" s="552">
        <f t="shared" si="25"/>
        <v>99.700000000000017</v>
      </c>
      <c r="G71" s="552">
        <f t="shared" si="25"/>
        <v>99.600000000000023</v>
      </c>
      <c r="H71" s="552">
        <f t="shared" si="25"/>
        <v>99.500000000000028</v>
      </c>
      <c r="I71" s="552">
        <f t="shared" si="25"/>
        <v>99.400000000000034</v>
      </c>
      <c r="J71" s="552">
        <f t="shared" si="25"/>
        <v>99.30000000000004</v>
      </c>
      <c r="K71" s="552">
        <f t="shared" si="25"/>
        <v>99.200000000000045</v>
      </c>
      <c r="L71" s="552">
        <f t="shared" si="25"/>
        <v>99.100000000000051</v>
      </c>
      <c r="M71" s="552">
        <f t="shared" si="25"/>
        <v>99.000000000000057</v>
      </c>
      <c r="N71" s="552">
        <f t="shared" si="25"/>
        <v>98.900000000000063</v>
      </c>
      <c r="O71" s="552">
        <f t="shared" si="25"/>
        <v>98.800000000000068</v>
      </c>
      <c r="P71" s="552">
        <f t="shared" si="25"/>
        <v>98.700000000000074</v>
      </c>
      <c r="Q71" s="552">
        <f t="shared" si="25"/>
        <v>98.60000000000008</v>
      </c>
      <c r="R71" s="552">
        <f t="shared" si="25"/>
        <v>98.500000000000085</v>
      </c>
      <c r="S71" s="552">
        <f t="shared" si="25"/>
        <v>98.400000000000091</v>
      </c>
      <c r="T71" s="2878"/>
      <c r="U71" s="2878"/>
      <c r="V71" s="2878"/>
      <c r="W71" s="2878"/>
      <c r="X71" s="2878"/>
      <c r="Y71" s="2878"/>
      <c r="Z71" s="2878"/>
      <c r="AA71" s="2878"/>
      <c r="AB71" s="2878"/>
      <c r="AC71" s="2878"/>
    </row>
    <row r="72" spans="1:29" s="113" customFormat="1" ht="15.75" thickBot="1">
      <c r="A72" s="472" t="s">
        <v>2402</v>
      </c>
      <c r="B72" s="473"/>
      <c r="C72" s="474"/>
      <c r="D72" s="475"/>
      <c r="E72" s="475"/>
      <c r="F72" s="475"/>
      <c r="G72" s="475"/>
      <c r="H72" s="475"/>
      <c r="I72" s="475"/>
      <c r="J72" s="475"/>
      <c r="K72" s="475"/>
      <c r="L72" s="475"/>
      <c r="M72" s="476"/>
      <c r="N72" s="475"/>
      <c r="O72" s="1068"/>
      <c r="P72" s="1068"/>
      <c r="Q72" s="1068"/>
      <c r="R72" s="1068"/>
      <c r="S72" s="1068"/>
      <c r="T72" s="2878"/>
      <c r="U72" s="2878"/>
      <c r="V72" s="2878"/>
      <c r="W72" s="2878"/>
      <c r="X72" s="2878"/>
      <c r="Y72" s="2878"/>
      <c r="Z72" s="2878"/>
      <c r="AA72" s="2878"/>
      <c r="AB72" s="2878"/>
      <c r="AC72" s="2878"/>
    </row>
    <row r="73" spans="1:29" s="113" customFormat="1" ht="15">
      <c r="A73" s="478" t="s">
        <v>2367</v>
      </c>
      <c r="B73" s="467"/>
      <c r="C73" s="479" t="s">
        <v>2469</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29">
      <c r="A75" s="484" t="s">
        <v>2405</v>
      </c>
      <c r="B75" s="485" t="s">
        <v>2371</v>
      </c>
      <c r="C75" s="3062" t="s">
        <v>3270</v>
      </c>
      <c r="D75" s="3062" t="s">
        <v>3272</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v>97</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2374</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2375</v>
      </c>
      <c r="C79" s="504" t="str">
        <f>C80&amp;"（含）"&amp;"-"&amp;D80</f>
        <v>0（含）-1</v>
      </c>
      <c r="D79" s="504" t="str">
        <f t="shared" ref="D79:L79" si="26">D80&amp;"（含）"&amp;"-"&amp;E80</f>
        <v>1（含）-2</v>
      </c>
      <c r="E79" s="504" t="str">
        <f t="shared" si="26"/>
        <v>2（含）-3</v>
      </c>
      <c r="F79" s="504" t="str">
        <f t="shared" si="26"/>
        <v>3（含）-4</v>
      </c>
      <c r="G79" s="504" t="str">
        <f t="shared" si="26"/>
        <v>4（含）-5</v>
      </c>
      <c r="H79" s="504" t="str">
        <f t="shared" si="26"/>
        <v>5（含）-6</v>
      </c>
      <c r="I79" s="504" t="str">
        <f t="shared" si="26"/>
        <v>6（含）-7</v>
      </c>
      <c r="J79" s="504" t="str">
        <f t="shared" si="26"/>
        <v>7（含）-8</v>
      </c>
      <c r="K79" s="504" t="str">
        <f t="shared" si="26"/>
        <v>8（含）-9</v>
      </c>
      <c r="L79" s="504" t="str">
        <f t="shared" si="26"/>
        <v>9（含）-10</v>
      </c>
      <c r="M79" s="407" t="str">
        <f>M80&amp;"（含）"&amp;"-"&amp;P80</f>
        <v>10（含）-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v>6</v>
      </c>
      <c r="J80" s="506">
        <v>7</v>
      </c>
      <c r="K80" s="506">
        <v>8</v>
      </c>
      <c r="L80" s="506">
        <v>9</v>
      </c>
      <c r="M80" s="506">
        <v>10</v>
      </c>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7">IF($B$46="单位面积地价",C81+$K11,C81-$K11)</f>
        <v>99</v>
      </c>
      <c r="E81" s="501">
        <f t="shared" si="27"/>
        <v>98</v>
      </c>
      <c r="F81" s="501">
        <f t="shared" si="27"/>
        <v>97</v>
      </c>
      <c r="G81" s="501">
        <f t="shared" si="27"/>
        <v>96</v>
      </c>
      <c r="H81" s="501">
        <f t="shared" si="27"/>
        <v>95</v>
      </c>
      <c r="I81" s="501">
        <f t="shared" si="27"/>
        <v>94</v>
      </c>
      <c r="J81" s="501">
        <f t="shared" si="27"/>
        <v>93</v>
      </c>
      <c r="K81" s="501">
        <f t="shared" si="27"/>
        <v>92</v>
      </c>
      <c r="L81" s="501">
        <f t="shared" si="27"/>
        <v>91</v>
      </c>
      <c r="M81" s="501">
        <f t="shared" si="27"/>
        <v>90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3073" t="s">
        <v>3300</v>
      </c>
      <c r="D82" s="3073" t="s">
        <v>3315</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95</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2376</v>
      </c>
      <c r="B88" s="485" t="s">
        <v>2413</v>
      </c>
      <c r="C88" s="530" t="s">
        <v>2414</v>
      </c>
      <c r="D88" s="530" t="s">
        <v>2415</v>
      </c>
      <c r="E88" s="530" t="s">
        <v>2416</v>
      </c>
      <c r="F88" s="530" t="s">
        <v>2417</v>
      </c>
      <c r="G88" s="530" t="s">
        <v>2418</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2414</v>
      </c>
      <c r="D90" s="535" t="s">
        <v>2415</v>
      </c>
      <c r="E90" s="535" t="s">
        <v>2416</v>
      </c>
      <c r="F90" s="535" t="s">
        <v>2417</v>
      </c>
      <c r="G90" s="535" t="s">
        <v>2418</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95</v>
      </c>
      <c r="E91" s="501">
        <f>D91-$K17</f>
        <v>90</v>
      </c>
      <c r="F91" s="501">
        <f>E91-$K17</f>
        <v>85</v>
      </c>
      <c r="G91" s="501">
        <f>F91-$K17</f>
        <v>80</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2514</v>
      </c>
      <c r="C92" s="535" t="s">
        <v>2414</v>
      </c>
      <c r="D92" s="535" t="s">
        <v>2415</v>
      </c>
      <c r="E92" s="535" t="s">
        <v>2416</v>
      </c>
      <c r="F92" s="535" t="s">
        <v>2417</v>
      </c>
      <c r="G92" s="535" t="s">
        <v>2418</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95</v>
      </c>
      <c r="E93" s="501">
        <f>D93-$K19</f>
        <v>90</v>
      </c>
      <c r="F93" s="501">
        <f>E93-$K19</f>
        <v>85</v>
      </c>
      <c r="G93" s="501">
        <f>F93-$K19</f>
        <v>80</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2419</v>
      </c>
      <c r="C94" s="535" t="s">
        <v>2414</v>
      </c>
      <c r="D94" s="535" t="s">
        <v>2415</v>
      </c>
      <c r="E94" s="535" t="s">
        <v>2416</v>
      </c>
      <c r="F94" s="535" t="s">
        <v>2417</v>
      </c>
      <c r="G94" s="535" t="s">
        <v>2418</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98</v>
      </c>
      <c r="E105" s="501">
        <f t="shared" ref="E105:M105" si="28">D105-$K31</f>
        <v>96</v>
      </c>
      <c r="F105" s="501">
        <f t="shared" si="28"/>
        <v>94</v>
      </c>
      <c r="G105" s="501">
        <f t="shared" si="28"/>
        <v>92</v>
      </c>
      <c r="H105" s="501">
        <f t="shared" si="28"/>
        <v>90</v>
      </c>
      <c r="I105" s="501">
        <f t="shared" si="28"/>
        <v>88</v>
      </c>
      <c r="J105" s="501">
        <f t="shared" si="28"/>
        <v>86</v>
      </c>
      <c r="K105" s="501">
        <f t="shared" si="28"/>
        <v>84</v>
      </c>
      <c r="L105" s="501">
        <f t="shared" si="28"/>
        <v>82</v>
      </c>
      <c r="M105" s="501">
        <f t="shared" si="28"/>
        <v>80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2508</v>
      </c>
      <c r="C106" s="3073" t="s">
        <v>3305</v>
      </c>
      <c r="D106" s="3073" t="s">
        <v>3306</v>
      </c>
      <c r="E106" s="3073" t="s">
        <v>3308</v>
      </c>
      <c r="F106" s="3073" t="s">
        <v>3310</v>
      </c>
      <c r="G106" s="3073" t="s">
        <v>3311</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9">D107-$K32</f>
        <v>98</v>
      </c>
      <c r="F107" s="501">
        <f t="shared" si="29"/>
        <v>97</v>
      </c>
      <c r="G107" s="501">
        <f t="shared" si="29"/>
        <v>96</v>
      </c>
      <c r="H107" s="501">
        <f t="shared" si="29"/>
        <v>95</v>
      </c>
      <c r="I107" s="501">
        <f t="shared" si="29"/>
        <v>94</v>
      </c>
      <c r="J107" s="501">
        <f t="shared" si="29"/>
        <v>93</v>
      </c>
      <c r="K107" s="501">
        <f t="shared" si="29"/>
        <v>92</v>
      </c>
      <c r="L107" s="501">
        <f t="shared" si="29"/>
        <v>91</v>
      </c>
      <c r="M107" s="501">
        <f t="shared" si="29"/>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2567</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2380</v>
      </c>
      <c r="B116" s="485" t="s">
        <v>2608</v>
      </c>
      <c r="C116" s="486" t="str">
        <f>C117&amp;"(含)"&amp;"-"&amp;D117</f>
        <v>0(含)-20000</v>
      </c>
      <c r="D116" s="486" t="str">
        <f t="shared" ref="D116:M116" si="31">D117&amp;"(含)"&amp;"-"&amp;E117</f>
        <v>20000(含)-40000</v>
      </c>
      <c r="E116" s="486" t="str">
        <f t="shared" si="31"/>
        <v>40000(含)-60000</v>
      </c>
      <c r="F116" s="486" t="str">
        <f t="shared" si="31"/>
        <v>60000(含)-</v>
      </c>
      <c r="G116" s="486" t="str">
        <f t="shared" si="31"/>
        <v>(含)-</v>
      </c>
      <c r="H116" s="486" t="str">
        <f t="shared" si="31"/>
        <v>(含)-</v>
      </c>
      <c r="I116" s="486" t="str">
        <f t="shared" si="31"/>
        <v>(含)-</v>
      </c>
      <c r="J116" s="486" t="str">
        <f t="shared" si="31"/>
        <v>(含)-</v>
      </c>
      <c r="K116" s="486" t="str">
        <f t="shared" si="31"/>
        <v>(含)-</v>
      </c>
      <c r="L116" s="486" t="str">
        <f t="shared" si="31"/>
        <v>(含)-</v>
      </c>
      <c r="M116" s="486" t="str">
        <f t="shared" si="31"/>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100</v>
      </c>
      <c r="D118" s="548">
        <f>C118+1</f>
        <v>101</v>
      </c>
      <c r="E118" s="548">
        <f t="shared" ref="E118:F118" si="32">D118+1</f>
        <v>102</v>
      </c>
      <c r="F118" s="548">
        <f t="shared" si="32"/>
        <v>103</v>
      </c>
      <c r="G118" s="548"/>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066" t="s">
        <v>3280</v>
      </c>
      <c r="D119" s="3066" t="s">
        <v>3282</v>
      </c>
      <c r="E119" s="3066" t="s">
        <v>3283</v>
      </c>
      <c r="F119" s="3066" t="s">
        <v>3284</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33">C120-$K39</f>
        <v>98</v>
      </c>
      <c r="E120" s="501">
        <f t="shared" si="33"/>
        <v>96</v>
      </c>
      <c r="F120" s="501">
        <f t="shared" si="33"/>
        <v>94</v>
      </c>
      <c r="G120" s="501">
        <f t="shared" si="33"/>
        <v>92</v>
      </c>
      <c r="H120" s="501">
        <f t="shared" si="33"/>
        <v>90</v>
      </c>
      <c r="I120" s="501">
        <f t="shared" si="33"/>
        <v>88</v>
      </c>
      <c r="J120" s="501">
        <f t="shared" si="33"/>
        <v>86</v>
      </c>
      <c r="K120" s="501">
        <f t="shared" si="33"/>
        <v>84</v>
      </c>
      <c r="L120" s="501">
        <f t="shared" si="33"/>
        <v>82</v>
      </c>
      <c r="M120" s="502">
        <f t="shared" si="33"/>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511" t="s">
        <v>3277</v>
      </c>
      <c r="D121" s="511" t="s">
        <v>3274</v>
      </c>
      <c r="E121" s="511" t="s">
        <v>3273</v>
      </c>
      <c r="F121" s="511" t="s">
        <v>3278</v>
      </c>
      <c r="G121" s="511" t="s">
        <v>3279</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34">C122-$K40</f>
        <v>98</v>
      </c>
      <c r="E122" s="501">
        <f t="shared" si="34"/>
        <v>96</v>
      </c>
      <c r="F122" s="501">
        <f t="shared" si="34"/>
        <v>94</v>
      </c>
      <c r="G122" s="501">
        <f t="shared" si="34"/>
        <v>92</v>
      </c>
      <c r="H122" s="501">
        <f t="shared" si="34"/>
        <v>90</v>
      </c>
      <c r="I122" s="501">
        <f t="shared" si="34"/>
        <v>88</v>
      </c>
      <c r="J122" s="501">
        <f t="shared" si="34"/>
        <v>86</v>
      </c>
      <c r="K122" s="501">
        <f t="shared" si="34"/>
        <v>84</v>
      </c>
      <c r="L122" s="501">
        <f t="shared" si="34"/>
        <v>82</v>
      </c>
      <c r="M122" s="502">
        <f t="shared" si="34"/>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
        <v>3275</v>
      </c>
      <c r="D123" s="511" t="s">
        <v>3285</v>
      </c>
      <c r="E123" s="511" t="s">
        <v>3286</v>
      </c>
      <c r="F123" s="511" t="s">
        <v>3287</v>
      </c>
      <c r="G123" s="511" t="s">
        <v>3288</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99.5</v>
      </c>
      <c r="E124" s="501">
        <f t="shared" ref="E124:M124" si="35">D124-$K41</f>
        <v>99</v>
      </c>
      <c r="F124" s="501">
        <f t="shared" si="35"/>
        <v>98.5</v>
      </c>
      <c r="G124" s="501">
        <f t="shared" si="35"/>
        <v>98</v>
      </c>
      <c r="H124" s="501">
        <f t="shared" si="35"/>
        <v>97.5</v>
      </c>
      <c r="I124" s="501">
        <f t="shared" si="35"/>
        <v>97</v>
      </c>
      <c r="J124" s="501">
        <f t="shared" si="35"/>
        <v>96.5</v>
      </c>
      <c r="K124" s="501">
        <f t="shared" si="35"/>
        <v>96</v>
      </c>
      <c r="L124" s="501">
        <f t="shared" si="35"/>
        <v>95.5</v>
      </c>
      <c r="M124" s="502">
        <f t="shared" si="35"/>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
        <v>3277</v>
      </c>
      <c r="D125" s="511" t="s">
        <v>3274</v>
      </c>
      <c r="E125" s="511" t="s">
        <v>3273</v>
      </c>
      <c r="F125" s="511" t="s">
        <v>3278</v>
      </c>
      <c r="G125" s="511" t="s">
        <v>3279</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6">C126-$K42</f>
        <v>98</v>
      </c>
      <c r="E126" s="501">
        <f t="shared" si="36"/>
        <v>96</v>
      </c>
      <c r="F126" s="501">
        <f t="shared" si="36"/>
        <v>94</v>
      </c>
      <c r="G126" s="501">
        <f t="shared" si="36"/>
        <v>92</v>
      </c>
      <c r="H126" s="501">
        <f t="shared" si="36"/>
        <v>90</v>
      </c>
      <c r="I126" s="501">
        <f t="shared" si="36"/>
        <v>88</v>
      </c>
      <c r="J126" s="501">
        <f t="shared" si="36"/>
        <v>86</v>
      </c>
      <c r="K126" s="501">
        <f t="shared" si="36"/>
        <v>84</v>
      </c>
      <c r="L126" s="501">
        <f t="shared" si="36"/>
        <v>82</v>
      </c>
      <c r="M126" s="502">
        <f t="shared" si="36"/>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V1" workbookViewId="0">
      <selection activeCell="N58" sqref="N58"/>
    </sheetView>
  </sheetViews>
  <sheetFormatPr defaultRowHeight="13.5"/>
  <sheetData>
    <row r="1" spans="1:46" s="3061" customFormat="1" ht="14.25">
      <c r="A1" s="3061" t="s">
        <v>3105</v>
      </c>
      <c r="B1" s="3061" t="s">
        <v>3106</v>
      </c>
      <c r="C1" s="3061" t="s">
        <v>3107</v>
      </c>
      <c r="D1" s="3061" t="s">
        <v>3108</v>
      </c>
      <c r="E1" s="3061" t="s">
        <v>3109</v>
      </c>
      <c r="F1" s="3061" t="s">
        <v>3110</v>
      </c>
      <c r="G1" s="3061" t="s">
        <v>3111</v>
      </c>
      <c r="H1" s="3061" t="s">
        <v>3112</v>
      </c>
      <c r="I1" s="3061" t="s">
        <v>3113</v>
      </c>
      <c r="J1" s="3061" t="s">
        <v>3114</v>
      </c>
      <c r="K1" s="3061" t="s">
        <v>3115</v>
      </c>
      <c r="L1" s="3061" t="s">
        <v>3116</v>
      </c>
      <c r="M1" s="3061" t="s">
        <v>3117</v>
      </c>
      <c r="N1" s="3061" t="s">
        <v>3118</v>
      </c>
      <c r="O1" s="3061" t="s">
        <v>3119</v>
      </c>
      <c r="P1" s="3061" t="s">
        <v>3120</v>
      </c>
      <c r="Q1" s="3061" t="s">
        <v>3121</v>
      </c>
      <c r="R1" s="3061" t="s">
        <v>3122</v>
      </c>
      <c r="S1" s="3061" t="s">
        <v>3123</v>
      </c>
      <c r="T1" s="3061" t="s">
        <v>3124</v>
      </c>
      <c r="U1" s="3061" t="s">
        <v>3125</v>
      </c>
      <c r="V1" s="3061" t="s">
        <v>3126</v>
      </c>
      <c r="W1" s="3061" t="s">
        <v>3127</v>
      </c>
      <c r="X1" s="3061" t="s">
        <v>3128</v>
      </c>
      <c r="Y1" s="3061" t="s">
        <v>3129</v>
      </c>
      <c r="Z1" s="3061" t="s">
        <v>3130</v>
      </c>
      <c r="AA1" s="3061" t="s">
        <v>3131</v>
      </c>
      <c r="AB1" s="3061" t="s">
        <v>3132</v>
      </c>
      <c r="AC1" s="3061" t="s">
        <v>3133</v>
      </c>
      <c r="AD1" s="3061" t="s">
        <v>3134</v>
      </c>
      <c r="AE1" s="3061" t="s">
        <v>3135</v>
      </c>
      <c r="AF1" s="3061" t="s">
        <v>3136</v>
      </c>
      <c r="AG1" s="3061" t="s">
        <v>3137</v>
      </c>
      <c r="AH1" s="3061" t="s">
        <v>3138</v>
      </c>
      <c r="AI1" s="3061" t="s">
        <v>3139</v>
      </c>
      <c r="AJ1" s="3061" t="s">
        <v>3140</v>
      </c>
      <c r="AK1" s="3061" t="s">
        <v>3141</v>
      </c>
      <c r="AL1" s="3061" t="s">
        <v>3142</v>
      </c>
      <c r="AM1" s="3061" t="s">
        <v>3143</v>
      </c>
      <c r="AN1" s="3061" t="s">
        <v>3144</v>
      </c>
      <c r="AO1" s="3061" t="s">
        <v>3145</v>
      </c>
      <c r="AP1" s="3061" t="s">
        <v>3146</v>
      </c>
      <c r="AQ1" s="3061" t="s">
        <v>3147</v>
      </c>
      <c r="AR1" s="3061" t="s">
        <v>3148</v>
      </c>
      <c r="AS1" s="3061" t="s">
        <v>3149</v>
      </c>
      <c r="AT1" s="3061" t="s">
        <v>3150</v>
      </c>
    </row>
    <row r="2" spans="1:46" s="3065" customFormat="1" ht="14.25">
      <c r="A2" s="3065" t="s">
        <v>3151</v>
      </c>
      <c r="B2" s="3065" t="s">
        <v>3061</v>
      </c>
      <c r="C2" s="3065" t="s">
        <v>3152</v>
      </c>
      <c r="D2" s="3065" t="s">
        <v>3153</v>
      </c>
      <c r="E2" s="3065" t="s">
        <v>3154</v>
      </c>
      <c r="F2" s="3065" t="s">
        <v>3155</v>
      </c>
      <c r="G2" s="3065" t="s">
        <v>3156</v>
      </c>
      <c r="H2" s="3065" t="s">
        <v>3157</v>
      </c>
      <c r="I2" s="3065" t="s">
        <v>3158</v>
      </c>
      <c r="J2" s="3065">
        <v>39410.74</v>
      </c>
      <c r="K2" s="3065">
        <v>120000</v>
      </c>
      <c r="L2" s="3065">
        <v>3.04</v>
      </c>
      <c r="M2" s="3065" t="s">
        <v>1298</v>
      </c>
      <c r="N2" s="3065" t="s">
        <v>3159</v>
      </c>
      <c r="O2" s="3065" t="s">
        <v>3160</v>
      </c>
      <c r="P2" s="3065" t="s">
        <v>1298</v>
      </c>
      <c r="Q2" s="3065" t="s">
        <v>1298</v>
      </c>
      <c r="R2" s="3065" t="s">
        <v>1298</v>
      </c>
      <c r="S2" s="3065" t="s">
        <v>1298</v>
      </c>
      <c r="T2" s="3065" t="s">
        <v>3161</v>
      </c>
      <c r="U2" s="3065" t="s">
        <v>3161</v>
      </c>
      <c r="V2" s="3065" t="s">
        <v>1298</v>
      </c>
      <c r="W2" s="3065" t="s">
        <v>3162</v>
      </c>
      <c r="X2" s="3065" t="s">
        <v>3163</v>
      </c>
      <c r="Y2" s="3065" t="s">
        <v>3164</v>
      </c>
      <c r="Z2" s="3065" t="s">
        <v>3164</v>
      </c>
      <c r="AA2" s="3065" t="s">
        <v>3164</v>
      </c>
      <c r="AB2" s="3065" t="s">
        <v>3157</v>
      </c>
      <c r="AC2" s="3065" t="s">
        <v>3165</v>
      </c>
      <c r="AD2" s="3065" t="s">
        <v>3166</v>
      </c>
      <c r="AE2" s="3065" t="s">
        <v>3167</v>
      </c>
      <c r="AF2" s="3065">
        <v>85000</v>
      </c>
      <c r="AG2" s="3065" t="s">
        <v>1298</v>
      </c>
      <c r="AH2" s="3065">
        <v>318758</v>
      </c>
      <c r="AI2" s="3065" t="s">
        <v>1298</v>
      </c>
      <c r="AJ2" s="3065">
        <v>5392.07</v>
      </c>
      <c r="AK2" s="3065" t="s">
        <v>1298</v>
      </c>
      <c r="AL2" s="3065">
        <v>26563.16</v>
      </c>
      <c r="AM2" s="3065" t="s">
        <v>1298</v>
      </c>
      <c r="AN2" s="3065" t="s">
        <v>1298</v>
      </c>
      <c r="AO2" s="3065" t="s">
        <v>1298</v>
      </c>
      <c r="AP2" s="3065" t="s">
        <v>3168</v>
      </c>
      <c r="AQ2" s="3065" t="s">
        <v>1298</v>
      </c>
      <c r="AR2" s="3065" t="s">
        <v>1298</v>
      </c>
      <c r="AS2" s="3065" t="s">
        <v>1298</v>
      </c>
      <c r="AT2" s="3065" t="s">
        <v>3169</v>
      </c>
    </row>
    <row r="3" spans="1:46" s="3065" customFormat="1" ht="14.25">
      <c r="A3" s="3065" t="s">
        <v>3170</v>
      </c>
      <c r="B3" s="3065" t="s">
        <v>3061</v>
      </c>
      <c r="C3" s="3065" t="s">
        <v>3152</v>
      </c>
      <c r="D3" s="3065" t="s">
        <v>3153</v>
      </c>
      <c r="E3" s="3065" t="s">
        <v>3154</v>
      </c>
      <c r="F3" s="3065" t="s">
        <v>3155</v>
      </c>
      <c r="G3" s="3065" t="s">
        <v>3171</v>
      </c>
      <c r="H3" s="3065" t="s">
        <v>3172</v>
      </c>
      <c r="I3" s="3065" t="s">
        <v>3173</v>
      </c>
      <c r="J3" s="3065">
        <v>14089.17</v>
      </c>
      <c r="K3" s="3065">
        <v>105000</v>
      </c>
      <c r="L3" s="3065">
        <v>7.4525300000000003</v>
      </c>
      <c r="M3" s="3065" t="s">
        <v>1298</v>
      </c>
      <c r="N3" s="3065" t="s">
        <v>3159</v>
      </c>
      <c r="O3" s="3065" t="s">
        <v>3174</v>
      </c>
      <c r="P3" s="3065" t="s">
        <v>1298</v>
      </c>
      <c r="Q3" s="3065" t="s">
        <v>1298</v>
      </c>
      <c r="R3" s="3065" t="s">
        <v>1298</v>
      </c>
      <c r="S3" s="3065" t="s">
        <v>1298</v>
      </c>
      <c r="T3" s="3065" t="s">
        <v>3161</v>
      </c>
      <c r="U3" s="3065" t="s">
        <v>3161</v>
      </c>
      <c r="V3" s="3065" t="s">
        <v>1298</v>
      </c>
      <c r="W3" s="3065" t="s">
        <v>3162</v>
      </c>
      <c r="X3" s="3065" t="s">
        <v>3175</v>
      </c>
      <c r="Y3" s="3065" t="s">
        <v>3176</v>
      </c>
      <c r="Z3" s="3065" t="s">
        <v>3177</v>
      </c>
      <c r="AA3" s="3065" t="s">
        <v>3177</v>
      </c>
      <c r="AB3" s="3065" t="s">
        <v>3172</v>
      </c>
      <c r="AC3" s="3065" t="s">
        <v>3165</v>
      </c>
      <c r="AD3" s="3065" t="s">
        <v>3178</v>
      </c>
      <c r="AE3" s="3065" t="s">
        <v>3179</v>
      </c>
      <c r="AF3" s="3065">
        <v>76000</v>
      </c>
      <c r="AG3" s="3065">
        <v>252000</v>
      </c>
      <c r="AH3" s="3065">
        <v>355000</v>
      </c>
      <c r="AI3" s="3065">
        <v>11924.05</v>
      </c>
      <c r="AJ3" s="3065">
        <v>16797.77</v>
      </c>
      <c r="AK3" s="3065">
        <v>24000</v>
      </c>
      <c r="AL3" s="3065">
        <v>33809.51</v>
      </c>
      <c r="AM3" s="3065" t="s">
        <v>1298</v>
      </c>
      <c r="AN3" s="3065" t="s">
        <v>1298</v>
      </c>
      <c r="AO3" s="3065">
        <v>40.869999999999997</v>
      </c>
      <c r="AP3" s="3065" t="s">
        <v>3168</v>
      </c>
      <c r="AQ3" s="3065" t="s">
        <v>1298</v>
      </c>
      <c r="AR3" s="3065" t="s">
        <v>1298</v>
      </c>
      <c r="AS3" s="3065" t="s">
        <v>1298</v>
      </c>
      <c r="AT3" s="3065" t="s">
        <v>3169</v>
      </c>
    </row>
    <row r="4" spans="1:46" s="3065" customFormat="1" ht="14.25">
      <c r="A4" s="3065" t="s">
        <v>3180</v>
      </c>
      <c r="B4" s="3065" t="s">
        <v>3061</v>
      </c>
      <c r="C4" s="3065" t="s">
        <v>3152</v>
      </c>
      <c r="D4" s="3065" t="s">
        <v>3153</v>
      </c>
      <c r="E4" s="3065" t="s">
        <v>3154</v>
      </c>
      <c r="F4" s="3065" t="s">
        <v>3155</v>
      </c>
      <c r="G4" s="3065" t="s">
        <v>3171</v>
      </c>
      <c r="H4" s="3065" t="s">
        <v>3181</v>
      </c>
      <c r="I4" s="3065" t="s">
        <v>3158</v>
      </c>
      <c r="J4" s="3065">
        <v>27295.08</v>
      </c>
      <c r="K4" s="3065">
        <v>160000</v>
      </c>
      <c r="L4" s="3065">
        <v>5.8</v>
      </c>
      <c r="M4" s="3065" t="s">
        <v>1298</v>
      </c>
      <c r="N4" s="3065" t="s">
        <v>1298</v>
      </c>
      <c r="O4" s="3065" t="s">
        <v>1298</v>
      </c>
      <c r="P4" s="3065" t="s">
        <v>1298</v>
      </c>
      <c r="Q4" s="3065" t="s">
        <v>1298</v>
      </c>
      <c r="R4" s="3065" t="s">
        <v>1298</v>
      </c>
      <c r="S4" s="3065" t="s">
        <v>1298</v>
      </c>
      <c r="T4" s="3065" t="s">
        <v>3161</v>
      </c>
      <c r="U4" s="3065" t="s">
        <v>3161</v>
      </c>
      <c r="V4" s="3065" t="s">
        <v>1298</v>
      </c>
      <c r="W4" s="3065" t="s">
        <v>3162</v>
      </c>
      <c r="X4" s="3065" t="s">
        <v>3182</v>
      </c>
      <c r="Y4" s="3065" t="s">
        <v>3183</v>
      </c>
      <c r="Z4" s="3065" t="s">
        <v>3184</v>
      </c>
      <c r="AA4" s="3065" t="s">
        <v>3184</v>
      </c>
      <c r="AB4" s="3065" t="s">
        <v>3181</v>
      </c>
      <c r="AC4" s="3065" t="s">
        <v>3165</v>
      </c>
      <c r="AD4" s="3065" t="s">
        <v>3185</v>
      </c>
      <c r="AE4" s="3065" t="s">
        <v>3186</v>
      </c>
      <c r="AF4" s="3065">
        <v>130000</v>
      </c>
      <c r="AG4" s="3065">
        <v>432000</v>
      </c>
      <c r="AH4" s="3065">
        <v>434000</v>
      </c>
      <c r="AI4" s="3065">
        <v>10551.35</v>
      </c>
      <c r="AJ4" s="3065">
        <v>10600.2</v>
      </c>
      <c r="AK4" s="3065">
        <v>27000</v>
      </c>
      <c r="AL4" s="3065">
        <v>27125</v>
      </c>
      <c r="AM4" s="3065" t="s">
        <v>1298</v>
      </c>
      <c r="AN4" s="3065" t="s">
        <v>1298</v>
      </c>
      <c r="AO4" s="3065">
        <v>0.46</v>
      </c>
      <c r="AP4" s="3065" t="s">
        <v>3187</v>
      </c>
      <c r="AQ4" s="3065" t="s">
        <v>1298</v>
      </c>
      <c r="AR4" s="3065" t="s">
        <v>1298</v>
      </c>
      <c r="AS4" s="3065" t="s">
        <v>1298</v>
      </c>
      <c r="AT4" s="3065" t="s">
        <v>3169</v>
      </c>
    </row>
    <row r="5" spans="1:46" s="3061" customFormat="1" ht="14.25">
      <c r="A5" s="3061" t="s">
        <v>3188</v>
      </c>
      <c r="B5" s="3061" t="s">
        <v>3061</v>
      </c>
      <c r="C5" s="3061" t="s">
        <v>3152</v>
      </c>
      <c r="D5" s="3061" t="s">
        <v>3153</v>
      </c>
      <c r="E5" s="3061" t="s">
        <v>3189</v>
      </c>
      <c r="F5" s="3061" t="s">
        <v>3190</v>
      </c>
      <c r="G5" s="3061" t="s">
        <v>3171</v>
      </c>
      <c r="H5" s="3061" t="s">
        <v>3191</v>
      </c>
      <c r="I5" s="3061" t="s">
        <v>3173</v>
      </c>
      <c r="J5" s="3061">
        <v>14788.3</v>
      </c>
      <c r="K5" s="3061">
        <v>59153</v>
      </c>
      <c r="L5" s="3061">
        <v>4</v>
      </c>
      <c r="M5" s="3061" t="s">
        <v>1298</v>
      </c>
      <c r="N5" s="3061" t="s">
        <v>1298</v>
      </c>
      <c r="O5" s="3061" t="s">
        <v>1298</v>
      </c>
      <c r="P5" s="3061" t="s">
        <v>1298</v>
      </c>
      <c r="Q5" s="3061" t="s">
        <v>1298</v>
      </c>
      <c r="R5" s="3061" t="s">
        <v>1298</v>
      </c>
      <c r="S5" s="3061" t="s">
        <v>1298</v>
      </c>
      <c r="T5" s="3061" t="s">
        <v>1298</v>
      </c>
      <c r="U5" s="3061" t="s">
        <v>1298</v>
      </c>
      <c r="V5" s="3061" t="s">
        <v>1298</v>
      </c>
      <c r="W5" s="3061" t="s">
        <v>3162</v>
      </c>
      <c r="X5" s="3061" t="s">
        <v>3192</v>
      </c>
      <c r="Y5" s="3061" t="s">
        <v>3193</v>
      </c>
      <c r="Z5" s="3061" t="s">
        <v>3194</v>
      </c>
      <c r="AA5" s="3061" t="s">
        <v>3194</v>
      </c>
      <c r="AB5" s="3061" t="s">
        <v>3191</v>
      </c>
      <c r="AC5" s="3061" t="s">
        <v>3165</v>
      </c>
      <c r="AD5" s="3061" t="s">
        <v>3195</v>
      </c>
      <c r="AE5" s="3061" t="s">
        <v>3196</v>
      </c>
      <c r="AF5" s="3061">
        <v>21000</v>
      </c>
      <c r="AG5" s="3061">
        <v>71500</v>
      </c>
      <c r="AH5" s="3061">
        <v>176000</v>
      </c>
      <c r="AI5" s="3061">
        <v>3223.27</v>
      </c>
      <c r="AJ5" s="3061">
        <v>7934.2</v>
      </c>
      <c r="AK5" s="3061">
        <v>12087.29</v>
      </c>
      <c r="AL5" s="3061">
        <v>29753.34</v>
      </c>
      <c r="AM5" s="3061" t="s">
        <v>1298</v>
      </c>
      <c r="AN5" s="3061" t="s">
        <v>1298</v>
      </c>
      <c r="AO5" s="3061">
        <v>146.15</v>
      </c>
      <c r="AP5" s="3061" t="s">
        <v>3168</v>
      </c>
      <c r="AQ5" s="3061" t="s">
        <v>1298</v>
      </c>
      <c r="AR5" s="3061" t="s">
        <v>1298</v>
      </c>
      <c r="AS5" s="3061" t="s">
        <v>1298</v>
      </c>
      <c r="AT5" s="3061" t="s">
        <v>3169</v>
      </c>
    </row>
    <row r="6" spans="1:46" s="3061" customFormat="1" ht="14.25">
      <c r="A6" s="3061" t="s">
        <v>3197</v>
      </c>
      <c r="B6" s="3061" t="s">
        <v>3061</v>
      </c>
      <c r="C6" s="3061" t="s">
        <v>3152</v>
      </c>
      <c r="D6" s="3061" t="s">
        <v>3153</v>
      </c>
      <c r="E6" s="3061" t="s">
        <v>3189</v>
      </c>
      <c r="F6" s="3061" t="s">
        <v>3190</v>
      </c>
      <c r="G6" s="3061" t="s">
        <v>3171</v>
      </c>
      <c r="H6" s="3061" t="s">
        <v>3198</v>
      </c>
      <c r="I6" s="3061" t="s">
        <v>3173</v>
      </c>
      <c r="J6" s="3061">
        <v>29500</v>
      </c>
      <c r="K6" s="3061">
        <v>118000</v>
      </c>
      <c r="L6" s="3061">
        <v>4</v>
      </c>
      <c r="M6" s="3061" t="s">
        <v>1298</v>
      </c>
      <c r="N6" s="3061" t="s">
        <v>1298</v>
      </c>
      <c r="O6" s="3061" t="s">
        <v>1298</v>
      </c>
      <c r="P6" s="3061" t="s">
        <v>1298</v>
      </c>
      <c r="Q6" s="3061" t="s">
        <v>1298</v>
      </c>
      <c r="R6" s="3061" t="s">
        <v>1298</v>
      </c>
      <c r="S6" s="3061" t="s">
        <v>1298</v>
      </c>
      <c r="T6" s="3061" t="s">
        <v>1298</v>
      </c>
      <c r="U6" s="3061" t="s">
        <v>1298</v>
      </c>
      <c r="V6" s="3061" t="s">
        <v>1298</v>
      </c>
      <c r="W6" s="3061" t="s">
        <v>3162</v>
      </c>
      <c r="X6" s="3061" t="s">
        <v>3192</v>
      </c>
      <c r="Y6" s="3061" t="s">
        <v>3193</v>
      </c>
      <c r="Z6" s="3061" t="s">
        <v>3194</v>
      </c>
      <c r="AA6" s="3061" t="s">
        <v>3194</v>
      </c>
      <c r="AB6" s="3061" t="s">
        <v>3198</v>
      </c>
      <c r="AC6" s="3061" t="s">
        <v>3165</v>
      </c>
      <c r="AD6" s="3061" t="s">
        <v>3195</v>
      </c>
      <c r="AE6" s="3061" t="s">
        <v>3196</v>
      </c>
      <c r="AF6" s="3061">
        <v>42000</v>
      </c>
      <c r="AG6" s="3061">
        <v>142000</v>
      </c>
      <c r="AH6" s="3061">
        <v>342000</v>
      </c>
      <c r="AI6" s="3061">
        <v>3209.04</v>
      </c>
      <c r="AJ6" s="3061">
        <v>7728.81</v>
      </c>
      <c r="AK6" s="3061">
        <v>12033.89</v>
      </c>
      <c r="AL6" s="3061">
        <v>28983.040000000001</v>
      </c>
      <c r="AM6" s="3061" t="s">
        <v>1298</v>
      </c>
      <c r="AN6" s="3061" t="s">
        <v>1298</v>
      </c>
      <c r="AO6" s="3061">
        <v>140.85</v>
      </c>
      <c r="AP6" s="3061" t="s">
        <v>3168</v>
      </c>
      <c r="AQ6" s="3061" t="s">
        <v>1298</v>
      </c>
      <c r="AR6" s="3061" t="s">
        <v>1298</v>
      </c>
      <c r="AS6" s="3061" t="s">
        <v>1298</v>
      </c>
      <c r="AT6" s="3061" t="s">
        <v>3169</v>
      </c>
    </row>
    <row r="7" spans="1:46" s="3061" customFormat="1" ht="14.25">
      <c r="A7" s="3061" t="s">
        <v>3199</v>
      </c>
      <c r="B7" s="3061" t="s">
        <v>3061</v>
      </c>
      <c r="C7" s="3061" t="s">
        <v>3152</v>
      </c>
      <c r="D7" s="3061" t="s">
        <v>3153</v>
      </c>
      <c r="E7" s="3061" t="s">
        <v>3189</v>
      </c>
      <c r="F7" s="3061" t="s">
        <v>3190</v>
      </c>
      <c r="G7" s="3061" t="s">
        <v>3171</v>
      </c>
      <c r="H7" s="3061" t="s">
        <v>3200</v>
      </c>
      <c r="I7" s="3061" t="s">
        <v>3173</v>
      </c>
      <c r="J7" s="3061">
        <v>15089.35</v>
      </c>
      <c r="K7" s="3061">
        <v>60357</v>
      </c>
      <c r="L7" s="3061">
        <v>4</v>
      </c>
      <c r="M7" s="3061" t="s">
        <v>1298</v>
      </c>
      <c r="N7" s="3061" t="s">
        <v>1298</v>
      </c>
      <c r="O7" s="3061" t="s">
        <v>1298</v>
      </c>
      <c r="P7" s="3061" t="s">
        <v>1298</v>
      </c>
      <c r="Q7" s="3061" t="s">
        <v>1298</v>
      </c>
      <c r="R7" s="3061" t="s">
        <v>1298</v>
      </c>
      <c r="S7" s="3061" t="s">
        <v>1298</v>
      </c>
      <c r="T7" s="3061" t="s">
        <v>1298</v>
      </c>
      <c r="U7" s="3061" t="s">
        <v>1298</v>
      </c>
      <c r="V7" s="3061" t="s">
        <v>1298</v>
      </c>
      <c r="W7" s="3061" t="s">
        <v>3162</v>
      </c>
      <c r="X7" s="3061" t="s">
        <v>3201</v>
      </c>
      <c r="Y7" s="3061" t="s">
        <v>3202</v>
      </c>
      <c r="Z7" s="3061" t="s">
        <v>3203</v>
      </c>
      <c r="AA7" s="3061" t="s">
        <v>3203</v>
      </c>
      <c r="AB7" s="3061" t="s">
        <v>3200</v>
      </c>
      <c r="AC7" s="3061" t="s">
        <v>3165</v>
      </c>
      <c r="AD7" s="3061" t="s">
        <v>3204</v>
      </c>
      <c r="AE7" s="3061" t="s">
        <v>3205</v>
      </c>
      <c r="AF7" s="3061">
        <v>21300</v>
      </c>
      <c r="AG7" s="3061">
        <v>71000</v>
      </c>
      <c r="AH7" s="3061">
        <v>110000</v>
      </c>
      <c r="AI7" s="3061">
        <v>3136.87</v>
      </c>
      <c r="AJ7" s="3061">
        <v>4859.9399999999996</v>
      </c>
      <c r="AK7" s="3061">
        <v>11763.34</v>
      </c>
      <c r="AL7" s="3061">
        <v>18224.900000000001</v>
      </c>
      <c r="AM7" s="3061" t="s">
        <v>1298</v>
      </c>
      <c r="AN7" s="3061" t="s">
        <v>1298</v>
      </c>
      <c r="AO7" s="3061">
        <v>54.93</v>
      </c>
      <c r="AP7" s="3061" t="s">
        <v>3168</v>
      </c>
      <c r="AQ7" s="3061" t="s">
        <v>1298</v>
      </c>
      <c r="AR7" s="3061" t="s">
        <v>1298</v>
      </c>
      <c r="AS7" s="3061" t="s">
        <v>1298</v>
      </c>
      <c r="AT7" s="3061" t="s">
        <v>3169</v>
      </c>
    </row>
    <row r="8" spans="1:46" s="3061" customFormat="1" ht="14.25">
      <c r="A8" s="3061" t="s">
        <v>3206</v>
      </c>
      <c r="B8" s="3061" t="s">
        <v>3061</v>
      </c>
      <c r="C8" s="3061" t="s">
        <v>3152</v>
      </c>
      <c r="D8" s="3061" t="s">
        <v>3153</v>
      </c>
      <c r="E8" s="3061" t="s">
        <v>3189</v>
      </c>
      <c r="F8" s="3061" t="s">
        <v>3190</v>
      </c>
      <c r="G8" s="3061" t="s">
        <v>3171</v>
      </c>
      <c r="H8" s="3061" t="s">
        <v>3207</v>
      </c>
      <c r="I8" s="3061" t="s">
        <v>3173</v>
      </c>
      <c r="J8" s="3061">
        <v>27500</v>
      </c>
      <c r="K8" s="3061">
        <v>110000</v>
      </c>
      <c r="L8" s="3061">
        <v>4</v>
      </c>
      <c r="M8" s="3061" t="s">
        <v>1298</v>
      </c>
      <c r="N8" s="3061" t="s">
        <v>1298</v>
      </c>
      <c r="O8" s="3061" t="s">
        <v>1298</v>
      </c>
      <c r="P8" s="3061" t="s">
        <v>1298</v>
      </c>
      <c r="Q8" s="3061" t="s">
        <v>1298</v>
      </c>
      <c r="R8" s="3061" t="s">
        <v>1298</v>
      </c>
      <c r="S8" s="3061" t="s">
        <v>1298</v>
      </c>
      <c r="T8" s="3061" t="s">
        <v>1298</v>
      </c>
      <c r="U8" s="3061" t="s">
        <v>1298</v>
      </c>
      <c r="V8" s="3061" t="s">
        <v>1298</v>
      </c>
      <c r="W8" s="3061" t="s">
        <v>3162</v>
      </c>
      <c r="X8" s="3061" t="s">
        <v>3208</v>
      </c>
      <c r="Y8" s="3061" t="s">
        <v>3209</v>
      </c>
      <c r="Z8" s="3061" t="s">
        <v>3210</v>
      </c>
      <c r="AA8" s="3061" t="s">
        <v>3210</v>
      </c>
      <c r="AB8" s="3061" t="s">
        <v>3207</v>
      </c>
      <c r="AC8" s="3061" t="s">
        <v>3165</v>
      </c>
      <c r="AD8" s="3061" t="s">
        <v>3211</v>
      </c>
      <c r="AE8" s="3061" t="s">
        <v>3212</v>
      </c>
      <c r="AF8" s="3061">
        <v>3900</v>
      </c>
      <c r="AG8" s="3061">
        <v>129000</v>
      </c>
      <c r="AH8" s="3061">
        <v>176000</v>
      </c>
      <c r="AI8" s="3061">
        <v>3127.27</v>
      </c>
      <c r="AJ8" s="3061">
        <v>4266.67</v>
      </c>
      <c r="AK8" s="3061">
        <v>11727.27</v>
      </c>
      <c r="AL8" s="3061">
        <v>16000</v>
      </c>
      <c r="AM8" s="3061" t="s">
        <v>1298</v>
      </c>
      <c r="AN8" s="3061" t="s">
        <v>1298</v>
      </c>
      <c r="AO8" s="3061">
        <v>36.43</v>
      </c>
      <c r="AP8" s="3061" t="s">
        <v>3213</v>
      </c>
      <c r="AQ8" s="3061" t="s">
        <v>1298</v>
      </c>
      <c r="AR8" s="3061" t="s">
        <v>1298</v>
      </c>
      <c r="AS8" s="3061" t="s">
        <v>1298</v>
      </c>
      <c r="AT8" s="3061" t="s">
        <v>3169</v>
      </c>
    </row>
    <row r="9" spans="1:46" s="3061" customFormat="1" ht="14.25">
      <c r="A9" s="3061" t="s">
        <v>3214</v>
      </c>
      <c r="B9" s="3061" t="s">
        <v>3061</v>
      </c>
      <c r="C9" s="3061" t="s">
        <v>3152</v>
      </c>
      <c r="D9" s="3061" t="s">
        <v>3153</v>
      </c>
      <c r="E9" s="3061" t="s">
        <v>3154</v>
      </c>
      <c r="F9" s="3061" t="s">
        <v>3155</v>
      </c>
      <c r="G9" s="3061" t="s">
        <v>3171</v>
      </c>
      <c r="H9" s="3061" t="s">
        <v>3215</v>
      </c>
      <c r="I9" s="3061" t="s">
        <v>3216</v>
      </c>
      <c r="J9" s="3061">
        <v>35708.800000000003</v>
      </c>
      <c r="K9" s="3061">
        <v>336000</v>
      </c>
      <c r="L9" s="3061">
        <v>9.4</v>
      </c>
      <c r="M9" s="3061" t="s">
        <v>1298</v>
      </c>
      <c r="N9" s="3061" t="s">
        <v>1298</v>
      </c>
      <c r="O9" s="3061" t="s">
        <v>1298</v>
      </c>
      <c r="P9" s="3061" t="s">
        <v>1298</v>
      </c>
      <c r="Q9" s="3061" t="s">
        <v>1298</v>
      </c>
      <c r="R9" s="3061" t="s">
        <v>1298</v>
      </c>
      <c r="S9" s="3061" t="s">
        <v>1298</v>
      </c>
      <c r="T9" s="3061" t="s">
        <v>1298</v>
      </c>
      <c r="U9" s="3061" t="s">
        <v>1298</v>
      </c>
      <c r="V9" s="3061" t="s">
        <v>1298</v>
      </c>
      <c r="W9" s="3061" t="s">
        <v>3162</v>
      </c>
      <c r="X9" s="3061" t="s">
        <v>3217</v>
      </c>
      <c r="Y9" s="3061" t="s">
        <v>3218</v>
      </c>
      <c r="Z9" s="3061" t="s">
        <v>3219</v>
      </c>
      <c r="AA9" s="3061" t="s">
        <v>3219</v>
      </c>
      <c r="AB9" s="3061" t="s">
        <v>3215</v>
      </c>
      <c r="AC9" s="3061" t="s">
        <v>3165</v>
      </c>
      <c r="AD9" s="3061" t="s">
        <v>3220</v>
      </c>
      <c r="AE9" s="3061" t="s">
        <v>1298</v>
      </c>
      <c r="AF9" s="3061">
        <v>152000</v>
      </c>
      <c r="AG9" s="3061">
        <v>504000</v>
      </c>
      <c r="AH9" s="3061">
        <v>504000</v>
      </c>
      <c r="AI9" s="3061">
        <v>9409.4500000000007</v>
      </c>
      <c r="AJ9" s="3061">
        <v>9409.4500000000007</v>
      </c>
      <c r="AK9" s="3061">
        <v>15000</v>
      </c>
      <c r="AL9" s="3061">
        <v>15000</v>
      </c>
      <c r="AM9" s="3061" t="s">
        <v>1298</v>
      </c>
      <c r="AN9" s="3061" t="s">
        <v>1298</v>
      </c>
      <c r="AO9" s="3061">
        <v>0</v>
      </c>
      <c r="AP9" s="3061" t="s">
        <v>3213</v>
      </c>
      <c r="AQ9" s="3061" t="s">
        <v>1298</v>
      </c>
      <c r="AR9" s="3061" t="s">
        <v>1298</v>
      </c>
      <c r="AS9" s="3061" t="s">
        <v>1298</v>
      </c>
      <c r="AT9" s="3061" t="s">
        <v>3169</v>
      </c>
    </row>
    <row r="10" spans="1:46" s="3061" customFormat="1" ht="14.25">
      <c r="A10" s="3061" t="s">
        <v>3221</v>
      </c>
      <c r="B10" s="3061" t="s">
        <v>3061</v>
      </c>
      <c r="C10" s="3061" t="s">
        <v>3152</v>
      </c>
      <c r="D10" s="3061" t="s">
        <v>3153</v>
      </c>
      <c r="E10" s="3061" t="s">
        <v>3189</v>
      </c>
      <c r="F10" s="3061" t="s">
        <v>3190</v>
      </c>
      <c r="G10" s="3061" t="s">
        <v>3156</v>
      </c>
      <c r="H10" s="3061" t="s">
        <v>3222</v>
      </c>
      <c r="I10" s="3061" t="s">
        <v>3216</v>
      </c>
      <c r="J10" s="3061">
        <v>35418.839999999997</v>
      </c>
      <c r="K10" s="3061">
        <v>141675</v>
      </c>
      <c r="L10" s="3061">
        <v>4</v>
      </c>
      <c r="M10" s="3061" t="s">
        <v>1298</v>
      </c>
      <c r="N10" s="3061" t="s">
        <v>1298</v>
      </c>
      <c r="O10" s="3061" t="s">
        <v>1298</v>
      </c>
      <c r="P10" s="3061" t="s">
        <v>1298</v>
      </c>
      <c r="Q10" s="3061" t="s">
        <v>1298</v>
      </c>
      <c r="R10" s="3061" t="s">
        <v>1298</v>
      </c>
      <c r="S10" s="3061" t="s">
        <v>1298</v>
      </c>
      <c r="T10" s="3061" t="s">
        <v>1298</v>
      </c>
      <c r="U10" s="3061" t="s">
        <v>1298</v>
      </c>
      <c r="V10" s="3061" t="s">
        <v>1298</v>
      </c>
      <c r="W10" s="3061" t="s">
        <v>3162</v>
      </c>
      <c r="X10" s="3061" t="s">
        <v>3223</v>
      </c>
      <c r="Y10" s="3061" t="s">
        <v>3224</v>
      </c>
      <c r="Z10" s="3061" t="s">
        <v>3224</v>
      </c>
      <c r="AA10" s="3061" t="s">
        <v>3224</v>
      </c>
      <c r="AB10" s="3061" t="s">
        <v>3222</v>
      </c>
      <c r="AC10" s="3061" t="s">
        <v>3165</v>
      </c>
      <c r="AD10" s="3061" t="s">
        <v>3225</v>
      </c>
      <c r="AE10" s="3061" t="s">
        <v>3226</v>
      </c>
      <c r="AF10" s="3061">
        <v>51000</v>
      </c>
      <c r="AG10" s="3061" t="s">
        <v>1298</v>
      </c>
      <c r="AH10" s="3061">
        <v>255015</v>
      </c>
      <c r="AI10" s="3061" t="s">
        <v>1298</v>
      </c>
      <c r="AJ10" s="3061">
        <v>4799.99</v>
      </c>
      <c r="AK10" s="3061" t="s">
        <v>1298</v>
      </c>
      <c r="AL10" s="3061">
        <v>18000</v>
      </c>
      <c r="AM10" s="3061" t="s">
        <v>1298</v>
      </c>
      <c r="AN10" s="3061" t="s">
        <v>1298</v>
      </c>
      <c r="AO10" s="3061" t="s">
        <v>1298</v>
      </c>
      <c r="AP10" s="3061" t="s">
        <v>3213</v>
      </c>
      <c r="AQ10" s="3061" t="s">
        <v>1298</v>
      </c>
      <c r="AR10" s="3061" t="s">
        <v>1298</v>
      </c>
      <c r="AS10" s="3061" t="s">
        <v>1298</v>
      </c>
      <c r="AT10" s="3061" t="s">
        <v>3169</v>
      </c>
    </row>
    <row r="11" spans="1:46" s="3061" customFormat="1" ht="14.25">
      <c r="A11" s="3061" t="s">
        <v>3227</v>
      </c>
      <c r="B11" s="3061" t="s">
        <v>3061</v>
      </c>
      <c r="C11" s="3061" t="s">
        <v>3152</v>
      </c>
      <c r="D11" s="3061" t="s">
        <v>3153</v>
      </c>
      <c r="E11" s="3061" t="s">
        <v>3154</v>
      </c>
      <c r="F11" s="3061" t="s">
        <v>3155</v>
      </c>
      <c r="G11" s="3061" t="s">
        <v>3171</v>
      </c>
      <c r="H11" s="3061" t="s">
        <v>3228</v>
      </c>
      <c r="I11" s="3061" t="s">
        <v>3158</v>
      </c>
      <c r="J11" s="3061">
        <v>19979.490000000002</v>
      </c>
      <c r="K11" s="3061">
        <v>120000</v>
      </c>
      <c r="L11" s="3061">
        <v>6</v>
      </c>
      <c r="M11" s="3061" t="s">
        <v>1298</v>
      </c>
      <c r="N11" s="3061" t="s">
        <v>1298</v>
      </c>
      <c r="O11" s="3061" t="s">
        <v>1298</v>
      </c>
      <c r="P11" s="3061" t="s">
        <v>1298</v>
      </c>
      <c r="Q11" s="3061" t="s">
        <v>1298</v>
      </c>
      <c r="R11" s="3061" t="s">
        <v>1298</v>
      </c>
      <c r="S11" s="3061" t="s">
        <v>1298</v>
      </c>
      <c r="T11" s="3061" t="s">
        <v>1298</v>
      </c>
      <c r="U11" s="3061" t="s">
        <v>1298</v>
      </c>
      <c r="V11" s="3061" t="s">
        <v>1298</v>
      </c>
      <c r="W11" s="3061" t="s">
        <v>3162</v>
      </c>
      <c r="X11" s="3061" t="s">
        <v>3229</v>
      </c>
      <c r="Y11" s="3061" t="s">
        <v>3230</v>
      </c>
      <c r="Z11" s="3061" t="s">
        <v>3231</v>
      </c>
      <c r="AA11" s="3061" t="s">
        <v>3231</v>
      </c>
      <c r="AB11" s="3061" t="s">
        <v>3228</v>
      </c>
      <c r="AC11" s="3061" t="s">
        <v>3165</v>
      </c>
      <c r="AD11" s="3061" t="s">
        <v>3232</v>
      </c>
      <c r="AE11" s="3061" t="s">
        <v>1298</v>
      </c>
      <c r="AF11" s="3061">
        <v>54000</v>
      </c>
      <c r="AG11" s="3061">
        <v>180000</v>
      </c>
      <c r="AH11" s="3061">
        <v>251000</v>
      </c>
      <c r="AI11" s="3061">
        <v>6006.16</v>
      </c>
      <c r="AJ11" s="3061">
        <v>8375.26</v>
      </c>
      <c r="AK11" s="3061">
        <v>15000</v>
      </c>
      <c r="AL11" s="3061">
        <v>20916.66</v>
      </c>
      <c r="AM11" s="3061" t="s">
        <v>1298</v>
      </c>
      <c r="AN11" s="3061" t="s">
        <v>1298</v>
      </c>
      <c r="AO11" s="3061">
        <v>39.44</v>
      </c>
      <c r="AP11" s="3061" t="s">
        <v>3213</v>
      </c>
      <c r="AQ11" s="3061" t="s">
        <v>1298</v>
      </c>
      <c r="AR11" s="3061" t="s">
        <v>1298</v>
      </c>
      <c r="AS11" s="3061" t="s">
        <v>1298</v>
      </c>
      <c r="AT11" s="3061" t="s">
        <v>3169</v>
      </c>
    </row>
    <row r="12" spans="1:46" s="3061" customFormat="1" ht="14.25">
      <c r="A12" s="3061" t="s">
        <v>3233</v>
      </c>
      <c r="B12" s="3061" t="s">
        <v>3061</v>
      </c>
      <c r="C12" s="3061" t="s">
        <v>3152</v>
      </c>
      <c r="D12" s="3061" t="s">
        <v>3153</v>
      </c>
      <c r="E12" s="3061" t="s">
        <v>3234</v>
      </c>
      <c r="F12" s="3061" t="s">
        <v>3235</v>
      </c>
      <c r="G12" s="3061" t="s">
        <v>3171</v>
      </c>
      <c r="H12" s="3061" t="s">
        <v>3236</v>
      </c>
      <c r="I12" s="3061" t="s">
        <v>3237</v>
      </c>
      <c r="J12" s="3061">
        <v>20070.2</v>
      </c>
      <c r="K12" s="3061">
        <v>45275</v>
      </c>
      <c r="L12" s="3061">
        <v>2.2599999999999998</v>
      </c>
      <c r="M12" s="3061" t="s">
        <v>1298</v>
      </c>
      <c r="N12" s="3061" t="s">
        <v>1298</v>
      </c>
      <c r="O12" s="3061" t="s">
        <v>1298</v>
      </c>
      <c r="P12" s="3061" t="s">
        <v>1298</v>
      </c>
      <c r="Q12" s="3061" t="s">
        <v>1298</v>
      </c>
      <c r="R12" s="3061" t="s">
        <v>1298</v>
      </c>
      <c r="S12" s="3061" t="s">
        <v>1298</v>
      </c>
      <c r="T12" s="3061" t="s">
        <v>1298</v>
      </c>
      <c r="U12" s="3061" t="s">
        <v>1298</v>
      </c>
      <c r="V12" s="3061" t="s">
        <v>1298</v>
      </c>
      <c r="W12" s="3061" t="s">
        <v>3162</v>
      </c>
      <c r="X12" s="3061" t="s">
        <v>3238</v>
      </c>
      <c r="Y12" s="3061" t="s">
        <v>3239</v>
      </c>
      <c r="Z12" s="3061" t="s">
        <v>3240</v>
      </c>
      <c r="AA12" s="3061" t="s">
        <v>3240</v>
      </c>
      <c r="AB12" s="3061" t="s">
        <v>3236</v>
      </c>
      <c r="AC12" s="3061" t="s">
        <v>3165</v>
      </c>
      <c r="AD12" s="3061" t="s">
        <v>3241</v>
      </c>
      <c r="AE12" s="3061" t="s">
        <v>3242</v>
      </c>
      <c r="AF12" s="3061">
        <v>17000</v>
      </c>
      <c r="AG12" s="3061">
        <v>55000</v>
      </c>
      <c r="AH12" s="3061">
        <v>55000</v>
      </c>
      <c r="AI12" s="3061">
        <v>1826.92</v>
      </c>
      <c r="AJ12" s="3061">
        <v>1826.92</v>
      </c>
      <c r="AK12" s="3061">
        <v>12147.98</v>
      </c>
      <c r="AL12" s="3061">
        <v>12147.97</v>
      </c>
      <c r="AM12" s="3061" t="s">
        <v>1298</v>
      </c>
      <c r="AN12" s="3061" t="s">
        <v>1298</v>
      </c>
      <c r="AO12" s="3061">
        <v>0</v>
      </c>
      <c r="AP12" s="3061" t="s">
        <v>3213</v>
      </c>
      <c r="AQ12" s="3061" t="s">
        <v>1298</v>
      </c>
      <c r="AR12" s="3061" t="s">
        <v>1298</v>
      </c>
      <c r="AS12" s="3061" t="s">
        <v>1298</v>
      </c>
      <c r="AT12" s="3061" t="s">
        <v>3169</v>
      </c>
    </row>
    <row r="13" spans="1:46" s="3061" customFormat="1" ht="14.25">
      <c r="A13" s="3061" t="s">
        <v>3243</v>
      </c>
      <c r="B13" s="3061" t="s">
        <v>3061</v>
      </c>
      <c r="C13" s="3061" t="s">
        <v>3152</v>
      </c>
      <c r="D13" s="3061" t="s">
        <v>3153</v>
      </c>
      <c r="E13" s="3061" t="s">
        <v>3189</v>
      </c>
      <c r="F13" s="3061" t="s">
        <v>3190</v>
      </c>
      <c r="G13" s="3061" t="s">
        <v>3171</v>
      </c>
      <c r="H13" s="3061" t="s">
        <v>3244</v>
      </c>
      <c r="I13" s="3061" t="s">
        <v>3216</v>
      </c>
      <c r="J13" s="3061">
        <v>21137.72</v>
      </c>
      <c r="K13" s="3061">
        <v>84551</v>
      </c>
      <c r="L13" s="3061">
        <v>4</v>
      </c>
      <c r="M13" s="3061" t="s">
        <v>1298</v>
      </c>
      <c r="N13" s="3061" t="s">
        <v>1298</v>
      </c>
      <c r="O13" s="3061" t="s">
        <v>1298</v>
      </c>
      <c r="P13" s="3061" t="s">
        <v>1298</v>
      </c>
      <c r="Q13" s="3061" t="s">
        <v>1298</v>
      </c>
      <c r="R13" s="3061" t="s">
        <v>1298</v>
      </c>
      <c r="S13" s="3061" t="s">
        <v>1298</v>
      </c>
      <c r="T13" s="3061" t="s">
        <v>1298</v>
      </c>
      <c r="U13" s="3061" t="s">
        <v>1298</v>
      </c>
      <c r="V13" s="3061" t="s">
        <v>1298</v>
      </c>
      <c r="W13" s="3061" t="s">
        <v>3162</v>
      </c>
      <c r="X13" s="3061" t="s">
        <v>3245</v>
      </c>
      <c r="Y13" s="3061" t="s">
        <v>3246</v>
      </c>
      <c r="Z13" s="3061" t="s">
        <v>3247</v>
      </c>
      <c r="AA13" s="3061" t="s">
        <v>3247</v>
      </c>
      <c r="AB13" s="3061" t="s">
        <v>3244</v>
      </c>
      <c r="AC13" s="3061" t="s">
        <v>3165</v>
      </c>
      <c r="AD13" s="3061" t="s">
        <v>3248</v>
      </c>
      <c r="AE13" s="3061" t="s">
        <v>1298</v>
      </c>
      <c r="AF13" s="3061">
        <v>26000</v>
      </c>
      <c r="AG13" s="3061">
        <v>85000</v>
      </c>
      <c r="AH13" s="3061">
        <v>85000</v>
      </c>
      <c r="AI13" s="3061">
        <v>2680.83</v>
      </c>
      <c r="AJ13" s="3061">
        <v>2680.83</v>
      </c>
      <c r="AK13" s="3061">
        <v>10053.1</v>
      </c>
      <c r="AL13" s="3061">
        <v>10053.1</v>
      </c>
      <c r="AM13" s="3061" t="s">
        <v>1298</v>
      </c>
      <c r="AN13" s="3061" t="s">
        <v>1298</v>
      </c>
      <c r="AO13" s="3061">
        <v>0</v>
      </c>
      <c r="AP13" s="3061" t="s">
        <v>3213</v>
      </c>
      <c r="AQ13" s="3061" t="s">
        <v>1298</v>
      </c>
      <c r="AR13" s="3061" t="s">
        <v>1298</v>
      </c>
      <c r="AS13" s="3061" t="s">
        <v>1298</v>
      </c>
      <c r="AT13" s="3061" t="s">
        <v>3169</v>
      </c>
    </row>
    <row r="14" spans="1:46" s="3061" customFormat="1" ht="14.25">
      <c r="A14" s="3061" t="s">
        <v>3249</v>
      </c>
      <c r="B14" s="3061" t="s">
        <v>3061</v>
      </c>
      <c r="C14" s="3061" t="s">
        <v>3152</v>
      </c>
      <c r="D14" s="3061" t="s">
        <v>3153</v>
      </c>
      <c r="E14" s="3061" t="s">
        <v>3189</v>
      </c>
      <c r="F14" s="3061" t="s">
        <v>3190</v>
      </c>
      <c r="G14" s="3061" t="s">
        <v>3171</v>
      </c>
      <c r="H14" s="3061" t="s">
        <v>3250</v>
      </c>
      <c r="I14" s="3061" t="s">
        <v>3251</v>
      </c>
      <c r="J14" s="3061">
        <v>54711.27</v>
      </c>
      <c r="K14" s="3061">
        <v>164134</v>
      </c>
      <c r="L14" s="3061">
        <v>3</v>
      </c>
      <c r="M14" s="3061" t="s">
        <v>1298</v>
      </c>
      <c r="N14" s="3061" t="s">
        <v>1298</v>
      </c>
      <c r="O14" s="3061" t="s">
        <v>1298</v>
      </c>
      <c r="P14" s="3061" t="s">
        <v>1298</v>
      </c>
      <c r="Q14" s="3061" t="s">
        <v>1298</v>
      </c>
      <c r="R14" s="3061" t="s">
        <v>1298</v>
      </c>
      <c r="S14" s="3061" t="s">
        <v>1298</v>
      </c>
      <c r="T14" s="3061" t="s">
        <v>1298</v>
      </c>
      <c r="U14" s="3061" t="s">
        <v>1298</v>
      </c>
      <c r="V14" s="3061" t="s">
        <v>1298</v>
      </c>
      <c r="W14" s="3061" t="s">
        <v>3162</v>
      </c>
      <c r="X14" s="3061" t="s">
        <v>3252</v>
      </c>
      <c r="Y14" s="3061" t="s">
        <v>3253</v>
      </c>
      <c r="Z14" s="3061" t="s">
        <v>3254</v>
      </c>
      <c r="AA14" s="3061" t="s">
        <v>3254</v>
      </c>
      <c r="AB14" s="3061" t="s">
        <v>3250</v>
      </c>
      <c r="AC14" s="3061" t="s">
        <v>3165</v>
      </c>
      <c r="AD14" s="3061" t="s">
        <v>3255</v>
      </c>
      <c r="AE14" s="3061" t="s">
        <v>1298</v>
      </c>
      <c r="AF14" s="3061">
        <v>50000</v>
      </c>
      <c r="AG14" s="3061">
        <v>165000</v>
      </c>
      <c r="AH14" s="3061">
        <v>258000</v>
      </c>
      <c r="AI14" s="3061">
        <v>2010.55</v>
      </c>
      <c r="AJ14" s="3061">
        <v>3143.78</v>
      </c>
      <c r="AK14" s="3061">
        <v>10052.76</v>
      </c>
      <c r="AL14" s="3061">
        <v>15718.86</v>
      </c>
      <c r="AM14" s="3061" t="s">
        <v>1298</v>
      </c>
      <c r="AN14" s="3061" t="s">
        <v>1298</v>
      </c>
      <c r="AO14" s="3061">
        <v>56.36</v>
      </c>
      <c r="AP14" s="3061" t="s">
        <v>3213</v>
      </c>
      <c r="AQ14" s="3061" t="s">
        <v>1298</v>
      </c>
      <c r="AR14" s="3061" t="s">
        <v>1298</v>
      </c>
      <c r="AS14" s="3061" t="s">
        <v>1298</v>
      </c>
      <c r="AT14" s="3061" t="s">
        <v>3169</v>
      </c>
    </row>
    <row r="15" spans="1:46" s="3061" customFormat="1" ht="14.25">
      <c r="A15" s="3061" t="s">
        <v>3256</v>
      </c>
      <c r="B15" s="3061" t="s">
        <v>3061</v>
      </c>
      <c r="C15" s="3061" t="s">
        <v>3152</v>
      </c>
      <c r="D15" s="3061" t="s">
        <v>3153</v>
      </c>
      <c r="E15" s="3061" t="s">
        <v>3154</v>
      </c>
      <c r="F15" s="3061" t="s">
        <v>3155</v>
      </c>
      <c r="G15" s="3061" t="s">
        <v>3171</v>
      </c>
      <c r="H15" s="3061" t="s">
        <v>3257</v>
      </c>
      <c r="I15" s="3061" t="s">
        <v>3258</v>
      </c>
      <c r="J15" s="3061">
        <v>4435.8599999999997</v>
      </c>
      <c r="K15" s="3061">
        <v>10000</v>
      </c>
      <c r="L15" s="3061">
        <v>2.25</v>
      </c>
      <c r="M15" s="3061" t="s">
        <v>1298</v>
      </c>
      <c r="N15" s="3061" t="s">
        <v>1298</v>
      </c>
      <c r="O15" s="3061" t="s">
        <v>1298</v>
      </c>
      <c r="P15" s="3061" t="s">
        <v>1298</v>
      </c>
      <c r="Q15" s="3061" t="s">
        <v>1298</v>
      </c>
      <c r="R15" s="3061" t="s">
        <v>1298</v>
      </c>
      <c r="S15" s="3061" t="s">
        <v>1298</v>
      </c>
      <c r="T15" s="3061" t="s">
        <v>1298</v>
      </c>
      <c r="U15" s="3061" t="s">
        <v>1298</v>
      </c>
      <c r="V15" s="3061" t="s">
        <v>1298</v>
      </c>
      <c r="W15" s="3061" t="s">
        <v>3162</v>
      </c>
      <c r="X15" s="3061" t="s">
        <v>3259</v>
      </c>
      <c r="Y15" s="3061" t="s">
        <v>3260</v>
      </c>
      <c r="Z15" s="3061" t="s">
        <v>3252</v>
      </c>
      <c r="AA15" s="3061" t="s">
        <v>3252</v>
      </c>
      <c r="AB15" s="3061" t="s">
        <v>3257</v>
      </c>
      <c r="AC15" s="3061" t="s">
        <v>3165</v>
      </c>
      <c r="AD15" s="3061" t="s">
        <v>3261</v>
      </c>
      <c r="AE15" s="3061" t="s">
        <v>1298</v>
      </c>
      <c r="AF15" s="3061">
        <v>4600</v>
      </c>
      <c r="AG15" s="3061">
        <v>15350</v>
      </c>
      <c r="AH15" s="3061">
        <v>15350</v>
      </c>
      <c r="AI15" s="3061">
        <v>2306.96</v>
      </c>
      <c r="AJ15" s="3061">
        <v>2306.96</v>
      </c>
      <c r="AK15" s="3061">
        <v>15350</v>
      </c>
      <c r="AL15" s="3061">
        <v>15350</v>
      </c>
      <c r="AM15" s="3061" t="s">
        <v>1298</v>
      </c>
      <c r="AN15" s="3061" t="s">
        <v>1298</v>
      </c>
      <c r="AO15" s="3061">
        <v>0</v>
      </c>
      <c r="AP15" s="3061" t="s">
        <v>3213</v>
      </c>
      <c r="AQ15" s="3061" t="s">
        <v>1298</v>
      </c>
      <c r="AR15" s="3061" t="s">
        <v>1298</v>
      </c>
      <c r="AS15" s="3061" t="s">
        <v>1298</v>
      </c>
      <c r="AT15" s="3061" t="s">
        <v>3169</v>
      </c>
    </row>
    <row r="16" spans="1:46" s="3067" customFormat="1" ht="14.25">
      <c r="A16" s="3067" t="s">
        <v>3262</v>
      </c>
      <c r="B16" s="3067" t="s">
        <v>3061</v>
      </c>
      <c r="C16" s="3067" t="s">
        <v>3152</v>
      </c>
      <c r="D16" s="3067" t="s">
        <v>3153</v>
      </c>
      <c r="E16" s="3067" t="s">
        <v>3189</v>
      </c>
      <c r="F16" s="3067" t="s">
        <v>3263</v>
      </c>
      <c r="G16" s="3067" t="s">
        <v>3171</v>
      </c>
      <c r="H16" s="3067" t="s">
        <v>3264</v>
      </c>
      <c r="I16" s="3067" t="s">
        <v>3216</v>
      </c>
      <c r="J16" s="3067">
        <v>23493.01</v>
      </c>
      <c r="K16" s="3067">
        <v>70479</v>
      </c>
      <c r="L16" s="3067">
        <v>3</v>
      </c>
      <c r="M16" s="3067" t="s">
        <v>1298</v>
      </c>
      <c r="N16" s="3067" t="s">
        <v>1298</v>
      </c>
      <c r="O16" s="3067" t="s">
        <v>1298</v>
      </c>
      <c r="P16" s="3067" t="s">
        <v>1298</v>
      </c>
      <c r="Q16" s="3067" t="s">
        <v>1298</v>
      </c>
      <c r="R16" s="3067" t="s">
        <v>1298</v>
      </c>
      <c r="S16" s="3067" t="s">
        <v>1298</v>
      </c>
      <c r="T16" s="3067" t="s">
        <v>1298</v>
      </c>
      <c r="U16" s="3067" t="s">
        <v>1298</v>
      </c>
      <c r="V16" s="3067" t="s">
        <v>1298</v>
      </c>
      <c r="W16" s="3067" t="s">
        <v>3265</v>
      </c>
      <c r="X16" s="3067" t="s">
        <v>3266</v>
      </c>
      <c r="Y16" s="3067" t="s">
        <v>3267</v>
      </c>
      <c r="Z16" s="3067" t="s">
        <v>3268</v>
      </c>
      <c r="AA16" s="3067" t="s">
        <v>3268</v>
      </c>
      <c r="AB16" s="3067" t="s">
        <v>3264</v>
      </c>
      <c r="AC16" s="3067" t="s">
        <v>3165</v>
      </c>
      <c r="AD16" s="3067" t="s">
        <v>3058</v>
      </c>
      <c r="AE16" s="3067" t="s">
        <v>1298</v>
      </c>
      <c r="AF16" s="3067">
        <v>17000</v>
      </c>
      <c r="AG16" s="3067">
        <v>56400</v>
      </c>
      <c r="AH16" s="3067">
        <v>56400</v>
      </c>
      <c r="AI16" s="3067">
        <v>1600.48</v>
      </c>
      <c r="AJ16" s="3067">
        <v>1600.48</v>
      </c>
      <c r="AK16" s="3067">
        <v>8002.38</v>
      </c>
      <c r="AL16" s="3067">
        <v>8002.38</v>
      </c>
      <c r="AM16" s="3067" t="s">
        <v>1298</v>
      </c>
      <c r="AN16" s="3067" t="s">
        <v>1298</v>
      </c>
      <c r="AO16" s="3067">
        <v>0</v>
      </c>
      <c r="AP16" s="3067" t="s">
        <v>3213</v>
      </c>
      <c r="AQ16" s="3067" t="s">
        <v>1298</v>
      </c>
      <c r="AR16" s="3067" t="s">
        <v>1298</v>
      </c>
      <c r="AS16" s="3067" t="s">
        <v>1298</v>
      </c>
      <c r="AT16" s="3067" t="s">
        <v>3169</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85" zoomScaleNormal="80" zoomScaleSheetLayoutView="85" workbookViewId="0">
      <selection activeCell="O6" sqref="O6"/>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31731</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68604</v>
      </c>
      <c r="C2" s="2178" t="s">
        <v>2630</v>
      </c>
      <c r="D2" s="2179" t="s">
        <v>2631</v>
      </c>
      <c r="E2" s="2180" t="s">
        <v>1343</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30758</v>
      </c>
      <c r="U2" s="3099">
        <f>'数据-取费表'!L38</f>
        <v>10794.978260869568</v>
      </c>
      <c r="V2" s="1367">
        <f ca="1">ROUND(T2*U2/10000,0)</f>
        <v>33203</v>
      </c>
      <c r="W2" s="1371"/>
      <c r="X2" s="1371"/>
      <c r="Y2" s="1371"/>
      <c r="Z2" s="1371"/>
      <c r="AA2" s="1371"/>
      <c r="AB2" s="1371"/>
      <c r="AC2" s="1372"/>
      <c r="AD2" s="1373"/>
      <c r="AE2" s="1373"/>
      <c r="AF2" s="1373"/>
      <c r="AG2" s="1373"/>
      <c r="AH2" s="1373"/>
      <c r="AI2" s="1373"/>
      <c r="AJ2" s="1374"/>
    </row>
    <row r="3" spans="1:36" ht="25.5">
      <c r="A3" s="209" t="s">
        <v>2635</v>
      </c>
      <c r="B3" s="210">
        <f ca="1">ROUND(B2*10000/D1,0)</f>
        <v>21620</v>
      </c>
      <c r="C3" s="2178" t="s">
        <v>2636</v>
      </c>
      <c r="D3" s="2179" t="s">
        <v>2637</v>
      </c>
      <c r="E3" s="2184" t="s">
        <v>3341</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22078</v>
      </c>
      <c r="U3" s="3099">
        <f>'数据-取费表'!M38</f>
        <v>10794.978260869568</v>
      </c>
      <c r="V3" s="1367">
        <f t="shared" ref="V3:V16" ca="1" si="1">ROUND(T3*U3/10000,0)</f>
        <v>23833</v>
      </c>
      <c r="W3" s="1371"/>
      <c r="X3" s="1371"/>
      <c r="Y3" s="1371"/>
      <c r="Z3" s="1371"/>
      <c r="AA3" s="1371"/>
      <c r="AB3" s="1371"/>
      <c r="AC3" s="1372"/>
      <c r="AD3" s="1373"/>
      <c r="AE3" s="1373"/>
      <c r="AF3" s="1373"/>
      <c r="AG3" s="1373"/>
      <c r="AH3" s="1373"/>
      <c r="AI3" s="1373"/>
      <c r="AJ3" s="1374"/>
    </row>
    <row r="4" spans="1:36" ht="15.75">
      <c r="A4" s="3368"/>
      <c r="B4" s="3369"/>
      <c r="C4" s="3369"/>
      <c r="D4" s="3370"/>
      <c r="E4" s="3370"/>
      <c r="F4" s="3370"/>
      <c r="G4" s="3370"/>
      <c r="H4" s="3370"/>
      <c r="I4" s="3370"/>
      <c r="J4" s="3371"/>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17812</v>
      </c>
      <c r="U4" s="3099">
        <f>'数据-取费表'!N38</f>
        <v>1249.0434782608681</v>
      </c>
      <c r="V4" s="1367">
        <f t="shared" ca="1" si="1"/>
        <v>2225</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11390</v>
      </c>
      <c r="D5" s="1517">
        <f>ROUND(C6+C16,0)</f>
        <v>11390</v>
      </c>
      <c r="E5" s="1517"/>
      <c r="F5" s="2188"/>
      <c r="G5" s="2189"/>
      <c r="H5" s="2189"/>
      <c r="I5" s="2189"/>
      <c r="J5" s="2190"/>
      <c r="K5" s="2191"/>
      <c r="L5" s="2183" t="s">
        <v>2644</v>
      </c>
      <c r="M5" s="989">
        <f>SUMPRODUCT((区片价!B76:B109=I2)*(区片价!C3:F3=E2)*(区片价!C76:F109))</f>
        <v>11410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14292</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11410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12170</v>
      </c>
      <c r="U6" s="1368"/>
      <c r="V6" s="1367">
        <f t="shared" ca="1" si="1"/>
        <v>0</v>
      </c>
      <c r="W6" s="1371"/>
      <c r="X6" s="1371"/>
      <c r="Y6" s="1371"/>
      <c r="Z6" s="1371"/>
      <c r="AA6" s="1371"/>
      <c r="AB6" s="1371"/>
      <c r="AC6" s="2192"/>
      <c r="AD6" s="2193"/>
      <c r="AE6" s="2193"/>
      <c r="AF6" s="2193"/>
      <c r="AG6" s="2193"/>
      <c r="AH6" s="2193"/>
      <c r="AI6" s="2193"/>
      <c r="AJ6" s="2194"/>
    </row>
    <row r="7" spans="1:36" ht="24">
      <c r="A7" s="3349" t="str">
        <f>IF(E2="商业",IF(C8="不临58条商业街","",2),"")</f>
        <v/>
      </c>
      <c r="B7" s="2202"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10702</v>
      </c>
      <c r="U7" s="1368"/>
      <c r="V7" s="1367">
        <f t="shared" ca="1" si="1"/>
        <v>0</v>
      </c>
      <c r="W7" s="1536" t="s">
        <v>2652</v>
      </c>
      <c r="X7" s="1369" t="str">
        <f>G2</f>
        <v>五级</v>
      </c>
      <c r="Y7" s="1369" t="s">
        <v>2653</v>
      </c>
      <c r="Z7" s="1370">
        <f>G3</f>
        <v>3</v>
      </c>
      <c r="AA7" s="1371"/>
      <c r="AB7" s="1371"/>
      <c r="AC7" s="1372"/>
      <c r="AD7" s="1373"/>
      <c r="AE7" s="1373"/>
      <c r="AF7" s="1373"/>
      <c r="AG7" s="1373"/>
      <c r="AH7" s="1373"/>
      <c r="AI7" s="1373"/>
      <c r="AJ7" s="1374"/>
    </row>
    <row r="8" spans="1:36" ht="25.5">
      <c r="A8" s="3372"/>
      <c r="B8" s="175" t="s">
        <v>2654</v>
      </c>
      <c r="C8" s="2207" t="s">
        <v>3342</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65" t="s">
        <v>2657</v>
      </c>
      <c r="X8" s="3366"/>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72"/>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67"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72"/>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67"/>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72"/>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67" t="s">
        <v>2681</v>
      </c>
      <c r="X11" s="1379" t="s">
        <v>2682</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49"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67"/>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73"/>
      <c r="B13" s="2221" t="s">
        <v>2688</v>
      </c>
      <c r="C13" s="2222" t="s">
        <v>2689</v>
      </c>
      <c r="D13" s="1528" t="s">
        <v>2690</v>
      </c>
      <c r="E13" s="1528"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67"/>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73"/>
      <c r="B14" s="2225"/>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74"/>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49" t="s">
        <v>2700</v>
      </c>
      <c r="B16" s="2202" t="s">
        <v>2701</v>
      </c>
      <c r="C16" s="2364">
        <f>ROUND(IF(F17="与级别开发程度一致",0,(G17-E17)/C17),0)</f>
        <v>-20</v>
      </c>
      <c r="D16" s="3362" t="s">
        <v>2705</v>
      </c>
      <c r="E16" s="3363"/>
      <c r="F16" s="3362" t="s">
        <v>2702</v>
      </c>
      <c r="G16" s="3363"/>
      <c r="H16" s="2234" t="s">
        <v>3071</v>
      </c>
      <c r="I16" s="2234" t="s">
        <v>3072</v>
      </c>
      <c r="J16" s="2368" t="s">
        <v>3073</v>
      </c>
      <c r="K16" s="2234" t="s">
        <v>3074</v>
      </c>
      <c r="L16" s="2234" t="s">
        <v>3075</v>
      </c>
      <c r="M16" s="2234" t="s">
        <v>3076</v>
      </c>
      <c r="N16" s="2234"/>
      <c r="O16" s="2235" t="s">
        <v>3344</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50"/>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3343</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1.1000000000000001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ROUND(IF(H19="按公示增长率计算",SUMPRODUCT((地价!A3:A34=YEAR(G19)&amp;"-"&amp;ROUNDUP(MONTH(G19)/3,0))*(地价!X2:AB2=E2)*(地价!X3:AB34)),IF(H19="地价指数",M20/M19,(1+I19)^O19)),4)</f>
        <v>1.3469</v>
      </c>
      <c r="D19" s="2244" t="s">
        <v>2709</v>
      </c>
      <c r="E19" s="858">
        <v>41640</v>
      </c>
      <c r="F19" s="2244" t="s">
        <v>2710</v>
      </c>
      <c r="G19" s="859">
        <f>'数据-取费表'!B2</f>
        <v>44299</v>
      </c>
      <c r="H19" s="2245" t="s">
        <v>3354</v>
      </c>
      <c r="I19" s="860" t="str">
        <f>IF(H19="季度增幅（自定义）",SUMIF(N21:N24,E2,O21:O24),"")</f>
        <v/>
      </c>
      <c r="J19" s="2242"/>
      <c r="K19" s="1281"/>
      <c r="L19" s="2246" t="s">
        <v>2711</v>
      </c>
      <c r="M19" s="1490">
        <f>ROUND(SUMIF(地价!B2:F2,E2,地价!B34:F34),0)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0.9304</v>
      </c>
      <c r="D20" s="2251" t="s">
        <v>2714</v>
      </c>
      <c r="E20" s="1499">
        <f ca="1">存贷款利率!D4/100</f>
        <v>3.85E-2</v>
      </c>
      <c r="F20" s="2251" t="s">
        <v>2706</v>
      </c>
      <c r="G20" s="867">
        <f ca="1">SUMIF(M26:P26,E2,M28:P28)</f>
        <v>4.8000000000000001E-2</v>
      </c>
      <c r="H20" s="2251" t="s">
        <v>2715</v>
      </c>
      <c r="I20" s="868">
        <f>SUMIF('数据-取费表'!C6:C15,E2,'数据-取费表'!F6:F15)/COUNTIF('数据-取费表'!C6:C15,E2)</f>
        <v>33.06</v>
      </c>
      <c r="J20" s="869">
        <f>IF(E2="住宅",70,IF(E2="商业",40,50))</f>
        <v>40</v>
      </c>
      <c r="K20" s="1281"/>
      <c r="L20" s="2252" t="s">
        <v>2716</v>
      </c>
      <c r="M20" s="1491">
        <f>ROUND(SUMPRODUCT((地价!A4:A34=YEAR(G19)&amp;"-"&amp;ROUNDUP(MONTH(G19)/3,0))*(地价!B2:F2=E2)*(地价!B4:F34)),0)</f>
        <v>347</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3108" t="s">
        <v>3357</v>
      </c>
      <c r="C21" s="870">
        <f>IF(B21="容积率修正",IF(G3&lt;=10,D22,J22),C23)</f>
        <v>0</v>
      </c>
      <c r="D21" s="2258"/>
      <c r="E21" s="2258"/>
      <c r="F21" s="2258"/>
      <c r="G21" s="2258"/>
      <c r="H21" s="2258"/>
      <c r="I21" s="2258"/>
      <c r="J21" s="2259"/>
      <c r="K21" s="1281"/>
      <c r="L21" s="3009"/>
      <c r="M21" s="3009"/>
      <c r="N21" s="2260" t="s">
        <v>2720</v>
      </c>
      <c r="O21" s="1329">
        <v>1.4999999999999999E-2</v>
      </c>
      <c r="P21" s="1330">
        <f>SUMPRODUCT((地价!A3:A34=YEAR(G19)&amp;"-"&amp;ROUNDUP(MONTH(G19)/3,0))*(地价!AD2:AH2=N21)*(地价!AD3:AH34))</f>
        <v>1.0800000000000001E-2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1530" t="s">
        <v>2723</v>
      </c>
      <c r="D22" s="1530">
        <f>IF(E22=G22,F22,IF(G3&lt;=10,ROUND(F22+(H22-F22)*(G3-E22)/(G22-E22),4),"——"))</f>
        <v>0.94089999999999996</v>
      </c>
      <c r="E22" s="849">
        <f>ROUNDDOWN(G3,1)</f>
        <v>3</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849">
        <f>ROUNDUP(G3,1)</f>
        <v>3</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0" t="s">
        <v>155</v>
      </c>
      <c r="J22" s="871" t="str">
        <f>IF(G3&gt;10,D113,"——")</f>
        <v>——</v>
      </c>
      <c r="K22" s="1281"/>
      <c r="L22" s="3009"/>
      <c r="M22" s="3009"/>
      <c r="N22" s="2260" t="s">
        <v>2724</v>
      </c>
      <c r="O22" s="1329">
        <f>O21</f>
        <v>1.4999999999999999E-2</v>
      </c>
      <c r="P22" s="1330">
        <f>SUMPRODUCT((地价!A3:A34=YEAR(G19)&amp;"-"&amp;ROUNDUP(MONTH(G19)/3,0))*(地价!AD2:AH2=N22)*(地价!AD3:AH34))</f>
        <v>1.0800000000000001E-2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1.0516000000000001</v>
      </c>
      <c r="D24" s="2241"/>
      <c r="E24" s="2268"/>
      <c r="F24" s="2268"/>
      <c r="G24" s="2268"/>
      <c r="H24" s="2268"/>
      <c r="I24" s="2268"/>
      <c r="J24" s="2269"/>
      <c r="K24" s="1281"/>
      <c r="L24" s="3009"/>
      <c r="M24" s="3009"/>
      <c r="N24" s="2270" t="s">
        <v>2729</v>
      </c>
      <c r="O24" s="1331"/>
      <c r="P24" s="1332">
        <f>SUMPRODUCT((地价!A3:A34=YEAR(G19)&amp;"-"&amp;ROUNDUP(MONTH(G19)/3,0))*(地价!AD2:AH2=N24)*(地价!AD3:AH34))</f>
        <v>1.24E-2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68604</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2336</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0</v>
      </c>
      <c r="D29" s="2289">
        <f>'数据-汇总表'!F19</f>
        <v>22839</v>
      </c>
      <c r="E29" s="873">
        <f ca="1">ROUND(C29*D29/10000,0)</f>
        <v>0</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0</v>
      </c>
      <c r="D30" s="2295"/>
      <c r="E30" s="873">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59"/>
      <c r="B33" s="2305" t="s">
        <v>2746</v>
      </c>
      <c r="C33" s="180">
        <f ca="1">ROUND(D5*C19*C20*C24*F33,0)</f>
        <v>10507</v>
      </c>
      <c r="D33" s="2289">
        <f>'数据-汇总表'!G19</f>
        <v>8892</v>
      </c>
      <c r="E33" s="176">
        <f ca="1">ROUND(C33*D33/10000,0)</f>
        <v>9343</v>
      </c>
      <c r="F33" s="176">
        <f>SUMIF(修正!A45:A56,G2,修正!B45:B56)</f>
        <v>0.7</v>
      </c>
      <c r="G33" s="176">
        <f t="shared" ref="G33" ca="1" si="6">ROUND(IF(E2="工业",C33*$M$39,C33*$M$38),0)</f>
        <v>2627</v>
      </c>
      <c r="H33" s="176">
        <f>D33</f>
        <v>8892</v>
      </c>
      <c r="I33" s="176">
        <f ca="1">ROUND(G33*H33/10000,0)</f>
        <v>2336</v>
      </c>
      <c r="J33" s="3364" t="s">
        <v>3048</v>
      </c>
      <c r="K33" s="1274"/>
      <c r="L33" s="1274"/>
      <c r="M33" s="1274"/>
      <c r="N33" s="1274"/>
      <c r="O33" s="3098">
        <f ca="1">E29+E33+基准地价修正办!E29+基准地价修正办!E39</f>
        <v>82335</v>
      </c>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60"/>
      <c r="B34" s="2222" t="s">
        <v>2747</v>
      </c>
      <c r="C34" s="180">
        <f ca="1">ROUND(D5*C19*C20*C24*F34,0)</f>
        <v>6004</v>
      </c>
      <c r="D34" s="2289"/>
      <c r="E34" s="176">
        <f t="shared" ref="E34:E39" ca="1" si="7">ROUND(C34*D34/10000,0)</f>
        <v>0</v>
      </c>
      <c r="F34" s="176">
        <f>SUMIF(修正!A45:A56,G2,修正!C45:C56)</f>
        <v>0.4</v>
      </c>
      <c r="G34" s="176">
        <f ca="1">ROUND(IF(E2="工业",C34*$M$39,C34*$M$38),0)</f>
        <v>1501</v>
      </c>
      <c r="H34" s="176">
        <f t="shared" ref="H34:H39" si="8">D34</f>
        <v>0</v>
      </c>
      <c r="I34" s="176">
        <f t="shared" ref="I34:I39" ca="1" si="9">ROUND(G34*H34/10000,0)</f>
        <v>0</v>
      </c>
      <c r="J34" s="336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60"/>
      <c r="B35" s="2222" t="s">
        <v>2748</v>
      </c>
      <c r="C35" s="180">
        <f ca="1">ROUND(D5*C19*C20*C24*F35,0)</f>
        <v>4203</v>
      </c>
      <c r="D35" s="2289"/>
      <c r="E35" s="176">
        <f t="shared" ca="1" si="7"/>
        <v>0</v>
      </c>
      <c r="F35" s="176">
        <f>SUMIF(修正!A45:A56,G2,修正!D45:D56)</f>
        <v>0.28000000000000003</v>
      </c>
      <c r="G35" s="176">
        <f ca="1">ROUND(IF(E2="工业",C35*$M$39,C35*$M$38),0)</f>
        <v>1051</v>
      </c>
      <c r="H35" s="176">
        <f t="shared" si="8"/>
        <v>0</v>
      </c>
      <c r="I35" s="176">
        <f t="shared" ca="1" si="9"/>
        <v>0</v>
      </c>
      <c r="J35" s="336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61"/>
      <c r="B36" s="2222" t="s">
        <v>2749</v>
      </c>
      <c r="C36" s="180">
        <f ca="1">ROUND(D5*C19*C20*C24*F36,0)</f>
        <v>3752</v>
      </c>
      <c r="D36" s="2289"/>
      <c r="E36" s="176">
        <f t="shared" ca="1" si="7"/>
        <v>0</v>
      </c>
      <c r="F36" s="176">
        <f>SUMIF(修正!A45:A56,G2,修正!E45:E56)</f>
        <v>0.25</v>
      </c>
      <c r="G36" s="176">
        <f ca="1">ROUND(IF(E2="工业",C36*$M$39,C36*$M$38),0)</f>
        <v>938</v>
      </c>
      <c r="H36" s="176">
        <f t="shared" si="8"/>
        <v>0</v>
      </c>
      <c r="I36" s="176">
        <f t="shared" ca="1" si="9"/>
        <v>0</v>
      </c>
      <c r="J36" s="3361"/>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3752</v>
      </c>
      <c r="D37" s="2289"/>
      <c r="E37" s="176">
        <f t="shared" ca="1" si="7"/>
        <v>0</v>
      </c>
      <c r="F37" s="180">
        <f>SUMIF(修正!A45:A56,G2,修正!F45:F56)</f>
        <v>0.25</v>
      </c>
      <c r="G37" s="176">
        <f ca="1">ROUND(IF(E2="工业",C37*$M$39,C37*$M$38),0)</f>
        <v>938</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0</v>
      </c>
      <c r="D38" s="2289"/>
      <c r="E38" s="176">
        <f t="shared" ca="1" si="7"/>
        <v>0</v>
      </c>
      <c r="F38" s="180">
        <f>SUMIF(修正!A45:A56,G2,修正!G45:G56)</f>
        <v>0.25</v>
      </c>
      <c r="G38" s="176">
        <f ca="1">ROUND(IF(E2="工业",C38*$M$39,C38*$M$38),0)</f>
        <v>0</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0</v>
      </c>
      <c r="D39" s="2295"/>
      <c r="E39" s="193">
        <f t="shared" ca="1" si="7"/>
        <v>0</v>
      </c>
      <c r="F39" s="865">
        <f>SUMIF(修正!A45:A56,G2,修正!H45:H56)</f>
        <v>0.2</v>
      </c>
      <c r="G39" s="193">
        <f ca="1">ROUND(IF(E2="工业",C39*$M$39,C39*$M$38),0)</f>
        <v>0</v>
      </c>
      <c r="H39" s="193">
        <f t="shared" si="8"/>
        <v>0</v>
      </c>
      <c r="I39" s="193">
        <f t="shared" ca="1" si="9"/>
        <v>0</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v>
      </c>
      <c r="D41" s="176" t="s">
        <v>2706</v>
      </c>
      <c r="E41" s="2362">
        <f ca="1">G20</f>
        <v>4.8000000000000001E-2</v>
      </c>
      <c r="F41" s="176" t="s">
        <v>2715</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1.0516000000000001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t="s">
        <v>3274</v>
      </c>
      <c r="D48" s="1190">
        <f t="shared" ref="D48:D56" si="10">SUMIF($J$47:$N$47,C48,J48:N48)</f>
        <v>1.6E-2</v>
      </c>
      <c r="E48" s="754">
        <f>ROUND(SUM(D48:D56),4)</f>
        <v>5.16E-2</v>
      </c>
      <c r="F48" s="1993">
        <f>IF(E2="商业",SUMIF(L1:L12,G2,N1:N12),"——")</f>
        <v>9.9000000000000005E-2</v>
      </c>
      <c r="G48" s="1188">
        <v>1.6E-2</v>
      </c>
      <c r="H48" s="1192">
        <f t="shared" ref="H48:H56" si="11">IFERROR(ROUNDDOWN($F$48*I48/2,4),"——")</f>
        <v>1.6299999999999999E-2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t="s">
        <v>3274</v>
      </c>
      <c r="D49" s="1190">
        <f t="shared" si="10"/>
        <v>1.2E-2</v>
      </c>
      <c r="E49" s="755"/>
      <c r="F49" s="1993"/>
      <c r="G49" s="1188">
        <v>1.2E-2</v>
      </c>
      <c r="H49" s="1192">
        <f t="shared" si="11"/>
        <v>1.23E-2</v>
      </c>
      <c r="I49" s="753">
        <v>0.25</v>
      </c>
      <c r="J49" s="1189">
        <f t="shared" si="12"/>
        <v>2.4E-2</v>
      </c>
      <c r="K49" s="1189">
        <f t="shared" si="13"/>
        <v>1.2E-2</v>
      </c>
      <c r="L49" s="1189">
        <v>0</v>
      </c>
      <c r="M49" s="1189">
        <f t="shared" si="14"/>
        <v>-1.2E-2</v>
      </c>
      <c r="N49" s="1189">
        <f t="shared" si="14"/>
        <v>-2.4E-2</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t="s">
        <v>3274</v>
      </c>
      <c r="D50" s="1190">
        <f t="shared" si="10"/>
        <v>2.3999999999999998E-3</v>
      </c>
      <c r="E50" s="755"/>
      <c r="F50" s="1993"/>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2768</v>
      </c>
      <c r="B51" s="2327" t="s">
        <v>2769</v>
      </c>
      <c r="C51" s="2227" t="s">
        <v>3274</v>
      </c>
      <c r="D51" s="1190">
        <f t="shared" si="10"/>
        <v>2.3999999999999998E-3</v>
      </c>
      <c r="E51" s="755"/>
      <c r="F51" s="1993"/>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t="s">
        <v>3274</v>
      </c>
      <c r="D52" s="1190">
        <f t="shared" si="10"/>
        <v>3.5000000000000001E-3</v>
      </c>
      <c r="E52" s="755"/>
      <c r="F52" s="1993"/>
      <c r="G52" s="1188">
        <v>3.5000000000000001E-3</v>
      </c>
      <c r="H52" s="1192">
        <f t="shared" si="11"/>
        <v>3.8999999999999998E-3</v>
      </c>
      <c r="I52" s="753">
        <v>0.08</v>
      </c>
      <c r="J52" s="1189">
        <f t="shared" si="12"/>
        <v>7.0000000000000001E-3</v>
      </c>
      <c r="K52" s="1189">
        <f t="shared" si="13"/>
        <v>3.5000000000000001E-3</v>
      </c>
      <c r="L52" s="1189">
        <v>0</v>
      </c>
      <c r="M52" s="1189">
        <f t="shared" si="14"/>
        <v>-3.5000000000000001E-3</v>
      </c>
      <c r="N52" s="1189">
        <f t="shared" si="14"/>
        <v>-7.0000000000000001E-3</v>
      </c>
      <c r="AA52" s="1275"/>
      <c r="AB52" s="1275"/>
      <c r="AC52" s="1275"/>
      <c r="AD52" s="1275"/>
      <c r="AE52" s="1275"/>
      <c r="AF52" s="1275"/>
      <c r="AG52" s="1275"/>
      <c r="AH52" s="1275"/>
      <c r="AI52" s="1275"/>
      <c r="AJ52" s="1275"/>
      <c r="AK52" s="1275"/>
    </row>
    <row r="53" spans="1:37" s="1274" customFormat="1" ht="24">
      <c r="A53" s="2322" t="s">
        <v>2771</v>
      </c>
      <c r="B53" s="2328" t="s">
        <v>2772</v>
      </c>
      <c r="C53" s="2227" t="s">
        <v>3274</v>
      </c>
      <c r="D53" s="1190">
        <f t="shared" si="10"/>
        <v>1.4E-3</v>
      </c>
      <c r="E53" s="755"/>
      <c r="F53" s="1993"/>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t="s">
        <v>3274</v>
      </c>
      <c r="D54" s="1190">
        <f t="shared" si="10"/>
        <v>2.3999999999999998E-3</v>
      </c>
      <c r="E54" s="755"/>
      <c r="F54" s="1993"/>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t="s">
        <v>3277</v>
      </c>
      <c r="D55" s="1190">
        <f t="shared" si="10"/>
        <v>8.9999999999999993E-3</v>
      </c>
      <c r="E55" s="755"/>
      <c r="F55" s="1993"/>
      <c r="G55" s="1188">
        <v>4.4999999999999997E-3</v>
      </c>
      <c r="H55" s="1192">
        <f t="shared" si="11"/>
        <v>4.8999999999999998E-3</v>
      </c>
      <c r="I55" s="753">
        <v>0.1</v>
      </c>
      <c r="J55" s="1189">
        <f t="shared" si="12"/>
        <v>8.9999999999999993E-3</v>
      </c>
      <c r="K55" s="1189">
        <f t="shared" si="13"/>
        <v>4.4999999999999997E-3</v>
      </c>
      <c r="L55" s="1189">
        <v>0</v>
      </c>
      <c r="M55" s="1189">
        <f t="shared" si="14"/>
        <v>-4.4999999999999997E-3</v>
      </c>
      <c r="N55" s="1189">
        <f t="shared" si="14"/>
        <v>-8.9999999999999993E-3</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t="s">
        <v>3274</v>
      </c>
      <c r="D56" s="1190">
        <f t="shared" si="10"/>
        <v>2.5000000000000001E-3</v>
      </c>
      <c r="E56" s="758"/>
      <c r="F56" s="1993"/>
      <c r="G56" s="1188">
        <v>2.5000000000000001E-3</v>
      </c>
      <c r="H56" s="1192">
        <f t="shared" si="11"/>
        <v>2.8999999999999998E-3</v>
      </c>
      <c r="I56" s="757">
        <v>0.06</v>
      </c>
      <c r="J56" s="1189">
        <f t="shared" si="12"/>
        <v>5.0000000000000001E-3</v>
      </c>
      <c r="K56" s="1189">
        <f t="shared" si="13"/>
        <v>2.5000000000000001E-3</v>
      </c>
      <c r="L56" s="1189">
        <v>0</v>
      </c>
      <c r="M56" s="1189">
        <f t="shared" si="14"/>
        <v>-2.5000000000000001E-3</v>
      </c>
      <c r="N56" s="1189">
        <f t="shared" si="14"/>
        <v>-5.0000000000000001E-3</v>
      </c>
      <c r="AA56" s="1275"/>
      <c r="AB56" s="1275"/>
      <c r="AC56" s="1275"/>
      <c r="AD56" s="1275"/>
      <c r="AE56" s="1275"/>
      <c r="AF56" s="1275"/>
      <c r="AG56" s="1275"/>
      <c r="AH56" s="1275"/>
      <c r="AI56" s="1275"/>
      <c r="AJ56" s="1275"/>
      <c r="AK56" s="1275"/>
    </row>
    <row r="57" spans="1:37" s="1274" customFormat="1" ht="15">
      <c r="A57" s="2318" t="s">
        <v>2776</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2768</v>
      </c>
      <c r="B62" s="2327" t="s">
        <v>2769</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2771</v>
      </c>
      <c r="B64" s="2328" t="s">
        <v>2772</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hidden="1">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hidden="1">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hidden="1">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hidden="1">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hidden="1">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hidden="1">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hidden="1">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hidden="1">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hidden="1">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hidden="1">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hidden="1"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hidden="1">
      <c r="A79" s="2318" t="s">
        <v>2783</v>
      </c>
      <c r="B79" s="2319">
        <f>1+E81</f>
        <v>1</v>
      </c>
      <c r="C79" s="747"/>
      <c r="D79" s="747"/>
      <c r="E79" s="748"/>
      <c r="F79" s="2321"/>
      <c r="G79" s="6"/>
      <c r="H79" s="6"/>
      <c r="I79" s="6"/>
      <c r="J79" s="7"/>
      <c r="K79" s="7"/>
      <c r="L79" s="7"/>
      <c r="M79" s="7"/>
      <c r="N79" s="7"/>
      <c r="Z79" s="2177"/>
      <c r="AA79" s="2243"/>
      <c r="AG79" s="1276"/>
      <c r="AK79" s="2243"/>
    </row>
    <row r="80" spans="1:37" ht="24.75" hidden="1">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hidden="1">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hidden="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hidden="1">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hidden="1">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hidden="1">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hidden="1">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hidden="1">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hidden="1"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51" t="s">
        <v>2787</v>
      </c>
      <c r="B90" s="3351"/>
      <c r="C90" s="3351"/>
      <c r="D90" s="3351"/>
      <c r="E90" s="3351"/>
      <c r="F90" s="3351"/>
      <c r="G90" s="3351"/>
      <c r="H90" s="3351"/>
      <c r="I90" s="3351"/>
      <c r="J90" s="3351"/>
      <c r="K90" s="2336"/>
      <c r="L90" s="2336"/>
      <c r="M90" s="2336"/>
      <c r="N90" s="2336"/>
    </row>
    <row r="91" spans="1:37">
      <c r="A91" s="3353" t="s">
        <v>2788</v>
      </c>
      <c r="B91" s="3353" t="s">
        <v>2789</v>
      </c>
      <c r="C91" s="2290" t="s">
        <v>2790</v>
      </c>
      <c r="D91" s="2291"/>
      <c r="E91" s="2291"/>
      <c r="F91" s="2291"/>
      <c r="G91" s="2291"/>
      <c r="H91" s="2291"/>
      <c r="I91" s="2291"/>
      <c r="J91" s="2337"/>
      <c r="K91" s="2338"/>
      <c r="L91" s="2338"/>
      <c r="M91" s="2338"/>
      <c r="N91" s="2338"/>
    </row>
    <row r="92" spans="1:37">
      <c r="A92" s="3353"/>
      <c r="B92" s="3353"/>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354"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5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5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5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5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5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55"/>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56"/>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54"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55"/>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55"/>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55"/>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55"/>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55"/>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55"/>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55"/>
      <c r="B108" s="3357" t="s">
        <v>2794</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56"/>
      <c r="B109" s="3358"/>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52" t="s">
        <v>2795</v>
      </c>
      <c r="B110" s="3352"/>
      <c r="C110" s="3352"/>
      <c r="D110" s="3352"/>
      <c r="E110" s="3352"/>
      <c r="F110" s="3352"/>
      <c r="G110" s="3352"/>
      <c r="H110" s="3352"/>
      <c r="I110" s="3352"/>
      <c r="J110" s="3352"/>
      <c r="K110" s="2345"/>
      <c r="L110" s="2345"/>
      <c r="M110" s="2345"/>
      <c r="N110" s="2345"/>
    </row>
    <row r="112" spans="1:14" ht="13.5" thickBot="1"/>
    <row r="113" spans="1:13" ht="25.5" thickBot="1">
      <c r="A113" s="836" t="s">
        <v>2796</v>
      </c>
      <c r="B113" s="1191">
        <f>G3</f>
        <v>3</v>
      </c>
      <c r="C113" s="837" t="s">
        <v>2797</v>
      </c>
      <c r="D113" s="838">
        <f>SUMPRODUCT((A115:A118=F113)*(B114:M114=H113)*B115:M118)</f>
        <v>0.8004</v>
      </c>
      <c r="E113" s="2181" t="s">
        <v>2631</v>
      </c>
      <c r="F113" s="2347" t="str">
        <f>E2</f>
        <v>商业</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19" sqref="H19"/>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68880</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72992</v>
      </c>
      <c r="C2" s="2178" t="s">
        <v>2630</v>
      </c>
      <c r="D2" s="2179" t="s">
        <v>2631</v>
      </c>
      <c r="E2" s="2180" t="s">
        <v>27</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28635</v>
      </c>
      <c r="U2" s="1368"/>
      <c r="V2" s="1367">
        <f ca="1">ROUND(T2*U2/10000,0)</f>
        <v>0</v>
      </c>
      <c r="W2" s="1371"/>
      <c r="X2" s="1371"/>
      <c r="Y2" s="1371"/>
      <c r="Z2" s="1371"/>
      <c r="AA2" s="1371"/>
      <c r="AB2" s="1371"/>
      <c r="AC2" s="1372"/>
      <c r="AD2" s="1373"/>
      <c r="AE2" s="1373"/>
      <c r="AF2" s="1373"/>
      <c r="AG2" s="1373"/>
      <c r="AH2" s="1373"/>
      <c r="AI2" s="1373"/>
      <c r="AJ2" s="1374"/>
    </row>
    <row r="3" spans="1:36" ht="25.5">
      <c r="A3" s="209" t="s">
        <v>2635</v>
      </c>
      <c r="B3" s="210">
        <f ca="1">ROUND(B2*10000/D1,0)</f>
        <v>10597</v>
      </c>
      <c r="C3" s="2178" t="s">
        <v>2636</v>
      </c>
      <c r="D3" s="2179" t="s">
        <v>2637</v>
      </c>
      <c r="E3" s="2184" t="s">
        <v>3353</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20554</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68"/>
      <c r="B4" s="3369"/>
      <c r="C4" s="3369"/>
      <c r="D4" s="3370"/>
      <c r="E4" s="3370"/>
      <c r="F4" s="3370"/>
      <c r="G4" s="3370"/>
      <c r="H4" s="3370"/>
      <c r="I4" s="3370"/>
      <c r="J4" s="3371"/>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16582</v>
      </c>
      <c r="U4" s="1368"/>
      <c r="V4" s="1367">
        <f t="shared" ca="1" si="1"/>
        <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11340</v>
      </c>
      <c r="D5" s="1517">
        <f>ROUND(C6+C16,0)</f>
        <v>11340</v>
      </c>
      <c r="E5" s="1517"/>
      <c r="F5" s="2188"/>
      <c r="G5" s="2189"/>
      <c r="H5" s="2189"/>
      <c r="I5" s="2189"/>
      <c r="J5" s="2190"/>
      <c r="K5" s="2191"/>
      <c r="L5" s="2183" t="s">
        <v>2644</v>
      </c>
      <c r="M5" s="989">
        <f>SUMPRODUCT((区片价!B76:B109=I2)*(区片价!C3:F3=E2)*(区片价!C76:F109))</f>
        <v>11360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13305</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11360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11330</v>
      </c>
      <c r="U6" s="1368"/>
      <c r="V6" s="1367">
        <f t="shared" ca="1" si="1"/>
        <v>0</v>
      </c>
      <c r="W6" s="1371"/>
      <c r="X6" s="1371"/>
      <c r="Y6" s="1371"/>
      <c r="Z6" s="1371"/>
      <c r="AA6" s="1371"/>
      <c r="AB6" s="1371"/>
      <c r="AC6" s="2192"/>
      <c r="AD6" s="2193"/>
      <c r="AE6" s="2193"/>
      <c r="AF6" s="2193"/>
      <c r="AG6" s="2193"/>
      <c r="AH6" s="2193"/>
      <c r="AI6" s="2193"/>
      <c r="AJ6" s="2194"/>
    </row>
    <row r="7" spans="1:36" ht="24">
      <c r="A7" s="3349" t="str">
        <f>IF(E2="商业",IF(C8="不临58条商业街","",2),"")</f>
        <v/>
      </c>
      <c r="B7" s="3080"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9963</v>
      </c>
      <c r="U7" s="1368"/>
      <c r="V7" s="1367">
        <f t="shared" ca="1" si="1"/>
        <v>0</v>
      </c>
      <c r="W7" s="3085" t="s">
        <v>2652</v>
      </c>
      <c r="X7" s="1369" t="str">
        <f>G2</f>
        <v>五级</v>
      </c>
      <c r="Y7" s="1369" t="s">
        <v>2653</v>
      </c>
      <c r="Z7" s="1370">
        <f>G3</f>
        <v>3</v>
      </c>
      <c r="AA7" s="1371"/>
      <c r="AB7" s="1371"/>
      <c r="AC7" s="1372"/>
      <c r="AD7" s="1373"/>
      <c r="AE7" s="1373"/>
      <c r="AF7" s="1373"/>
      <c r="AG7" s="1373"/>
      <c r="AH7" s="1373"/>
      <c r="AI7" s="1373"/>
      <c r="AJ7" s="1374"/>
    </row>
    <row r="8" spans="1:36" ht="25.5">
      <c r="A8" s="3372"/>
      <c r="B8" s="175" t="s">
        <v>2654</v>
      </c>
      <c r="C8" s="2207" t="s">
        <v>3342</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65" t="s">
        <v>2657</v>
      </c>
      <c r="X8" s="3366"/>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72"/>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67"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72"/>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67"/>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72"/>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67" t="s">
        <v>2681</v>
      </c>
      <c r="X11" s="1379" t="s">
        <v>2653</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49"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67"/>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73"/>
      <c r="B13" s="3081" t="s">
        <v>2688</v>
      </c>
      <c r="C13" s="2222" t="s">
        <v>2689</v>
      </c>
      <c r="D13" s="3089" t="s">
        <v>2690</v>
      </c>
      <c r="E13" s="3089"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67"/>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73"/>
      <c r="B14" s="3082"/>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74"/>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49" t="s">
        <v>2700</v>
      </c>
      <c r="B16" s="3080" t="s">
        <v>2701</v>
      </c>
      <c r="C16" s="2364">
        <f>ROUND(IF(F17="与级别开发程度一致",0,(G17-E17)/C17),0)</f>
        <v>-20</v>
      </c>
      <c r="D16" s="3362" t="s">
        <v>2705</v>
      </c>
      <c r="E16" s="3363"/>
      <c r="F16" s="3362" t="s">
        <v>2702</v>
      </c>
      <c r="G16" s="3363"/>
      <c r="H16" s="2234" t="s">
        <v>3071</v>
      </c>
      <c r="I16" s="2234" t="s">
        <v>3072</v>
      </c>
      <c r="J16" s="2368" t="s">
        <v>3073</v>
      </c>
      <c r="K16" s="2234" t="s">
        <v>3074</v>
      </c>
      <c r="L16" s="2234" t="s">
        <v>3075</v>
      </c>
      <c r="M16" s="2234" t="s">
        <v>3076</v>
      </c>
      <c r="N16" s="2234"/>
      <c r="O16" s="2235" t="s">
        <v>3344</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50"/>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3343</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ROUND(IF(H19="按公示增长率计算",SUMPRODUCT((地价!A3:A34=YEAR(G19)&amp;"-"&amp;ROUNDUP(MONTH(G19)/3,0))*(地价!X2:AB2=E2)*(地价!X3:AB34)),IF(H19="地价指数",M20/M19,(1+I19)^O19)),4)</f>
        <v>1.3469</v>
      </c>
      <c r="D19" s="2244" t="s">
        <v>2709</v>
      </c>
      <c r="E19" s="858">
        <v>41640</v>
      </c>
      <c r="F19" s="2244" t="s">
        <v>2710</v>
      </c>
      <c r="G19" s="859">
        <f>'数据-取费表'!B2</f>
        <v>44299</v>
      </c>
      <c r="H19" s="2245" t="s">
        <v>3354</v>
      </c>
      <c r="I19" s="860" t="str">
        <f>IF(H19="季度增幅（自定义）",SUMIF(N21:N24,E2,O21:O24),"")</f>
        <v/>
      </c>
      <c r="J19" s="2242"/>
      <c r="K19" s="1281"/>
      <c r="L19" s="2246" t="s">
        <v>2711</v>
      </c>
      <c r="M19" s="1490">
        <f>ROUND(SUMIF(地价!B2:F2,E2,地价!B34:F34),0)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0.95679999999999998</v>
      </c>
      <c r="D20" s="2251" t="s">
        <v>2714</v>
      </c>
      <c r="E20" s="1499">
        <f ca="1">存贷款利率!D4/100</f>
        <v>3.85E-2</v>
      </c>
      <c r="F20" s="2251" t="s">
        <v>2706</v>
      </c>
      <c r="G20" s="867">
        <f ca="1">SUMIF(M26:P26,E2,M28:P28)</f>
        <v>4.5999999999999999E-2</v>
      </c>
      <c r="H20" s="2251" t="s">
        <v>2715</v>
      </c>
      <c r="I20" s="3090">
        <f>SUMIF('数据-取费表'!C6:C15,E2,'数据-取费表'!F6:F15)/COUNTIF('数据-取费表'!C6:C15,E2)</f>
        <v>43.06</v>
      </c>
      <c r="J20" s="869">
        <f>IF(E2="住宅",70,IF(E2="商业",40,50))</f>
        <v>50</v>
      </c>
      <c r="K20" s="1281"/>
      <c r="L20" s="2252" t="s">
        <v>2716</v>
      </c>
      <c r="M20" s="1491">
        <f>ROUND(SUMPRODUCT((地价!A4:A34=YEAR(G19)&amp;"-"&amp;ROUNDUP(MONTH(G19)/3,0))*(地价!B2:F2=E2)*(地价!B4:F34)),0)</f>
        <v>347</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2257" t="s">
        <v>3345</v>
      </c>
      <c r="C21" s="3083">
        <f>IF(B21="容积率修正",IF(G3&lt;=10,D22,J22),C23)</f>
        <v>0.94299999999999995</v>
      </c>
      <c r="D21" s="2258"/>
      <c r="E21" s="2258"/>
      <c r="F21" s="2258"/>
      <c r="G21" s="2258"/>
      <c r="H21" s="2258"/>
      <c r="I21" s="2258"/>
      <c r="J21" s="2259"/>
      <c r="K21" s="1281"/>
      <c r="L21" s="3009"/>
      <c r="M21" s="3009"/>
      <c r="N21" s="2260" t="s">
        <v>2720</v>
      </c>
      <c r="O21" s="1329">
        <f>基准地价修正!O21</f>
        <v>1.4999999999999999E-2</v>
      </c>
      <c r="P21" s="1330">
        <f>SUMPRODUCT((地价!A3:A34=YEAR(G19)&amp;"-"&amp;ROUNDUP(MONTH(G19)/3,0))*(地价!AD2:AH2=N21)*(地价!AD3:AH34))</f>
        <v>1.0800000000000001E-2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3084" t="s">
        <v>2723</v>
      </c>
      <c r="D22" s="3084">
        <f>IF(E22=G22,F22,IF(G3&lt;=10,ROUND(F22+(H22-F22)*(G3-E22)/(G22-E22),4),"——"))</f>
        <v>0.94299999999999995</v>
      </c>
      <c r="E22" s="849">
        <f>ROUNDDOWN(G3,1)</f>
        <v>3</v>
      </c>
      <c r="F22" s="30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30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3084" t="s">
        <v>155</v>
      </c>
      <c r="J22" s="871" t="str">
        <f>IF(G3&gt;10,D113,"——")</f>
        <v>——</v>
      </c>
      <c r="K22" s="1281"/>
      <c r="L22" s="3009"/>
      <c r="M22" s="3009"/>
      <c r="N22" s="2260" t="s">
        <v>2724</v>
      </c>
      <c r="O22" s="1329">
        <f>O21</f>
        <v>1.4999999999999999E-2</v>
      </c>
      <c r="P22" s="1330">
        <f>SUMPRODUCT((地价!A3:A34=YEAR(G19)&amp;"-"&amp;ROUNDUP(MONTH(G19)/3,0))*(地价!AD2:AH2=N22)*(地价!AD3:AH34))</f>
        <v>1.0800000000000001E-2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1.0518000000000001</v>
      </c>
      <c r="D24" s="2241"/>
      <c r="E24" s="2268"/>
      <c r="F24" s="2268"/>
      <c r="G24" s="2268"/>
      <c r="H24" s="2268"/>
      <c r="I24" s="2268"/>
      <c r="J24" s="2269"/>
      <c r="K24" s="1281"/>
      <c r="L24" s="3009"/>
      <c r="M24" s="3009"/>
      <c r="N24" s="2270" t="s">
        <v>2729</v>
      </c>
      <c r="O24" s="1331"/>
      <c r="P24" s="1332">
        <f>SUMPRODUCT((地价!A3:A34=YEAR(G19)&amp;"-"&amp;ROUNDUP(MONTH(G19)/3,0))*(地价!AD2:AH2=N24)*(地价!AD3:AH34))</f>
        <v>1.24E-2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72992</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1808</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14495</v>
      </c>
      <c r="D29" s="2289">
        <f>'数据-汇总表'!F20</f>
        <v>45371</v>
      </c>
      <c r="E29" s="3088">
        <f ca="1">ROUND(C29*D29/10000,0)</f>
        <v>65765</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3624</v>
      </c>
      <c r="D30" s="2295"/>
      <c r="E30" s="3088">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59"/>
      <c r="B33" s="2305" t="s">
        <v>2746</v>
      </c>
      <c r="C33" s="180">
        <f ca="1">ROUND(D5*C19*C20*C24*F33,0)</f>
        <v>10760</v>
      </c>
      <c r="D33" s="2289"/>
      <c r="E33" s="176">
        <f ca="1">ROUND(C33*D33/10000,0)</f>
        <v>0</v>
      </c>
      <c r="F33" s="176">
        <f>SUMIF(修正!A45:A56,G2,修正!B45:B56)</f>
        <v>0.7</v>
      </c>
      <c r="G33" s="176">
        <f t="shared" ref="G33" ca="1" si="6">ROUND(IF(E2="工业",C33*$M$39,C33*$M$38),0)</f>
        <v>2690</v>
      </c>
      <c r="H33" s="176">
        <f>D33</f>
        <v>0</v>
      </c>
      <c r="I33" s="176">
        <f ca="1">ROUND(G33*H33/10000,0)</f>
        <v>0</v>
      </c>
      <c r="J33" s="3364"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60"/>
      <c r="B34" s="2222" t="s">
        <v>2747</v>
      </c>
      <c r="C34" s="180">
        <f ca="1">ROUND(D5*C19*C20*C24*F34,0)</f>
        <v>6148</v>
      </c>
      <c r="D34" s="2289"/>
      <c r="E34" s="176">
        <f t="shared" ref="E34:E39" ca="1" si="7">ROUND(C34*D34/10000,0)</f>
        <v>0</v>
      </c>
      <c r="F34" s="176">
        <f>SUMIF(修正!A45:A56,G2,修正!C45:C56)</f>
        <v>0.4</v>
      </c>
      <c r="G34" s="176">
        <f ca="1">ROUND(IF(E2="工业",C34*$M$39,C34*$M$38),0)</f>
        <v>1537</v>
      </c>
      <c r="H34" s="176">
        <f t="shared" ref="H34:H39" si="8">D34</f>
        <v>0</v>
      </c>
      <c r="I34" s="176">
        <f t="shared" ref="I34:I39" ca="1" si="9">ROUND(G34*H34/10000,0)</f>
        <v>0</v>
      </c>
      <c r="J34" s="336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60"/>
      <c r="B35" s="2222" t="s">
        <v>2748</v>
      </c>
      <c r="C35" s="180">
        <f ca="1">ROUND(D5*C19*C20*C24*F35,0)</f>
        <v>4304</v>
      </c>
      <c r="D35" s="2289"/>
      <c r="E35" s="176">
        <f t="shared" ca="1" si="7"/>
        <v>0</v>
      </c>
      <c r="F35" s="176">
        <f>SUMIF(修正!A45:A56,G2,修正!D45:D56)</f>
        <v>0.28000000000000003</v>
      </c>
      <c r="G35" s="176">
        <f ca="1">ROUND(IF(E2="工业",C35*$M$39,C35*$M$38),0)</f>
        <v>1076</v>
      </c>
      <c r="H35" s="176">
        <f t="shared" si="8"/>
        <v>0</v>
      </c>
      <c r="I35" s="176">
        <f t="shared" ca="1" si="9"/>
        <v>0</v>
      </c>
      <c r="J35" s="336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61"/>
      <c r="B36" s="2222" t="s">
        <v>2749</v>
      </c>
      <c r="C36" s="180">
        <f ca="1">ROUND(D5*C19*C20*C24*F36,0)</f>
        <v>3843</v>
      </c>
      <c r="D36" s="2289"/>
      <c r="E36" s="176">
        <f t="shared" ca="1" si="7"/>
        <v>0</v>
      </c>
      <c r="F36" s="176">
        <f>SUMIF(修正!A45:A56,G2,修正!E45:E56)</f>
        <v>0.25</v>
      </c>
      <c r="G36" s="176">
        <f ca="1">ROUND(IF(E2="工业",C36*$M$39,C36*$M$38),0)</f>
        <v>961</v>
      </c>
      <c r="H36" s="176">
        <f t="shared" si="8"/>
        <v>0</v>
      </c>
      <c r="I36" s="176">
        <f t="shared" ca="1" si="9"/>
        <v>0</v>
      </c>
      <c r="J36" s="3361"/>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3843</v>
      </c>
      <c r="D37" s="2289"/>
      <c r="E37" s="176">
        <f t="shared" ca="1" si="7"/>
        <v>0</v>
      </c>
      <c r="F37" s="180">
        <f>SUMIF(修正!A45:A56,G2,修正!F45:F56)</f>
        <v>0.25</v>
      </c>
      <c r="G37" s="176">
        <f ca="1">ROUND(IF(E2="工业",C37*$M$39,C37*$M$38),0)</f>
        <v>961</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3843</v>
      </c>
      <c r="D38" s="2289"/>
      <c r="E38" s="176">
        <f t="shared" ca="1" si="7"/>
        <v>0</v>
      </c>
      <c r="F38" s="180">
        <f>SUMIF(修正!A45:A56,G2,修正!G45:G56)</f>
        <v>0.25</v>
      </c>
      <c r="G38" s="176">
        <f ca="1">ROUND(IF(E2="工业",C38*$M$39,C38*$M$38),0)</f>
        <v>961</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3074</v>
      </c>
      <c r="D39" s="2295">
        <f>'数据-汇总表'!G21</f>
        <v>23509</v>
      </c>
      <c r="E39" s="193">
        <f t="shared" ca="1" si="7"/>
        <v>7227</v>
      </c>
      <c r="F39" s="865">
        <f>SUMIF(修正!A45:A56,G2,修正!H45:H56)</f>
        <v>0.2</v>
      </c>
      <c r="G39" s="193">
        <f ca="1">ROUND(IF(E2="工业",C39*$M$39,C39*$M$38),0)</f>
        <v>769</v>
      </c>
      <c r="H39" s="193">
        <f t="shared" si="8"/>
        <v>23509</v>
      </c>
      <c r="I39" s="193">
        <f t="shared" ca="1" si="9"/>
        <v>1808</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0.95679999999999998</v>
      </c>
      <c r="D41" s="176" t="s">
        <v>2706</v>
      </c>
      <c r="E41" s="2362">
        <f ca="1">G20</f>
        <v>4.5999999999999999E-2</v>
      </c>
      <c r="F41" s="176" t="s">
        <v>2715</v>
      </c>
      <c r="G41" s="189">
        <f>项目基本情况!G15</f>
        <v>43.06</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2768</v>
      </c>
      <c r="B51" s="2327" t="s">
        <v>2769</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2771</v>
      </c>
      <c r="B53" s="2328" t="s">
        <v>2772</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2776</v>
      </c>
      <c r="B57" s="2319">
        <f>1+E59</f>
        <v>1.0518000000000001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t="s">
        <v>3274</v>
      </c>
      <c r="D59" s="1190">
        <f t="shared" ref="D59:D67" si="15">SUMIF($J$58:$N$58,C59,J59:N59)</f>
        <v>1.15E-2</v>
      </c>
      <c r="E59" s="754">
        <f>ROUND(SUM(D59:D67),4)</f>
        <v>5.1799999999999999E-2</v>
      </c>
      <c r="F59" s="1993">
        <f>IF(E2="办公",SUMIF(L1:L12,G2,N1:N12),"——")</f>
        <v>9.9000000000000005E-2</v>
      </c>
      <c r="G59" s="1188">
        <v>1.15E-2</v>
      </c>
      <c r="H59" s="1192">
        <f t="shared" ref="H59:H67" si="16">IFERROR(ROUNDDOWN($F$59*I59/2,4),"——")</f>
        <v>1.18E-2</v>
      </c>
      <c r="I59" s="753">
        <v>0.24</v>
      </c>
      <c r="J59" s="1189">
        <f t="shared" ref="J59:J67" si="17">K59+$G59</f>
        <v>2.3E-2</v>
      </c>
      <c r="K59" s="1189">
        <f t="shared" ref="K59:K67" si="18">$L59+$G59</f>
        <v>1.15E-2</v>
      </c>
      <c r="L59" s="1189">
        <v>0</v>
      </c>
      <c r="M59" s="1189">
        <f t="shared" ref="M59:N67" si="19">L59-$G59</f>
        <v>-1.15E-2</v>
      </c>
      <c r="N59" s="1189">
        <f t="shared" si="19"/>
        <v>-2.3E-2</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t="s">
        <v>3274</v>
      </c>
      <c r="D60" s="1190">
        <f t="shared" si="15"/>
        <v>1.4500000000000001E-2</v>
      </c>
      <c r="E60" s="755"/>
      <c r="F60" s="1993"/>
      <c r="G60" s="1188">
        <v>1.4500000000000001E-2</v>
      </c>
      <c r="H60" s="1192">
        <f t="shared" si="16"/>
        <v>1.4800000000000001E-2</v>
      </c>
      <c r="I60" s="753">
        <v>0.3</v>
      </c>
      <c r="J60" s="1189">
        <f t="shared" si="17"/>
        <v>2.9000000000000001E-2</v>
      </c>
      <c r="K60" s="1189">
        <f t="shared" si="18"/>
        <v>1.4500000000000001E-2</v>
      </c>
      <c r="L60" s="1189">
        <v>0</v>
      </c>
      <c r="M60" s="1189">
        <f t="shared" si="19"/>
        <v>-1.4500000000000001E-2</v>
      </c>
      <c r="N60" s="1189">
        <f t="shared" si="19"/>
        <v>-2.9000000000000001E-2</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t="s">
        <v>3274</v>
      </c>
      <c r="D61" s="1190">
        <f t="shared" si="15"/>
        <v>3.5000000000000001E-3</v>
      </c>
      <c r="E61" s="755"/>
      <c r="F61" s="1993"/>
      <c r="G61" s="1188">
        <v>3.5000000000000001E-3</v>
      </c>
      <c r="H61" s="1192">
        <f t="shared" si="16"/>
        <v>3.8999999999999998E-3</v>
      </c>
      <c r="I61" s="753">
        <v>0.08</v>
      </c>
      <c r="J61" s="1189">
        <f t="shared" si="17"/>
        <v>7.0000000000000001E-3</v>
      </c>
      <c r="K61" s="1189">
        <f t="shared" si="18"/>
        <v>3.5000000000000001E-3</v>
      </c>
      <c r="L61" s="1189">
        <v>0</v>
      </c>
      <c r="M61" s="1189">
        <f t="shared" si="19"/>
        <v>-3.5000000000000001E-3</v>
      </c>
      <c r="N61" s="1189">
        <f t="shared" si="19"/>
        <v>-7.0000000000000001E-3</v>
      </c>
      <c r="AA61" s="1275"/>
      <c r="AB61" s="1275"/>
      <c r="AC61" s="1275"/>
      <c r="AD61" s="1275"/>
      <c r="AE61" s="1275"/>
      <c r="AF61" s="1275"/>
      <c r="AG61" s="1275"/>
      <c r="AH61" s="1275"/>
      <c r="AI61" s="1275"/>
      <c r="AJ61" s="1275"/>
      <c r="AK61" s="1275"/>
    </row>
    <row r="62" spans="1:37" s="1274" customFormat="1" ht="36.75">
      <c r="A62" s="2322" t="s">
        <v>2768</v>
      </c>
      <c r="B62" s="2327" t="s">
        <v>2769</v>
      </c>
      <c r="C62" s="2227" t="s">
        <v>3274</v>
      </c>
      <c r="D62" s="1190">
        <f t="shared" si="15"/>
        <v>1.5E-3</v>
      </c>
      <c r="E62" s="755"/>
      <c r="F62" s="1993"/>
      <c r="G62" s="1188">
        <v>1.5E-3</v>
      </c>
      <c r="H62" s="1192">
        <f t="shared" si="16"/>
        <v>1.9E-3</v>
      </c>
      <c r="I62" s="753">
        <v>0.04</v>
      </c>
      <c r="J62" s="1189">
        <f t="shared" si="17"/>
        <v>3.0000000000000001E-3</v>
      </c>
      <c r="K62" s="1189">
        <f t="shared" si="18"/>
        <v>1.5E-3</v>
      </c>
      <c r="L62" s="1189">
        <v>0</v>
      </c>
      <c r="M62" s="1189">
        <f t="shared" si="19"/>
        <v>-1.5E-3</v>
      </c>
      <c r="N62" s="1189">
        <f t="shared" si="19"/>
        <v>-3.0000000000000001E-3</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t="s">
        <v>3274</v>
      </c>
      <c r="D63" s="1190">
        <f t="shared" si="15"/>
        <v>2.3999999999999998E-3</v>
      </c>
      <c r="E63" s="755"/>
      <c r="F63" s="1993"/>
      <c r="G63" s="1188">
        <v>2.3999999999999998E-3</v>
      </c>
      <c r="H63" s="1192">
        <f t="shared" si="16"/>
        <v>2.3999999999999998E-3</v>
      </c>
      <c r="I63" s="753">
        <v>0.05</v>
      </c>
      <c r="J63" s="1189">
        <f t="shared" si="17"/>
        <v>4.7999999999999996E-3</v>
      </c>
      <c r="K63" s="1189">
        <f t="shared" si="18"/>
        <v>2.3999999999999998E-3</v>
      </c>
      <c r="L63" s="1189">
        <v>0</v>
      </c>
      <c r="M63" s="1189">
        <f t="shared" si="19"/>
        <v>-2.3999999999999998E-3</v>
      </c>
      <c r="N63" s="1189">
        <f t="shared" si="19"/>
        <v>-4.7999999999999996E-3</v>
      </c>
      <c r="AA63" s="1275"/>
      <c r="AB63" s="1275"/>
      <c r="AC63" s="1275"/>
      <c r="AD63" s="1275"/>
      <c r="AE63" s="1275"/>
      <c r="AF63" s="1275"/>
      <c r="AG63" s="1275"/>
      <c r="AH63" s="1275"/>
      <c r="AI63" s="1275"/>
      <c r="AJ63" s="1275"/>
      <c r="AK63" s="1275"/>
    </row>
    <row r="64" spans="1:37" s="1274" customFormat="1" ht="24">
      <c r="A64" s="2322" t="s">
        <v>2771</v>
      </c>
      <c r="B64" s="2328" t="s">
        <v>2772</v>
      </c>
      <c r="C64" s="2227" t="s">
        <v>3274</v>
      </c>
      <c r="D64" s="1190">
        <f t="shared" si="15"/>
        <v>2.3999999999999998E-3</v>
      </c>
      <c r="E64" s="755"/>
      <c r="F64" s="1993"/>
      <c r="G64" s="1188">
        <v>2.3999999999999998E-3</v>
      </c>
      <c r="H64" s="1192">
        <f t="shared" si="16"/>
        <v>2.3999999999999998E-3</v>
      </c>
      <c r="I64" s="753">
        <v>0.05</v>
      </c>
      <c r="J64" s="1189">
        <f t="shared" si="17"/>
        <v>4.7999999999999996E-3</v>
      </c>
      <c r="K64" s="1189">
        <f t="shared" si="18"/>
        <v>2.3999999999999998E-3</v>
      </c>
      <c r="L64" s="1189">
        <v>0</v>
      </c>
      <c r="M64" s="1189">
        <f t="shared" si="19"/>
        <v>-2.3999999999999998E-3</v>
      </c>
      <c r="N64" s="1189">
        <f t="shared" si="19"/>
        <v>-4.7999999999999996E-3</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t="s">
        <v>3274</v>
      </c>
      <c r="D65" s="1190">
        <f t="shared" si="15"/>
        <v>2.5000000000000001E-3</v>
      </c>
      <c r="E65" s="755"/>
      <c r="F65" s="1993"/>
      <c r="G65" s="1188">
        <v>2.5000000000000001E-3</v>
      </c>
      <c r="H65" s="1192">
        <f t="shared" si="16"/>
        <v>2.8999999999999998E-3</v>
      </c>
      <c r="I65" s="753">
        <v>0.06</v>
      </c>
      <c r="J65" s="1189">
        <f t="shared" si="17"/>
        <v>5.0000000000000001E-3</v>
      </c>
      <c r="K65" s="1189">
        <f t="shared" si="18"/>
        <v>2.5000000000000001E-3</v>
      </c>
      <c r="L65" s="1189">
        <v>0</v>
      </c>
      <c r="M65" s="1189">
        <f t="shared" si="19"/>
        <v>-2.5000000000000001E-3</v>
      </c>
      <c r="N65" s="1189">
        <f t="shared" si="19"/>
        <v>-5.0000000000000001E-3</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t="s">
        <v>3277</v>
      </c>
      <c r="D66" s="1190">
        <f t="shared" si="15"/>
        <v>1.0999999999999999E-2</v>
      </c>
      <c r="E66" s="755"/>
      <c r="F66" s="1993"/>
      <c r="G66" s="1188">
        <v>5.4999999999999997E-3</v>
      </c>
      <c r="H66" s="1192">
        <f t="shared" si="16"/>
        <v>5.8999999999999999E-3</v>
      </c>
      <c r="I66" s="753">
        <v>0.12</v>
      </c>
      <c r="J66" s="1189">
        <f t="shared" si="17"/>
        <v>1.0999999999999999E-2</v>
      </c>
      <c r="K66" s="1189">
        <f t="shared" si="18"/>
        <v>5.4999999999999997E-3</v>
      </c>
      <c r="L66" s="1189">
        <v>0</v>
      </c>
      <c r="M66" s="1189">
        <f t="shared" si="19"/>
        <v>-5.4999999999999997E-3</v>
      </c>
      <c r="N66" s="1189">
        <f t="shared" si="19"/>
        <v>-1.0999999999999999E-2</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t="s">
        <v>3274</v>
      </c>
      <c r="D67" s="1190">
        <f t="shared" si="15"/>
        <v>2.5000000000000001E-3</v>
      </c>
      <c r="E67" s="758"/>
      <c r="F67" s="1993"/>
      <c r="G67" s="1188">
        <v>2.5000000000000001E-3</v>
      </c>
      <c r="H67" s="1192">
        <f t="shared" si="16"/>
        <v>2.8999999999999998E-3</v>
      </c>
      <c r="I67" s="757">
        <v>0.06</v>
      </c>
      <c r="J67" s="1189">
        <f t="shared" si="17"/>
        <v>5.0000000000000001E-3</v>
      </c>
      <c r="K67" s="1189">
        <f t="shared" si="18"/>
        <v>2.5000000000000001E-3</v>
      </c>
      <c r="L67" s="1189">
        <v>0</v>
      </c>
      <c r="M67" s="1189">
        <f t="shared" si="19"/>
        <v>-2.5000000000000001E-3</v>
      </c>
      <c r="N67" s="1189">
        <f t="shared" si="19"/>
        <v>-5.0000000000000001E-3</v>
      </c>
      <c r="AA67" s="1275"/>
      <c r="AB67" s="1275"/>
      <c r="AC67" s="1275"/>
      <c r="AD67" s="1275"/>
      <c r="AE67" s="1275"/>
      <c r="AF67" s="1275"/>
      <c r="AG67" s="1275"/>
      <c r="AH67" s="1275"/>
      <c r="AI67" s="1275"/>
      <c r="AJ67" s="1275"/>
      <c r="AK67" s="1275"/>
    </row>
    <row r="68" spans="1:37" s="1274" customFormat="1" ht="15">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2783</v>
      </c>
      <c r="B79" s="2319">
        <f>1+E81</f>
        <v>1</v>
      </c>
      <c r="C79" s="747"/>
      <c r="D79" s="747"/>
      <c r="E79" s="748"/>
      <c r="F79" s="2321"/>
      <c r="G79" s="6"/>
      <c r="H79" s="6"/>
      <c r="I79" s="6"/>
      <c r="J79" s="7"/>
      <c r="K79" s="7"/>
      <c r="L79" s="7"/>
      <c r="M79" s="7"/>
      <c r="N79" s="7"/>
      <c r="Z79" s="2177"/>
      <c r="AA79" s="2243"/>
      <c r="AG79" s="1276"/>
      <c r="AK79" s="2243"/>
    </row>
    <row r="80" spans="1:37" ht="24.75">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51" t="s">
        <v>2787</v>
      </c>
      <c r="B90" s="3351"/>
      <c r="C90" s="3351"/>
      <c r="D90" s="3351"/>
      <c r="E90" s="3351"/>
      <c r="F90" s="3351"/>
      <c r="G90" s="3351"/>
      <c r="H90" s="3351"/>
      <c r="I90" s="3351"/>
      <c r="J90" s="3351"/>
      <c r="K90" s="3086"/>
      <c r="L90" s="3086"/>
      <c r="M90" s="3086"/>
      <c r="N90" s="3086"/>
    </row>
    <row r="91" spans="1:37">
      <c r="A91" s="3353" t="s">
        <v>2788</v>
      </c>
      <c r="B91" s="3353" t="s">
        <v>2789</v>
      </c>
      <c r="C91" s="2290" t="s">
        <v>2790</v>
      </c>
      <c r="D91" s="2291"/>
      <c r="E91" s="2291"/>
      <c r="F91" s="2291"/>
      <c r="G91" s="2291"/>
      <c r="H91" s="2291"/>
      <c r="I91" s="2291"/>
      <c r="J91" s="2337"/>
      <c r="K91" s="2338"/>
      <c r="L91" s="2338"/>
      <c r="M91" s="2338"/>
      <c r="N91" s="2338"/>
    </row>
    <row r="92" spans="1:37">
      <c r="A92" s="3353"/>
      <c r="B92" s="3353"/>
      <c r="C92" s="3088" t="s">
        <v>2658</v>
      </c>
      <c r="D92" s="3088" t="s">
        <v>2659</v>
      </c>
      <c r="E92" s="3088" t="s">
        <v>2660</v>
      </c>
      <c r="F92" s="3088" t="s">
        <v>2661</v>
      </c>
      <c r="G92" s="3088" t="s">
        <v>2662</v>
      </c>
      <c r="H92" s="3088" t="s">
        <v>2663</v>
      </c>
      <c r="I92" s="3088" t="s">
        <v>2664</v>
      </c>
      <c r="J92" s="3088" t="s">
        <v>2665</v>
      </c>
      <c r="K92" s="3088" t="s">
        <v>2666</v>
      </c>
      <c r="L92" s="3088" t="s">
        <v>2667</v>
      </c>
      <c r="M92" s="3088" t="s">
        <v>2668</v>
      </c>
      <c r="N92" s="3088" t="s">
        <v>2669</v>
      </c>
    </row>
    <row r="93" spans="1:37">
      <c r="A93" s="3354"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5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5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5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5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5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55"/>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56"/>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54"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55"/>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55"/>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55"/>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55"/>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55"/>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55"/>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55"/>
      <c r="B108" s="3357" t="s">
        <v>2687</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56"/>
      <c r="B109" s="3358"/>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52" t="s">
        <v>2795</v>
      </c>
      <c r="B110" s="3352"/>
      <c r="C110" s="3352"/>
      <c r="D110" s="3352"/>
      <c r="E110" s="3352"/>
      <c r="F110" s="3352"/>
      <c r="G110" s="3352"/>
      <c r="H110" s="3352"/>
      <c r="I110" s="3352"/>
      <c r="J110" s="3352"/>
      <c r="K110" s="3087"/>
      <c r="L110" s="3087"/>
      <c r="M110" s="3087"/>
      <c r="N110" s="3087"/>
    </row>
    <row r="112" spans="1:14" ht="13.5" thickBot="1"/>
    <row r="113" spans="1:13" ht="25.5" thickBot="1">
      <c r="A113" s="836" t="s">
        <v>2796</v>
      </c>
      <c r="B113" s="1191">
        <f>G3</f>
        <v>3</v>
      </c>
      <c r="C113" s="837" t="s">
        <v>2797</v>
      </c>
      <c r="D113" s="838">
        <f>SUMPRODUCT((A115:A118=F113)*(B114:M114=H113)*B115:M118)</f>
        <v>0.81769999999999998</v>
      </c>
      <c r="E113" s="2181" t="s">
        <v>2631</v>
      </c>
      <c r="F113" s="2347" t="str">
        <f>E2</f>
        <v>办公</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2818</v>
      </c>
      <c r="B1" s="2356"/>
      <c r="C1" s="2356"/>
      <c r="D1" s="2356"/>
      <c r="E1" s="2356"/>
      <c r="F1" s="3014"/>
      <c r="G1" s="3014"/>
      <c r="H1" s="3014"/>
      <c r="I1" s="3014"/>
      <c r="J1" s="3014"/>
      <c r="K1" s="3014"/>
      <c r="L1" s="3014"/>
      <c r="M1" s="3014"/>
      <c r="N1" s="3014"/>
      <c r="O1" s="3014"/>
      <c r="P1" s="3014"/>
    </row>
    <row r="2" spans="1:16" ht="15.75">
      <c r="A2" s="2354" t="s">
        <v>2810</v>
      </c>
      <c r="B2" s="2818">
        <f ca="1">SUMIF(B6:B13,"&lt;&gt;#ref!",B6:B13)</f>
        <v>141596</v>
      </c>
      <c r="C2" s="2354" t="s">
        <v>2811</v>
      </c>
      <c r="D2" s="2354" t="s">
        <v>2812</v>
      </c>
      <c r="E2" s="2828">
        <f ca="1">SUMIF(E6:E13,"&lt;&gt;#ref!",E6:E13)</f>
        <v>100611</v>
      </c>
      <c r="F2" s="3014"/>
      <c r="G2" s="3014"/>
      <c r="H2" s="3014"/>
      <c r="I2" s="3014"/>
      <c r="J2" s="3014"/>
      <c r="K2" s="3014"/>
      <c r="L2" s="3014"/>
      <c r="M2" s="3014"/>
      <c r="N2" s="3014"/>
      <c r="O2" s="3014"/>
      <c r="P2" s="3014"/>
    </row>
    <row r="3" spans="1:16" ht="15.75">
      <c r="A3" s="2354" t="s">
        <v>2813</v>
      </c>
      <c r="B3" s="2818">
        <f ca="1">ROUND(B2*10000/E2,0)</f>
        <v>14074</v>
      </c>
      <c r="C3" s="2354" t="s">
        <v>2819</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2814</v>
      </c>
      <c r="B5" s="2826" t="s">
        <v>2815</v>
      </c>
      <c r="C5" s="2355"/>
      <c r="D5" s="3014"/>
      <c r="E5" s="2827" t="s">
        <v>2816</v>
      </c>
      <c r="F5" s="3014"/>
      <c r="G5" s="3014"/>
      <c r="H5" s="3014"/>
      <c r="I5" s="3014"/>
      <c r="J5" s="3014"/>
      <c r="K5" s="3014"/>
      <c r="L5" s="3014"/>
      <c r="M5" s="3014"/>
      <c r="N5" s="3014"/>
      <c r="O5" s="3014"/>
      <c r="P5" s="3014"/>
    </row>
    <row r="6" spans="1:16" ht="15.75">
      <c r="A6" s="2825" t="s">
        <v>2817</v>
      </c>
      <c r="B6" s="2818">
        <f ca="1">SUMIF(INDIRECT("'"&amp;A6&amp;"'"&amp;"!A:A"),"总价",INDIRECT("'"&amp;A6&amp;"'"&amp;"!B:B"))</f>
        <v>68604</v>
      </c>
      <c r="C6" s="2354" t="s">
        <v>2811</v>
      </c>
      <c r="D6" s="3014"/>
      <c r="E6" s="2828">
        <f ca="1">SUMIF(INDIRECT("'"&amp;A6&amp;"'"&amp;"!C:C"),"建筑面积",INDIRECT("'"&amp;A6&amp;"'"&amp;"!D:D"))</f>
        <v>31731</v>
      </c>
      <c r="F6" s="3014"/>
      <c r="G6" s="3014"/>
      <c r="H6" s="3014"/>
      <c r="I6" s="3014"/>
      <c r="J6" s="3014"/>
      <c r="K6" s="3014"/>
      <c r="L6" s="3014"/>
      <c r="M6" s="3014"/>
      <c r="N6" s="3014"/>
      <c r="O6" s="3014"/>
      <c r="P6" s="3014"/>
    </row>
    <row r="7" spans="1:16" ht="15.75">
      <c r="A7" s="2825" t="s">
        <v>3346</v>
      </c>
      <c r="B7" s="2818">
        <f ca="1">SUMIF(INDIRECT("'"&amp;A7&amp;"'"&amp;"!A:A"),"总价",INDIRECT("'"&amp;A7&amp;"'"&amp;"!B:B"))</f>
        <v>72992</v>
      </c>
      <c r="C7" s="2354" t="s">
        <v>2811</v>
      </c>
      <c r="D7" s="3014"/>
      <c r="E7" s="2828">
        <f t="shared" ref="E7:E13" ca="1" si="0">SUMIF(INDIRECT("'"&amp;A7&amp;"'"&amp;"!C:C"),"建筑面积",INDIRECT("'"&amp;A7&amp;"'"&amp;"!D:D"))</f>
        <v>68880</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2811</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2811</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2811</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2811</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2811</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2811</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8"/>
      <c r="C1" s="204"/>
      <c r="D1" s="204"/>
      <c r="E1" s="204"/>
      <c r="F1" s="204"/>
      <c r="G1" s="1282">
        <f>MATCH(B1,'数据-取费表'!A6:A16,0)+5</f>
        <v>9</v>
      </c>
    </row>
    <row r="2" spans="1:9" s="206" customFormat="1" ht="18" customHeight="1">
      <c r="A2" s="207" t="s">
        <v>2146</v>
      </c>
      <c r="B2" s="208">
        <f ca="1">IF(D2="——",C52,C52-E2)</f>
        <v>222471</v>
      </c>
      <c r="C2" s="205" t="s">
        <v>2147</v>
      </c>
      <c r="D2" s="2032" t="s">
        <v>70</v>
      </c>
      <c r="E2" s="1325" t="e">
        <f ca="1">SUMIF(INDIRECT("'"&amp;G2&amp;"'"&amp;"!A:A"),"承租人权益价值",INDIRECT("'"&amp;G2&amp;"'"&amp;"!c:c"))</f>
        <v>#REF!</v>
      </c>
      <c r="F2" s="2033" t="s">
        <v>2147</v>
      </c>
      <c r="G2" s="2034"/>
    </row>
    <row r="3" spans="1:9" s="206" customFormat="1" ht="18" customHeight="1" thickBot="1">
      <c r="A3" s="209" t="s">
        <v>2148</v>
      </c>
      <c r="B3" s="210">
        <f ca="1">ROUND(B2*10000/(IF(B1="",'数据-汇总表'!E3,INDIRECT("'数据-取费表'!k"&amp;$G$1))),0)</f>
        <v>20515</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148084</v>
      </c>
      <c r="D5" s="217" t="s">
        <v>2153</v>
      </c>
      <c r="E5" s="218" t="s">
        <v>2154</v>
      </c>
      <c r="F5" s="218" t="s">
        <v>2155</v>
      </c>
      <c r="G5" s="219"/>
    </row>
    <row r="6" spans="1:9" s="220" customFormat="1" ht="13.5" customHeight="1">
      <c r="A6" s="880" t="s">
        <v>2156</v>
      </c>
      <c r="B6" s="221" t="s">
        <v>2157</v>
      </c>
      <c r="C6" s="222">
        <f ca="1">'基准地价（汇总）'!B2</f>
        <v>141596</v>
      </c>
      <c r="D6" s="223"/>
      <c r="E6" s="224"/>
      <c r="F6" s="224"/>
      <c r="G6" s="225"/>
    </row>
    <row r="7" spans="1:9" s="220" customFormat="1" ht="13.5" customHeight="1">
      <c r="A7" s="880" t="s">
        <v>2158</v>
      </c>
      <c r="B7" s="221" t="s">
        <v>2159</v>
      </c>
      <c r="C7" s="226">
        <f ca="1">ROUND(C6*F7,0)</f>
        <v>4319</v>
      </c>
      <c r="D7" s="226"/>
      <c r="E7" s="224"/>
      <c r="F7" s="227">
        <f>IF(项目基本情况!B8="出让",0,'数据-取费表'!B48+'数据-取费表'!B49)</f>
        <v>3.0499999999999999E-2</v>
      </c>
      <c r="G7" s="225"/>
    </row>
    <row r="8" spans="1:9" s="229" customFormat="1">
      <c r="A8" s="880" t="s">
        <v>2160</v>
      </c>
      <c r="B8" s="221" t="s">
        <v>2161</v>
      </c>
      <c r="C8" s="226">
        <f>IF(G8="已包含在土地购买价格中","0",IF(B1="",'数据-取费表'!B29,IF(G9="全部缴纳",C9+C10,H9)))</f>
        <v>2169</v>
      </c>
      <c r="D8" s="228"/>
      <c r="E8" s="226"/>
      <c r="F8" s="227"/>
      <c r="G8" s="2035" t="s">
        <v>3317</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6" t="s">
        <v>3318</v>
      </c>
      <c r="H9" s="1293">
        <v>2169</v>
      </c>
      <c r="I9" s="2037" t="s">
        <v>2163</v>
      </c>
    </row>
    <row r="10" spans="1:9" s="220" customFormat="1" ht="13.5" customHeight="1">
      <c r="A10" s="881" t="s">
        <v>801</v>
      </c>
      <c r="B10" s="230" t="s">
        <v>2164</v>
      </c>
      <c r="C10" s="231">
        <f ca="1">ROUND(D10*E10/10000,0)</f>
        <v>2169</v>
      </c>
      <c r="D10" s="948">
        <f ca="1">IF(B1="",'数据-汇总表'!E6,IF(INDIRECT("'数据-取费表'!c"&amp;$G$1)="住宅",INDIRECT("'数据-取费表'!s"&amp;$G$1),INDIRECT("'数据-取费表'!k"&amp;$G$1)+INDIRECT("'数据-取费表'!s"&amp;$G$1)))</f>
        <v>108441.15</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108441.15</v>
      </c>
      <c r="E19" s="217">
        <f>'数据-取费表'!B31</f>
        <v>200</v>
      </c>
      <c r="F19" s="237"/>
      <c r="G19" s="2035" t="s">
        <v>3319</v>
      </c>
    </row>
    <row r="20" spans="1:7" s="220" customFormat="1" ht="13.5" customHeight="1">
      <c r="A20" s="261" t="s">
        <v>2177</v>
      </c>
      <c r="B20" s="216" t="s">
        <v>2178</v>
      </c>
      <c r="C20" s="238">
        <f ca="1">ROUND((C5+C19)*F20,0)</f>
        <v>2962</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8">
        <f ca="1">ROUND(SUM(C23:C25),0)</f>
        <v>9863</v>
      </c>
      <c r="D22" s="241">
        <f ca="1">C26</f>
        <v>5.9999999999999995E-4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9">
        <f ca="1">ROUND(IF('数据-取费表'!B22&lt;=1,C5*F22*'数据-取费表'!B23,C5*(POWER((1+F22),'数据-取费表'!B23)-1)),0)</f>
        <v>9767</v>
      </c>
      <c r="D23" s="244"/>
      <c r="E23" s="244"/>
      <c r="F23" s="245"/>
      <c r="G23" s="246" t="s">
        <v>2188</v>
      </c>
    </row>
    <row r="24" spans="1:7" s="220" customFormat="1" ht="13.5" customHeight="1">
      <c r="A24" s="882" t="s">
        <v>2189</v>
      </c>
      <c r="B24" s="221" t="s">
        <v>2190</v>
      </c>
      <c r="C24" s="1259">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9">
        <f ca="1">ROUND(IF('数据-取费表'!B22&lt;=1,C20*F22*'数据-取费表'!B23/2,C20*(POWER((1+F22),'数据-取费表'!B23/2)-1)),0)</f>
        <v>96</v>
      </c>
      <c r="D25" s="244"/>
      <c r="E25" s="247"/>
      <c r="F25" s="245"/>
      <c r="G25" s="248" t="s">
        <v>2194</v>
      </c>
    </row>
    <row r="26" spans="1:7" s="220" customFormat="1">
      <c r="A26" s="882" t="s">
        <v>795</v>
      </c>
      <c r="B26" s="221" t="s">
        <v>2195</v>
      </c>
      <c r="C26" s="244">
        <f ca="1">ROUND(IF('数据-取费表'!B22&lt;=1,F21*F22*'数据-取费表'!B23/2,F21*(POWER((1+F22),'数据-取费表'!B23/2)-1)),4)</f>
        <v>5.9999999999999995E-4</v>
      </c>
      <c r="D26" s="244"/>
      <c r="E26" s="247"/>
      <c r="F26" s="245"/>
      <c r="G26" s="249"/>
    </row>
    <row r="27" spans="1:7" s="220" customFormat="1" ht="24.75">
      <c r="A27" s="261" t="s">
        <v>2196</v>
      </c>
      <c r="B27" s="250" t="s">
        <v>2197</v>
      </c>
      <c r="C27" s="251">
        <f ca="1">C28</f>
        <v>10875</v>
      </c>
      <c r="D27" s="241">
        <f ca="1">C29</f>
        <v>1.4E-3</v>
      </c>
      <c r="E27" s="242" t="s">
        <v>2198</v>
      </c>
      <c r="F27" s="252">
        <f ca="1">IF(B1="",'数据-取费表'!Q16,INDIRECT("'数据-取费表'!q"&amp;$G$1))</f>
        <v>0.12</v>
      </c>
      <c r="G27" s="253" t="s">
        <v>2199</v>
      </c>
    </row>
    <row r="28" spans="1:7" s="220" customFormat="1" ht="13.5" customHeight="1">
      <c r="A28" s="882" t="s">
        <v>791</v>
      </c>
      <c r="B28" s="254" t="s">
        <v>2200</v>
      </c>
      <c r="C28" s="255">
        <f ca="1">ROUND((C5+C19+C20)*F27*'数据-取费表'!B21/'数据-取费表'!B20,0)</f>
        <v>10875</v>
      </c>
      <c r="D28" s="241"/>
      <c r="E28" s="242"/>
      <c r="F28" s="252"/>
      <c r="G28" s="253"/>
    </row>
    <row r="29" spans="1:7" s="220" customFormat="1" ht="13.5" customHeight="1">
      <c r="A29" s="882" t="s">
        <v>792</v>
      </c>
      <c r="B29" s="254" t="s">
        <v>2201</v>
      </c>
      <c r="C29" s="244">
        <f ca="1">ROUND(C21*F27*'数据-取费表'!B21/'数据-取费表'!B20,4)</f>
        <v>1.4E-3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185773</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28836</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26394</v>
      </c>
      <c r="D34" s="223"/>
      <c r="E34" s="226"/>
      <c r="F34" s="263">
        <f ca="1">IF('数据-取费表'!B24=0,1,IF(B1="",'数据-取费表'!N16,INDIRECT("'数据-取费表'!n"&amp;$G$1)))</f>
        <v>0.57799999999999996</v>
      </c>
      <c r="G34" s="225" t="s">
        <v>2210</v>
      </c>
    </row>
    <row r="35" spans="1:7" ht="13.5" customHeight="1">
      <c r="A35" s="882" t="s">
        <v>796</v>
      </c>
      <c r="B35" s="221" t="s">
        <v>2211</v>
      </c>
      <c r="C35" s="226">
        <f ca="1">ROUND(C34*F35,0)</f>
        <v>792</v>
      </c>
      <c r="D35" s="226"/>
      <c r="E35" s="226"/>
      <c r="F35" s="265">
        <f>'数据-取费表'!B33</f>
        <v>0.03</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1254</v>
      </c>
      <c r="D37" s="223">
        <f ca="1">D19</f>
        <v>108441.15</v>
      </c>
      <c r="E37" s="255">
        <f>'数据-取费表'!B35</f>
        <v>200</v>
      </c>
      <c r="F37" s="265"/>
      <c r="G37" s="267" t="s">
        <v>2216</v>
      </c>
    </row>
    <row r="38" spans="1:7" ht="13.5" customHeight="1">
      <c r="A38" s="882" t="s">
        <v>799</v>
      </c>
      <c r="B38" s="221" t="s">
        <v>2217</v>
      </c>
      <c r="C38" s="226">
        <f ca="1">ROUND(C34*F38,0)</f>
        <v>396</v>
      </c>
      <c r="D38" s="226"/>
      <c r="E38" s="226"/>
      <c r="F38" s="265">
        <f>'数据-取费表'!B36</f>
        <v>1.4999999999999999E-2</v>
      </c>
      <c r="G38" s="225" t="s">
        <v>2212</v>
      </c>
    </row>
    <row r="39" spans="1:7" s="220" customFormat="1" ht="13.5" customHeight="1">
      <c r="A39" s="261" t="s">
        <v>2218</v>
      </c>
      <c r="B39" s="216" t="s">
        <v>2219</v>
      </c>
      <c r="C39" s="238">
        <f ca="1">ROUND(C33*F20,0)</f>
        <v>577</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955</v>
      </c>
      <c r="D41" s="241">
        <f ca="1">C44</f>
        <v>5.9999999999999995E-4</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936</v>
      </c>
      <c r="D42" s="244"/>
      <c r="E42" s="244"/>
      <c r="F42" s="245"/>
      <c r="G42" s="3375" t="s">
        <v>2228</v>
      </c>
    </row>
    <row r="43" spans="1:7" ht="13.5" customHeight="1">
      <c r="A43" s="882" t="s">
        <v>792</v>
      </c>
      <c r="B43" s="221" t="s">
        <v>2229</v>
      </c>
      <c r="C43" s="244">
        <f ca="1">ROUND(IF('数据-取费表'!B22&lt;=1,C39*F22*'数据-取费表'!B21/2,C39*(POWER((1+F22),'数据-取费表'!B21/2)-1)),0)</f>
        <v>19</v>
      </c>
      <c r="D43" s="244"/>
      <c r="E43" s="244"/>
      <c r="F43" s="245"/>
      <c r="G43" s="3376"/>
    </row>
    <row r="44" spans="1:7" ht="13.5" customHeight="1">
      <c r="A44" s="882" t="s">
        <v>793</v>
      </c>
      <c r="B44" s="221" t="s">
        <v>2230</v>
      </c>
      <c r="C44" s="244">
        <f ca="1">ROUND(IF('数据-取费表'!B22&lt;=1,C40*F22*'数据-取费表'!B21/2,C40*(POWER((1+F22),'数据-取费表'!B21/2)-1)),4)</f>
        <v>5.9999999999999995E-4</v>
      </c>
      <c r="D44" s="244"/>
      <c r="E44" s="244"/>
      <c r="F44" s="245"/>
      <c r="G44" s="3377"/>
    </row>
    <row r="45" spans="1:7" s="220" customFormat="1" ht="13.5" customHeight="1">
      <c r="A45" s="261" t="s">
        <v>2231</v>
      </c>
      <c r="B45" s="250" t="s">
        <v>2197</v>
      </c>
      <c r="C45" s="251">
        <f ca="1">C46</f>
        <v>3530</v>
      </c>
      <c r="D45" s="241">
        <f ca="1">C47</f>
        <v>2.3999999999999998E-3</v>
      </c>
      <c r="E45" s="242" t="s">
        <v>2223</v>
      </c>
      <c r="F45" s="2530">
        <f ca="1">F27</f>
        <v>0.12</v>
      </c>
      <c r="G45" s="253" t="s">
        <v>2232</v>
      </c>
    </row>
    <row r="46" spans="1:7" s="220" customFormat="1" ht="13.5" customHeight="1">
      <c r="A46" s="882" t="s">
        <v>791</v>
      </c>
      <c r="B46" s="254" t="s">
        <v>2233</v>
      </c>
      <c r="C46" s="255">
        <f ca="1">ROUND((C33+C39)*F27,0)</f>
        <v>3530</v>
      </c>
      <c r="D46" s="269"/>
      <c r="E46" s="242"/>
      <c r="F46" s="252"/>
      <c r="G46" s="253"/>
    </row>
    <row r="47" spans="1:7" s="220" customFormat="1" ht="13.5" customHeight="1">
      <c r="A47" s="882" t="s">
        <v>792</v>
      </c>
      <c r="B47" s="254" t="s">
        <v>2234</v>
      </c>
      <c r="C47" s="244">
        <f ca="1">ROUND(C40*F27,4)</f>
        <v>2.3999999999999998E-3</v>
      </c>
      <c r="D47" s="269"/>
      <c r="E47" s="242"/>
      <c r="F47" s="252"/>
      <c r="G47" s="253"/>
    </row>
    <row r="48" spans="1:7" s="220" customFormat="1" ht="13.5" customHeight="1">
      <c r="A48" s="261" t="s">
        <v>2196</v>
      </c>
      <c r="B48" s="216" t="s">
        <v>2235</v>
      </c>
      <c r="C48" s="1489">
        <f>ROUND(F30/(1+'数据-取费表'!C42),4)</f>
        <v>5.33E-2</v>
      </c>
      <c r="D48" s="242" t="s">
        <v>2223</v>
      </c>
      <c r="E48" s="238"/>
      <c r="F48" s="2529">
        <f>F30</f>
        <v>5.6000000000000001E-2</v>
      </c>
      <c r="G48" s="240" t="s">
        <v>2236</v>
      </c>
    </row>
    <row r="49" spans="1:7" ht="16.5" customHeight="1">
      <c r="A49" s="261" t="s">
        <v>2202</v>
      </c>
      <c r="B49" s="216" t="s">
        <v>2237</v>
      </c>
      <c r="C49" s="238">
        <f ca="1">ROUND((C33+C39+C41+C45)/(1-C40-D41-D45-C48),0)</f>
        <v>36698</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36698</v>
      </c>
      <c r="D51" s="238"/>
      <c r="E51" s="238"/>
      <c r="F51" s="270"/>
      <c r="G51" s="240" t="s">
        <v>2244</v>
      </c>
    </row>
    <row r="52" spans="1:7" s="214" customFormat="1" ht="16.5" thickBot="1">
      <c r="A52" s="271" t="s">
        <v>2245</v>
      </c>
      <c r="B52" s="272"/>
      <c r="C52" s="273">
        <f ca="1">C31+C51</f>
        <v>222471</v>
      </c>
      <c r="D52" s="272"/>
      <c r="E52" s="272"/>
      <c r="F52" s="272"/>
      <c r="G52" s="274"/>
    </row>
    <row r="55" spans="1:7" ht="15">
      <c r="B55" s="276" t="s">
        <v>2246</v>
      </c>
      <c r="C55" s="277"/>
    </row>
    <row r="56" spans="1:7">
      <c r="B56" s="279" t="s">
        <v>1478</v>
      </c>
      <c r="C56" s="281">
        <f ca="1">1-C57</f>
        <v>0.83499999999999996</v>
      </c>
    </row>
    <row r="57" spans="1:7">
      <c r="B57" s="279" t="s">
        <v>1479</v>
      </c>
      <c r="C57" s="280">
        <f ca="1">ROUND(C51/C52,3)</f>
        <v>0.16500000000000001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8"/>
      <c r="C1" s="2038" t="s">
        <v>2247</v>
      </c>
      <c r="D1" s="204"/>
      <c r="E1" s="204"/>
      <c r="F1" s="204"/>
      <c r="G1" s="1282">
        <f>MATCH(B1,'数据-取费表'!A6:A16,0)+5</f>
        <v>9</v>
      </c>
      <c r="H1" s="1186" t="str">
        <f>IF(ISERROR(FIND("住宅",B1)),"非住宅","住宅")</f>
        <v>非住宅</v>
      </c>
    </row>
    <row r="2" spans="1:8" s="206" customFormat="1" ht="18" customHeight="1">
      <c r="A2" s="207" t="s">
        <v>2146</v>
      </c>
      <c r="B2" s="208">
        <f ca="1">ROUND(IF(D2="——",C52/10000,C52/10000-E2),0)</f>
        <v>70647</v>
      </c>
      <c r="C2" s="205" t="s">
        <v>2147</v>
      </c>
      <c r="D2" s="2032" t="s">
        <v>70</v>
      </c>
      <c r="E2" s="1325" t="e">
        <f ca="1">SUMIF(INDIRECT("'"&amp;G2&amp;"'"&amp;"!A:A"),"承租人权益价值",INDIRECT("'"&amp;G2&amp;"'"&amp;"!c:c"))</f>
        <v>#REF!</v>
      </c>
      <c r="F2" s="2033" t="s">
        <v>2147</v>
      </c>
      <c r="G2" s="2034"/>
    </row>
    <row r="3" spans="1:8" s="206" customFormat="1" ht="18" customHeight="1" thickBot="1">
      <c r="A3" s="209" t="s">
        <v>2148</v>
      </c>
      <c r="B3" s="210">
        <f ca="1">ROUND(B2*10000/(IF(B1="",'数据-汇总表'!E3,INDIRECT("'数据-取费表'!k"&amp;$G$1))),0)</f>
        <v>6515</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21688230</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21688230</v>
      </c>
      <c r="D8" s="228"/>
      <c r="E8" s="226"/>
      <c r="F8" s="227"/>
      <c r="G8" s="2035"/>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21688230</v>
      </c>
      <c r="D10" s="948">
        <f ca="1">IF(B1="",'数据-汇总表'!E6,IF(INDIRECT("'数据-取费表'!c"&amp;$G$1)="住宅",INDIRECT("'数据-取费表'!s"&amp;$G$1),INDIRECT("'数据-取费表'!k"&amp;$G$1)+INDIRECT("'数据-取费表'!s"&amp;$G$1)))</f>
        <v>108441.15</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21688230</v>
      </c>
      <c r="D19" s="952">
        <f ca="1">D9+D10</f>
        <v>108441.15</v>
      </c>
      <c r="E19" s="217">
        <f>'数据-取费表'!B31</f>
        <v>200</v>
      </c>
      <c r="F19" s="237"/>
      <c r="G19" s="2035"/>
    </row>
    <row r="20" spans="1:7" s="220" customFormat="1" ht="13.5" customHeight="1">
      <c r="A20" s="261" t="s">
        <v>2258</v>
      </c>
      <c r="B20" s="216" t="s">
        <v>2259</v>
      </c>
      <c r="C20" s="238">
        <f ca="1">ROUND((C5+C19)*F20,0)</f>
        <v>867529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3">
        <f ca="1">ROUND(SUM(C23:C25),0)</f>
        <v>4919624</v>
      </c>
      <c r="D22" s="241">
        <f ca="1">C26</f>
        <v>1.1000000000000001E-3</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4">
        <f ca="1">ROUND(IF('数据-取费表'!B22&lt;=1,C5*F22*'数据-取费表'!B22,C5*(POWER((1+F22),'数据-取费表'!B22)-1)),0)</f>
        <v>2436099</v>
      </c>
      <c r="D23" s="244"/>
      <c r="E23" s="244"/>
      <c r="F23" s="245"/>
      <c r="G23" s="246" t="s">
        <v>2268</v>
      </c>
    </row>
    <row r="24" spans="1:7" s="220" customFormat="1" ht="13.5" customHeight="1">
      <c r="A24" s="882" t="s">
        <v>2158</v>
      </c>
      <c r="B24" s="221" t="s">
        <v>2269</v>
      </c>
      <c r="C24" s="1284">
        <f ca="1">ROUND(IF('数据-取费表'!B22&lt;=1,C19*F22*('数据-取费表'!B19/2+'数据-取费表'!B20),C19*(POWER((1+F22),('数据-取费表'!B19/2+'数据-取费表'!B20))-1)),0)</f>
        <v>2436099</v>
      </c>
      <c r="D24" s="244"/>
      <c r="E24" s="244"/>
      <c r="F24" s="245"/>
      <c r="G24" s="246" t="s">
        <v>2270</v>
      </c>
    </row>
    <row r="25" spans="1:7" s="220" customFormat="1" ht="24">
      <c r="A25" s="882" t="s">
        <v>2160</v>
      </c>
      <c r="B25" s="221" t="s">
        <v>2271</v>
      </c>
      <c r="C25" s="1284">
        <f ca="1">ROUND(IF('数据-取费表'!B22&lt;=1,C20*F22*'数据-取费表'!B22/2,C20*(POWER((1+F22),'数据-取费表'!B22/2)-1)),0)</f>
        <v>47426</v>
      </c>
      <c r="D25" s="244"/>
      <c r="E25" s="247"/>
      <c r="F25" s="245"/>
      <c r="G25" s="248" t="s">
        <v>2272</v>
      </c>
    </row>
    <row r="26" spans="1:7" s="220" customFormat="1">
      <c r="A26" s="882" t="s">
        <v>795</v>
      </c>
      <c r="B26" s="221" t="s">
        <v>2195</v>
      </c>
      <c r="C26" s="244">
        <f ca="1">ROUND(IF('数据-取费表'!B22&lt;=1,F21*F22*'数据-取费表'!B22/2,F21*(POWER((1+F22),'数据-取费表'!B22/2)-1)),4)</f>
        <v>1.1000000000000001E-3</v>
      </c>
      <c r="D26" s="244"/>
      <c r="E26" s="247"/>
      <c r="F26" s="245"/>
      <c r="G26" s="249"/>
    </row>
    <row r="27" spans="1:7" s="220" customFormat="1" ht="24.75">
      <c r="A27" s="261" t="s">
        <v>2196</v>
      </c>
      <c r="B27" s="250" t="s">
        <v>2197</v>
      </c>
      <c r="C27" s="251">
        <f ca="1">C28</f>
        <v>5309279</v>
      </c>
      <c r="D27" s="241">
        <f ca="1">C29</f>
        <v>2.3999999999999998E-3</v>
      </c>
      <c r="E27" s="242" t="s">
        <v>2198</v>
      </c>
      <c r="F27" s="252">
        <f ca="1">IF(B1="",'数据-取费表'!Q16,INDIRECT("'数据-取费表'!q"&amp;$G$1))</f>
        <v>0.12</v>
      </c>
      <c r="G27" s="253" t="s">
        <v>2199</v>
      </c>
    </row>
    <row r="28" spans="1:7" s="220" customFormat="1" ht="13.5" customHeight="1">
      <c r="A28" s="882" t="s">
        <v>791</v>
      </c>
      <c r="B28" s="254" t="s">
        <v>2200</v>
      </c>
      <c r="C28" s="255">
        <f ca="1">ROUND((C5+C19+C20)*F27,0)</f>
        <v>5309279</v>
      </c>
      <c r="D28" s="241"/>
      <c r="E28" s="242"/>
      <c r="F28" s="252"/>
      <c r="G28" s="253"/>
    </row>
    <row r="29" spans="1:7" s="220" customFormat="1" ht="13.5" customHeight="1">
      <c r="A29" s="882" t="s">
        <v>792</v>
      </c>
      <c r="B29" s="254" t="s">
        <v>2201</v>
      </c>
      <c r="C29" s="244">
        <f ca="1">ROUND(C21*F27,4)</f>
        <v>2.3999999999999998E-3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59004432</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498883326</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456646025</v>
      </c>
      <c r="D34" s="223"/>
      <c r="E34" s="226"/>
      <c r="F34" s="263"/>
      <c r="G34" s="225"/>
    </row>
    <row r="35" spans="1:7" ht="13.5" customHeight="1">
      <c r="A35" s="882" t="s">
        <v>796</v>
      </c>
      <c r="B35" s="221" t="s">
        <v>2211</v>
      </c>
      <c r="C35" s="226">
        <f ca="1">ROUND(C34*F35,0)</f>
        <v>13699381</v>
      </c>
      <c r="D35" s="226"/>
      <c r="E35" s="226"/>
      <c r="F35" s="265">
        <f>'数据-取费表'!B33</f>
        <v>0.03</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21688230</v>
      </c>
      <c r="D37" s="223">
        <f ca="1">D19</f>
        <v>108441.15</v>
      </c>
      <c r="E37" s="255">
        <f>'数据-取费表'!B35</f>
        <v>200</v>
      </c>
      <c r="F37" s="265"/>
      <c r="G37" s="267"/>
    </row>
    <row r="38" spans="1:7" ht="13.5" customHeight="1">
      <c r="A38" s="882" t="s">
        <v>799</v>
      </c>
      <c r="B38" s="221" t="s">
        <v>2217</v>
      </c>
      <c r="C38" s="226">
        <f ca="1">ROUND(C34*F38,0)</f>
        <v>6849690</v>
      </c>
      <c r="D38" s="226"/>
      <c r="E38" s="226"/>
      <c r="F38" s="265">
        <f>'数据-取费表'!B36</f>
        <v>1.4999999999999999E-2</v>
      </c>
      <c r="G38" s="225" t="s">
        <v>2212</v>
      </c>
    </row>
    <row r="39" spans="1:7" s="220" customFormat="1" ht="13.5" customHeight="1">
      <c r="A39" s="261" t="s">
        <v>2218</v>
      </c>
      <c r="B39" s="216" t="s">
        <v>2219</v>
      </c>
      <c r="C39" s="238">
        <f ca="1">ROUND(C33*F20,0)</f>
        <v>9977667</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27818162</v>
      </c>
      <c r="D41" s="241">
        <f ca="1">C44</f>
        <v>1.1000000000000001E-3</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27272708</v>
      </c>
      <c r="D42" s="244"/>
      <c r="E42" s="244"/>
      <c r="F42" s="245"/>
      <c r="G42" s="3375" t="s">
        <v>2275</v>
      </c>
    </row>
    <row r="43" spans="1:7" ht="13.5" customHeight="1">
      <c r="A43" s="882" t="s">
        <v>792</v>
      </c>
      <c r="B43" s="221" t="s">
        <v>2229</v>
      </c>
      <c r="C43" s="244">
        <f ca="1">ROUND(IF('数据-取费表'!B22&lt;=1,C39*F22*'数据-取费表'!B20/2,C39*(POWER((1+F22),'数据-取费表'!B20/2)-1)),0)</f>
        <v>545454</v>
      </c>
      <c r="D43" s="244"/>
      <c r="E43" s="244"/>
      <c r="F43" s="245"/>
      <c r="G43" s="3376"/>
    </row>
    <row r="44" spans="1:7" ht="13.5" customHeight="1">
      <c r="A44" s="882" t="s">
        <v>793</v>
      </c>
      <c r="B44" s="221" t="s">
        <v>2230</v>
      </c>
      <c r="C44" s="244">
        <f ca="1">ROUND(IF('数据-取费表'!B22&lt;=1,C40*F22*'数据-取费表'!B20/2,C40*(POWER((1+F22),'数据-取费表'!B20/2)-1)),4)</f>
        <v>1.1000000000000001E-3</v>
      </c>
      <c r="D44" s="244"/>
      <c r="E44" s="244"/>
      <c r="F44" s="245"/>
      <c r="G44" s="3377"/>
    </row>
    <row r="45" spans="1:7" s="220" customFormat="1" ht="13.5" customHeight="1">
      <c r="A45" s="261" t="s">
        <v>2231</v>
      </c>
      <c r="B45" s="250" t="s">
        <v>2197</v>
      </c>
      <c r="C45" s="251">
        <f ca="1">C46</f>
        <v>61063319</v>
      </c>
      <c r="D45" s="241">
        <f ca="1">C47</f>
        <v>2.3999999999999998E-3</v>
      </c>
      <c r="E45" s="242" t="s">
        <v>2223</v>
      </c>
      <c r="F45" s="2530">
        <f ca="1">F27</f>
        <v>0.12</v>
      </c>
      <c r="G45" s="253" t="s">
        <v>2232</v>
      </c>
    </row>
    <row r="46" spans="1:7" s="220" customFormat="1" ht="13.5" customHeight="1">
      <c r="A46" s="882" t="s">
        <v>791</v>
      </c>
      <c r="B46" s="254" t="s">
        <v>2233</v>
      </c>
      <c r="C46" s="255">
        <f ca="1">ROUND((C33+C39)*F27,0)</f>
        <v>61063319</v>
      </c>
      <c r="D46" s="269"/>
      <c r="E46" s="242"/>
      <c r="F46" s="252"/>
      <c r="G46" s="253"/>
    </row>
    <row r="47" spans="1:7" s="220" customFormat="1" ht="13.5" customHeight="1">
      <c r="A47" s="882" t="s">
        <v>792</v>
      </c>
      <c r="B47" s="254" t="s">
        <v>2234</v>
      </c>
      <c r="C47" s="244">
        <f ca="1">ROUND(C40*F27,4)</f>
        <v>2.3999999999999998E-3</v>
      </c>
      <c r="D47" s="269"/>
      <c r="E47" s="242"/>
      <c r="F47" s="252"/>
      <c r="G47" s="253"/>
    </row>
    <row r="48" spans="1:7" s="220" customFormat="1" ht="13.5" customHeight="1">
      <c r="A48" s="261" t="s">
        <v>2196</v>
      </c>
      <c r="B48" s="216" t="s">
        <v>2235</v>
      </c>
      <c r="C48" s="268">
        <f>ROUND(F30/(1+'数据-取费表'!C42),4)</f>
        <v>5.33E-2</v>
      </c>
      <c r="D48" s="242" t="s">
        <v>2223</v>
      </c>
      <c r="E48" s="238"/>
      <c r="F48" s="2529">
        <f>F30</f>
        <v>5.6000000000000001E-2</v>
      </c>
      <c r="G48" s="240" t="s">
        <v>2236</v>
      </c>
    </row>
    <row r="49" spans="1:7" ht="16.5" customHeight="1">
      <c r="A49" s="261" t="s">
        <v>2202</v>
      </c>
      <c r="B49" s="216" t="s">
        <v>2276</v>
      </c>
      <c r="C49" s="238">
        <f ca="1">ROUND((C33+C39+C41+C45)/(1-C40-D41-D45-C48),0)</f>
        <v>647468018</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647468018</v>
      </c>
      <c r="D51" s="238"/>
      <c r="E51" s="238"/>
      <c r="F51" s="270"/>
      <c r="G51" s="240" t="s">
        <v>2244</v>
      </c>
    </row>
    <row r="52" spans="1:7" s="214" customFormat="1" ht="16.5" thickBot="1">
      <c r="A52" s="271" t="s">
        <v>2245</v>
      </c>
      <c r="B52" s="272"/>
      <c r="C52" s="273">
        <f ca="1">C31+C51</f>
        <v>706472450</v>
      </c>
      <c r="D52" s="272"/>
      <c r="E52" s="272"/>
      <c r="F52" s="272"/>
      <c r="G52" s="274"/>
    </row>
    <row r="55" spans="1:7" ht="15">
      <c r="B55" s="276" t="s">
        <v>2246</v>
      </c>
      <c r="C55" s="277"/>
    </row>
    <row r="56" spans="1:7">
      <c r="B56" s="279" t="s">
        <v>1478</v>
      </c>
      <c r="C56" s="281">
        <f ca="1">1-C57</f>
        <v>8.3999999999999964E-2</v>
      </c>
    </row>
    <row r="57" spans="1:7">
      <c r="B57" s="279" t="s">
        <v>1479</v>
      </c>
      <c r="C57" s="280">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8" sqref="P38"/>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12.12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6"/>
      <c r="C1" s="1347"/>
      <c r="D1" s="1345"/>
      <c r="E1" s="3025"/>
      <c r="F1" s="3025"/>
      <c r="G1" s="2890"/>
      <c r="H1" s="3025"/>
      <c r="I1" s="3025"/>
      <c r="J1" s="3025"/>
      <c r="K1" s="3026">
        <f>MATCH(C1,'数据-取费表'!A6:A16,0)+5</f>
        <v>9</v>
      </c>
    </row>
    <row r="2" spans="1:33" ht="18" customHeight="1">
      <c r="A2" s="207" t="s">
        <v>2146</v>
      </c>
      <c r="B2" s="210">
        <f ca="1">C32</f>
        <v>179136</v>
      </c>
      <c r="C2" s="282" t="s">
        <v>2279</v>
      </c>
      <c r="D2" s="282"/>
      <c r="E2" s="3025"/>
      <c r="F2" s="3025"/>
      <c r="G2" s="3025"/>
      <c r="H2" s="3025"/>
      <c r="I2" s="3025"/>
      <c r="J2" s="3025"/>
      <c r="K2" s="3025"/>
    </row>
    <row r="3" spans="1:33" ht="18" customHeight="1" thickBot="1">
      <c r="A3" s="209" t="s">
        <v>2148</v>
      </c>
      <c r="B3" s="210">
        <f ca="1">ROUND(B2*10000/IF(C1="",'数据-汇总表'!E3,INDIRECT("'数据-取费表'!K"&amp;$K$1)),0)</f>
        <v>16519</v>
      </c>
      <c r="C3" s="282" t="s">
        <v>2280</v>
      </c>
      <c r="D3" s="282"/>
      <c r="E3" s="3025"/>
      <c r="F3" s="3025"/>
      <c r="G3" s="3025"/>
      <c r="H3" s="3025"/>
      <c r="I3" s="3025"/>
      <c r="J3" s="3025"/>
      <c r="K3" s="3025"/>
    </row>
    <row r="4" spans="1:33" s="887" customFormat="1" ht="16.5" customHeight="1">
      <c r="A4" s="884" t="s">
        <v>2281</v>
      </c>
      <c r="B4" s="885"/>
      <c r="C4" s="927">
        <f ca="1">SUM(C8:K8)</f>
        <v>240887</v>
      </c>
      <c r="D4" s="885"/>
      <c r="E4" s="885"/>
      <c r="F4" s="885"/>
      <c r="G4" s="885"/>
      <c r="H4" s="885"/>
      <c r="I4" s="885"/>
      <c r="J4" s="885"/>
      <c r="K4" s="886"/>
    </row>
    <row r="5" spans="1:33" s="891" customFormat="1" ht="15">
      <c r="A5" s="888" t="s">
        <v>2282</v>
      </c>
      <c r="B5" s="889" t="s">
        <v>2283</v>
      </c>
      <c r="C5" s="2039" t="s">
        <v>1343</v>
      </c>
      <c r="D5" s="2039" t="s">
        <v>27</v>
      </c>
      <c r="E5" s="2039" t="s">
        <v>2284</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2285</v>
      </c>
      <c r="C6" s="893">
        <f ca="1">收益法商!B3</f>
        <v>34313</v>
      </c>
      <c r="D6" s="893">
        <f ca="1">收益法!B3</f>
        <v>26408</v>
      </c>
      <c r="E6" s="893">
        <f ca="1">收益法车!B3</f>
        <v>5185</v>
      </c>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2286</v>
      </c>
      <c r="B7" s="136" t="s">
        <v>2287</v>
      </c>
      <c r="C7" s="283">
        <f>SUMIF('数据-汇总表'!$C19:$C33,假设开发法!C5,'数据-汇总表'!$E19:$E33)</f>
        <v>31731</v>
      </c>
      <c r="D7" s="283">
        <f>SUMIF('数据-汇总表'!$C19:$C33,假设开发法!D5,'数据-汇总表'!$E19:$E33)</f>
        <v>45371</v>
      </c>
      <c r="E7" s="283">
        <f>SUMIF('数据-汇总表'!$C19:$C33,假设开发法!E5,'数据-汇总表'!$E19:$E33)</f>
        <v>23509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2288</v>
      </c>
      <c r="B8" s="169" t="s">
        <v>2289</v>
      </c>
      <c r="C8" s="928">
        <f ca="1">收益法商!B2</f>
        <v>108880</v>
      </c>
      <c r="D8" s="928">
        <f ca="1">收益法!B2</f>
        <v>119818</v>
      </c>
      <c r="E8" s="928">
        <f ca="1">收益法车!B2</f>
        <v>12189</v>
      </c>
      <c r="F8" s="929"/>
      <c r="G8" s="929"/>
      <c r="H8" s="929"/>
      <c r="I8" s="929"/>
      <c r="J8" s="929"/>
      <c r="K8" s="930"/>
      <c r="L8" s="895">
        <f ca="1">E8/'数据-取费表'!AH8</f>
        <v>14.756658595641646</v>
      </c>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2290</v>
      </c>
      <c r="B9" s="885"/>
      <c r="C9" s="885"/>
      <c r="D9" s="885"/>
      <c r="E9" s="885"/>
      <c r="F9" s="885"/>
      <c r="G9" s="885"/>
      <c r="H9" s="885"/>
      <c r="I9" s="885"/>
      <c r="J9" s="885"/>
      <c r="K9" s="886"/>
    </row>
    <row r="10" spans="1:33" s="901" customFormat="1" ht="13.5" customHeight="1">
      <c r="A10" s="888" t="s">
        <v>2291</v>
      </c>
      <c r="B10" s="8" t="s">
        <v>2292</v>
      </c>
      <c r="C10" s="897" t="s">
        <v>2293</v>
      </c>
      <c r="D10" s="898" t="s">
        <v>2294</v>
      </c>
      <c r="E10" s="898" t="s">
        <v>2295</v>
      </c>
      <c r="F10" s="898" t="s">
        <v>2296</v>
      </c>
      <c r="G10" s="8"/>
      <c r="H10" s="899"/>
      <c r="I10" s="899"/>
      <c r="J10" s="899"/>
      <c r="K10" s="900"/>
    </row>
    <row r="11" spans="1:33" s="906" customFormat="1" ht="13.5" customHeight="1">
      <c r="A11" s="902" t="s">
        <v>1300</v>
      </c>
      <c r="B11" s="903" t="s">
        <v>2297</v>
      </c>
      <c r="C11" s="285">
        <f ca="1">IF(C1="",'数据-取费表'!P16,INDIRECT("'数据-取费表'!p"&amp;$K$1)+INDIRECT("'数据-取费表'!ar"&amp;$K$1))</f>
        <v>19271</v>
      </c>
      <c r="D11" s="904"/>
      <c r="E11" s="335"/>
      <c r="F11" s="905">
        <f ca="1">1-IF('数据-取费表'!B24=0,1,IF(C1="",'数据-取费表'!N16,INDIRECT("'数据-取费表'!n"&amp;$K$1)))</f>
        <v>0.42200000000000004</v>
      </c>
      <c r="G11" s="8"/>
      <c r="H11" s="899"/>
      <c r="I11" s="899"/>
      <c r="J11" s="899"/>
      <c r="K11" s="900"/>
    </row>
    <row r="12" spans="1:33" s="906" customFormat="1" ht="13.5" customHeight="1">
      <c r="A12" s="902" t="s">
        <v>1301</v>
      </c>
      <c r="B12" s="903" t="s">
        <v>2298</v>
      </c>
      <c r="C12" s="24">
        <f ca="1">ROUND(C11*F12,0)</f>
        <v>578</v>
      </c>
      <c r="D12" s="904"/>
      <c r="E12" s="335"/>
      <c r="F12" s="907">
        <f>'数据-取费表'!B33</f>
        <v>0.03</v>
      </c>
      <c r="G12" s="8" t="s">
        <v>2299</v>
      </c>
      <c r="H12" s="899"/>
      <c r="I12" s="899"/>
      <c r="J12" s="899"/>
      <c r="K12" s="900"/>
    </row>
    <row r="13" spans="1:33" s="906" customFormat="1" ht="13.5" customHeight="1">
      <c r="A13" s="902" t="s">
        <v>1302</v>
      </c>
      <c r="B13" s="903" t="s">
        <v>2300</v>
      </c>
      <c r="C13" s="24">
        <f ca="1">ROUND(IF(C1="",SUMIF('数据-取费表'!C:C,"住宅",'数据-取费表'!P:P)*F13,IF(INDIRECT("'数据-取费表'!c"&amp;$K$1)="住宅",INDIRECT("'数据-取费表'!P"&amp;$K$1)*F13,0)),0)</f>
        <v>0</v>
      </c>
      <c r="D13" s="949"/>
      <c r="E13" s="335"/>
      <c r="F13" s="907">
        <f>'数据-取费表'!B34</f>
        <v>0</v>
      </c>
      <c r="G13" s="8" t="s">
        <v>2301</v>
      </c>
      <c r="H13" s="899"/>
      <c r="I13" s="899"/>
      <c r="J13" s="899"/>
      <c r="K13" s="900"/>
    </row>
    <row r="14" spans="1:33" s="908" customFormat="1" ht="13.5" customHeight="1">
      <c r="A14" s="902" t="s">
        <v>1303</v>
      </c>
      <c r="B14" s="903" t="s">
        <v>2302</v>
      </c>
      <c r="C14" s="24">
        <f ca="1">ROUND(D14*E14*F11/10000,0)</f>
        <v>915</v>
      </c>
      <c r="D14" s="949">
        <f ca="1">IF(C1="",'数据-汇总表'!E3,INDIRECT("'数据-取费表'!K"&amp;$K$1)+INDIRECT("'数据-取费表'!S"&amp;$K$1))</f>
        <v>108441.15</v>
      </c>
      <c r="E14" s="24">
        <f>'数据-取费表'!B35</f>
        <v>200</v>
      </c>
      <c r="F14" s="907"/>
      <c r="G14" s="8" t="s">
        <v>2303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2304</v>
      </c>
      <c r="C15" s="914">
        <f ca="1">ROUND(C11*F15,0)</f>
        <v>289</v>
      </c>
      <c r="D15" s="909"/>
      <c r="E15" s="914"/>
      <c r="F15" s="915">
        <f>'数据-取费表'!B36</f>
        <v>1.4999999999999999E-2</v>
      </c>
      <c r="G15" s="136" t="s">
        <v>2305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2306</v>
      </c>
      <c r="C16" s="914">
        <f ca="1">SUM(C11:C15)</f>
        <v>21053</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2307</v>
      </c>
      <c r="C17" s="24">
        <f ca="1">ROUND(D17*E17/10000,0)</f>
        <v>0</v>
      </c>
      <c r="D17" s="949">
        <f ca="1">D14</f>
        <v>108441.15</v>
      </c>
      <c r="E17" s="24">
        <f>'数据-取费表'!B32</f>
        <v>0</v>
      </c>
      <c r="F17" s="909"/>
      <c r="G17" s="136" t="s">
        <v>2308</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2309</v>
      </c>
      <c r="C18" s="24">
        <f ca="1">C19+C20-IF(C1="",'数据-取费表'!B29,IF(G18="已全部缴纳",C19+C20,H18))</f>
        <v>0</v>
      </c>
      <c r="D18" s="949"/>
      <c r="E18" s="24"/>
      <c r="F18" s="907"/>
      <c r="G18" s="2041"/>
      <c r="H18" s="1342"/>
      <c r="I18" s="2042" t="s">
        <v>2310</v>
      </c>
      <c r="J18" s="910"/>
      <c r="K18" s="911"/>
    </row>
    <row r="19" spans="1:33" s="906" customFormat="1" ht="13.5" customHeight="1">
      <c r="A19" s="902" t="s">
        <v>805</v>
      </c>
      <c r="B19" s="903" t="s">
        <v>2311</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2312</v>
      </c>
      <c r="C20" s="24">
        <f ca="1">ROUND(D20*E20/10000,0)</f>
        <v>2169</v>
      </c>
      <c r="D20" s="949">
        <f ca="1">IF(C1="",'数据-汇总表'!E6,IF(INDIRECT("'数据-取费表'!c"&amp;$K$1)="住宅",INDIRECT("'数据-取费表'!s"&amp;$K$1),INDIRECT("'数据-取费表'!k"&amp;$K$1)+INDIRECT("'数据-取费表'!s"&amp;$K$1)))</f>
        <v>108441.15</v>
      </c>
      <c r="E20" s="24">
        <f>'数据-取费表'!B28</f>
        <v>200</v>
      </c>
      <c r="F20" s="907"/>
      <c r="G20" s="15"/>
      <c r="H20" s="912"/>
      <c r="I20" s="912"/>
      <c r="J20" s="912"/>
      <c r="K20" s="913"/>
    </row>
    <row r="21" spans="1:33" s="906" customFormat="1" ht="13.5" customHeight="1">
      <c r="A21" s="892" t="s">
        <v>802</v>
      </c>
      <c r="B21" s="916" t="s">
        <v>2313</v>
      </c>
      <c r="C21" s="917">
        <f ca="1">C16+C17+C18</f>
        <v>21053</v>
      </c>
      <c r="D21" s="918"/>
      <c r="E21" s="287"/>
      <c r="F21" s="287"/>
      <c r="G21" s="136" t="s">
        <v>2314</v>
      </c>
      <c r="H21" s="910"/>
      <c r="I21" s="910"/>
      <c r="J21" s="910"/>
      <c r="K21" s="911"/>
    </row>
    <row r="22" spans="1:33" s="906" customFormat="1" ht="13.5" customHeight="1">
      <c r="A22" s="892" t="s">
        <v>2286</v>
      </c>
      <c r="B22" s="916" t="s">
        <v>2315</v>
      </c>
      <c r="C22" s="917">
        <f ca="1">ROUND(C21*F22,0)</f>
        <v>421</v>
      </c>
      <c r="D22" s="287"/>
      <c r="E22" s="287"/>
      <c r="F22" s="919">
        <f>'数据-取费表'!B37</f>
        <v>0.02</v>
      </c>
      <c r="G22" s="8" t="s">
        <v>2316</v>
      </c>
      <c r="H22" s="899"/>
      <c r="I22" s="899"/>
      <c r="J22" s="899"/>
      <c r="K22" s="900"/>
    </row>
    <row r="23" spans="1:33" s="906" customFormat="1" ht="13.5" customHeight="1">
      <c r="A23" s="892" t="s">
        <v>2288</v>
      </c>
      <c r="B23" s="916" t="s">
        <v>2317</v>
      </c>
      <c r="C23" s="917">
        <f ca="1">ROUND(C4*F23*F11,0)</f>
        <v>2033</v>
      </c>
      <c r="D23" s="287"/>
      <c r="E23" s="287"/>
      <c r="F23" s="919">
        <f>'数据-取费表'!B38</f>
        <v>0.02</v>
      </c>
      <c r="G23" s="8" t="s">
        <v>2318</v>
      </c>
      <c r="H23" s="899"/>
      <c r="I23" s="899"/>
      <c r="J23" s="899"/>
      <c r="K23" s="900"/>
    </row>
    <row r="24" spans="1:33" s="906" customFormat="1" ht="13.5" customHeight="1">
      <c r="A24" s="892" t="s">
        <v>2319</v>
      </c>
      <c r="B24" s="916" t="s">
        <v>2320</v>
      </c>
      <c r="C24" s="286">
        <f>ROUND(F24/(1+'数据-取费表'!C42),4)</f>
        <v>2.9000000000000001E-2</v>
      </c>
      <c r="D24" s="287" t="s">
        <v>15</v>
      </c>
      <c r="E24" s="287"/>
      <c r="F24" s="919">
        <f>IF(项目基本情况!B8="出让",0,'数据-取费表'!B48+'数据-取费表'!B49)</f>
        <v>3.0499999999999999E-2</v>
      </c>
      <c r="G24" s="8" t="s">
        <v>2321</v>
      </c>
      <c r="H24" s="921"/>
      <c r="I24" s="921"/>
      <c r="J24" s="921"/>
      <c r="K24" s="922"/>
    </row>
    <row r="25" spans="1:33" s="906" customFormat="1" ht="13.5" customHeight="1">
      <c r="A25" s="892" t="s">
        <v>2322</v>
      </c>
      <c r="B25" s="918" t="s">
        <v>2323</v>
      </c>
      <c r="C25" s="1260">
        <f ca="1">C27</f>
        <v>506</v>
      </c>
      <c r="D25" s="286">
        <f ca="1">C26</f>
        <v>4.48E-2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2324</v>
      </c>
      <c r="C26" s="1261">
        <f ca="1">ROUND(IF('数据-取费表'!B22&lt;=1,(1+C24)*F25*'数据-取费表'!B24,(1+C24)*(POWER((1+F25),'数据-取费表'!B24)-1)),4)</f>
        <v>4.48E-2</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2325</v>
      </c>
      <c r="C27" s="1262">
        <f ca="1">ROUND(IF('数据-取费表'!B22&lt;=1,(C21+C22+C23)*F25*'数据-取费表'!B24/2,(C21+C22+C23)*(POWER((1+F25),'数据-取费表'!B24/2)-1)),0)</f>
        <v>506</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2326</v>
      </c>
      <c r="B28" s="2044" t="s">
        <v>2327</v>
      </c>
      <c r="C28" s="293">
        <f ca="1">C30</f>
        <v>2821</v>
      </c>
      <c r="D28" s="286">
        <f ca="1">C29</f>
        <v>4.9399999999999999E-2</v>
      </c>
      <c r="E28" s="288" t="s">
        <v>15</v>
      </c>
      <c r="F28" s="294">
        <f ca="1">IF(C1="",'数据-取费表'!Q16,INDIRECT("'数据-取费表'!q"&amp;$K$1))</f>
        <v>0.12</v>
      </c>
      <c r="G28" s="920"/>
      <c r="H28" s="921"/>
      <c r="I28" s="921"/>
      <c r="J28" s="921"/>
      <c r="K28" s="922"/>
    </row>
    <row r="29" spans="1:33" s="297" customFormat="1" ht="13.5" customHeight="1">
      <c r="A29" s="902" t="s">
        <v>803</v>
      </c>
      <c r="B29" s="925" t="s">
        <v>2328</v>
      </c>
      <c r="C29" s="290">
        <f ca="1">ROUND((1+C24)*F28*'数据-取费表'!B24/'数据-取费表'!B20,4)</f>
        <v>4.9399999999999999E-2</v>
      </c>
      <c r="D29" s="290"/>
      <c r="E29" s="291"/>
      <c r="F29" s="296"/>
      <c r="G29" s="136" t="s">
        <v>2329</v>
      </c>
      <c r="H29" s="910"/>
      <c r="I29" s="910"/>
      <c r="J29" s="910"/>
      <c r="K29" s="911"/>
    </row>
    <row r="30" spans="1:33" s="297" customFormat="1" ht="13.5" customHeight="1">
      <c r="A30" s="902" t="s">
        <v>804</v>
      </c>
      <c r="B30" s="925" t="s">
        <v>2330</v>
      </c>
      <c r="C30" s="298">
        <f ca="1">ROUND((C21+C22+C23)*F28,0)</f>
        <v>2821</v>
      </c>
      <c r="D30" s="290"/>
      <c r="E30" s="291"/>
      <c r="F30" s="296"/>
      <c r="G30" s="136"/>
      <c r="H30" s="910"/>
      <c r="I30" s="910"/>
      <c r="J30" s="910"/>
      <c r="K30" s="911"/>
    </row>
    <row r="31" spans="1:33" s="906" customFormat="1" ht="13.5" customHeight="1" thickBot="1">
      <c r="A31" s="2045" t="s">
        <v>2331</v>
      </c>
      <c r="B31" s="936" t="s">
        <v>2332</v>
      </c>
      <c r="C31" s="937">
        <f ca="1">ROUND(C4*F31/(1+'数据-取费表'!C42),0)</f>
        <v>12847</v>
      </c>
      <c r="D31" s="938"/>
      <c r="E31" s="939"/>
      <c r="F31" s="940">
        <f>'数据-取费表'!B41</f>
        <v>5.6000000000000001E-2</v>
      </c>
      <c r="G31" s="941" t="s">
        <v>2333</v>
      </c>
      <c r="H31" s="942"/>
      <c r="I31" s="942"/>
      <c r="J31" s="942"/>
      <c r="K31" s="943"/>
    </row>
    <row r="32" spans="1:33" s="901" customFormat="1" ht="13.5" customHeight="1" thickBot="1">
      <c r="A32" s="931" t="s">
        <v>2334</v>
      </c>
      <c r="B32" s="932"/>
      <c r="C32" s="933">
        <f ca="1">ROUND((C4-C21-C22-C23-C25-C28-C31)/(1+C24+D25+D28),0)</f>
        <v>179136</v>
      </c>
      <c r="D32" s="932"/>
      <c r="E32" s="932"/>
      <c r="F32" s="932"/>
      <c r="G32" s="934" t="s">
        <v>2335</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1343</v>
      </c>
      <c r="D1" s="1540" t="s">
        <v>3320</v>
      </c>
      <c r="E1" s="1541" t="s">
        <v>1352</v>
      </c>
      <c r="F1" s="1187">
        <f ca="1">J53</f>
        <v>32.06</v>
      </c>
      <c r="G1" s="1556">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108880</v>
      </c>
      <c r="C2" s="1565" t="s">
        <v>1481</v>
      </c>
      <c r="D2" s="1565"/>
      <c r="E2" s="1566"/>
      <c r="F2" s="1567"/>
      <c r="G2" s="2925"/>
      <c r="H2" s="2914"/>
      <c r="I2" s="2914"/>
      <c r="J2" s="2914"/>
      <c r="K2" s="2915"/>
      <c r="L2" s="2914"/>
      <c r="M2" s="2914"/>
    </row>
    <row r="3" spans="1:37" ht="18" customHeight="1" thickBot="1">
      <c r="A3" s="1568" t="s">
        <v>1482</v>
      </c>
      <c r="B3" s="1569">
        <f ca="1">IF(ISERROR(B2*10000/F43),0,ROUND(B2*10000/F43,0))</f>
        <v>34313</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6575</v>
      </c>
      <c r="D5" s="1542" t="s">
        <v>1367</v>
      </c>
      <c r="E5" s="1197"/>
      <c r="F5" s="1198"/>
      <c r="G5" s="1562"/>
      <c r="H5" s="305">
        <v>1</v>
      </c>
      <c r="I5" s="306" t="s">
        <v>1366</v>
      </c>
      <c r="J5" s="1196">
        <f ca="1">J6+J10+J12</f>
        <v>0</v>
      </c>
      <c r="K5" s="1542" t="s">
        <v>1367</v>
      </c>
      <c r="L5" s="1197"/>
      <c r="M5" s="1198"/>
    </row>
    <row r="6" spans="1:37" ht="18" customHeight="1">
      <c r="A6" s="1195" t="s">
        <v>1003</v>
      </c>
      <c r="B6" s="3378" t="s">
        <v>1368</v>
      </c>
      <c r="C6" s="1200">
        <f ca="1">ROUND(F6*F8*F7*(1-F9)/10000,0)</f>
        <v>6567</v>
      </c>
      <c r="D6" s="160" t="s">
        <v>2846</v>
      </c>
      <c r="E6" s="308" t="s">
        <v>1370</v>
      </c>
      <c r="F6" s="309">
        <f ca="1">INDIRECT("'数据-取费表'!u"&amp;$G$1)</f>
        <v>6.3</v>
      </c>
      <c r="G6" s="1562"/>
      <c r="H6" s="1195" t="s">
        <v>1003</v>
      </c>
      <c r="I6" s="3378" t="s">
        <v>1368</v>
      </c>
      <c r="J6" s="307">
        <f ca="1">ROUND(M6*M8*M7*(1-M9)/10000,0)</f>
        <v>0</v>
      </c>
      <c r="K6" s="160" t="s">
        <v>2845</v>
      </c>
      <c r="L6" s="308" t="s">
        <v>1370</v>
      </c>
      <c r="M6" s="309">
        <f ca="1">INDIRECT("'数据-取费表'!z"&amp;$G$1)</f>
        <v>0</v>
      </c>
    </row>
    <row r="7" spans="1:37" ht="18" customHeight="1">
      <c r="A7" s="1199"/>
      <c r="B7" s="3379"/>
      <c r="C7" s="1201"/>
      <c r="D7" s="313"/>
      <c r="E7" s="3049" t="s">
        <v>1371</v>
      </c>
      <c r="F7" s="309">
        <f ca="1">IF(INDIRECT("'数据-取费表'!ah"&amp;$G$1)="",INDIRECT("'数据-取费表'!k"&amp;$G$1),INDIRECT("'数据-取费表'!ah"&amp;$G$1))</f>
        <v>31731</v>
      </c>
      <c r="G7" s="1562"/>
      <c r="H7" s="310"/>
      <c r="I7" s="3379"/>
      <c r="J7" s="312"/>
      <c r="K7" s="313"/>
      <c r="L7" s="308" t="s">
        <v>1371</v>
      </c>
      <c r="M7" s="309">
        <f ca="1">F7</f>
        <v>31731</v>
      </c>
    </row>
    <row r="8" spans="1:37" ht="18" customHeight="1">
      <c r="A8" s="310"/>
      <c r="B8" s="3379"/>
      <c r="C8" s="312"/>
      <c r="D8" s="313"/>
      <c r="E8" s="308" t="s">
        <v>1372</v>
      </c>
      <c r="F8" s="309">
        <f ca="1">INDIRECT("'数据-取费表'!ai"&amp;$G$1)</f>
        <v>365</v>
      </c>
      <c r="G8" s="1562"/>
      <c r="H8" s="310"/>
      <c r="I8" s="3379"/>
      <c r="J8" s="312"/>
      <c r="K8" s="313"/>
      <c r="L8" s="308" t="s">
        <v>1372</v>
      </c>
      <c r="M8" s="309">
        <f ca="1">INDIRECT("'数据-取费表'!ai"&amp;$G$1)</f>
        <v>365</v>
      </c>
    </row>
    <row r="9" spans="1:37" ht="18" customHeight="1">
      <c r="A9" s="310"/>
      <c r="B9" s="3380"/>
      <c r="C9" s="312"/>
      <c r="D9" s="313"/>
      <c r="E9" s="308" t="s">
        <v>1373</v>
      </c>
      <c r="F9" s="318">
        <f ca="1">INDIRECT("'数据-取费表'!w"&amp;$G$1)</f>
        <v>0.1</v>
      </c>
      <c r="G9" s="1562"/>
      <c r="H9" s="310"/>
      <c r="I9" s="3380"/>
      <c r="J9" s="312"/>
      <c r="K9" s="313"/>
      <c r="L9" s="319" t="s">
        <v>1373</v>
      </c>
      <c r="M9" s="320">
        <f ca="1">INDIRECT("'数据-取费表'!ab"&amp;$G$1)</f>
        <v>0</v>
      </c>
    </row>
    <row r="10" spans="1:37" ht="18" customHeight="1">
      <c r="A10" s="1195" t="s">
        <v>1007</v>
      </c>
      <c r="B10" s="1543" t="s">
        <v>1374</v>
      </c>
      <c r="C10" s="322">
        <f ca="1">ROUND(IF(F10="押一",C6/12*F11,IF(F10="押二",C6/12*2*F11,IF(F10="押三",C6/12*3*F11,C11*F11))),0)</f>
        <v>8</v>
      </c>
      <c r="D10" s="1544" t="s">
        <v>2853</v>
      </c>
      <c r="E10" s="319" t="s">
        <v>1375</v>
      </c>
      <c r="F10" s="1270" t="s">
        <v>3321</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22548</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15143</v>
      </c>
      <c r="D14" s="3045" t="s">
        <v>1383</v>
      </c>
      <c r="E14" s="3043"/>
      <c r="F14" s="325"/>
      <c r="G14" s="1562"/>
      <c r="H14" s="1107" t="s">
        <v>1003</v>
      </c>
      <c r="I14" s="308" t="s">
        <v>1384</v>
      </c>
      <c r="J14" s="24">
        <f ca="1">C29</f>
        <v>22548</v>
      </c>
      <c r="K14" s="3048"/>
      <c r="L14" s="910"/>
      <c r="M14" s="911"/>
    </row>
    <row r="15" spans="1:37" s="1575" customFormat="1" ht="18" customHeight="1" thickBot="1">
      <c r="A15" s="1107" t="s">
        <v>1004</v>
      </c>
      <c r="B15" s="308" t="s">
        <v>1385</v>
      </c>
      <c r="C15" s="24">
        <f ca="1">ROUND(C14*F15,0)</f>
        <v>454</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469</v>
      </c>
      <c r="K16" s="1241" t="s">
        <v>1390</v>
      </c>
      <c r="L16" s="3046"/>
      <c r="M16" s="1198"/>
    </row>
    <row r="17" spans="1:37" s="1575" customFormat="1" ht="18" customHeight="1">
      <c r="A17" s="1107" t="s">
        <v>1355</v>
      </c>
      <c r="B17" s="308" t="s">
        <v>1391</v>
      </c>
      <c r="C17" s="24">
        <f ca="1">ROUND(F17*(F43+INDIRECT("'数据-取费表'!S"&amp;$G$1))/10000,0)</f>
        <v>684</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198</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227</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16508</v>
      </c>
      <c r="D19" s="136" t="s">
        <v>1401</v>
      </c>
      <c r="E19" s="3051"/>
      <c r="F19" s="26"/>
      <c r="G19" s="1562"/>
      <c r="H19" s="1107" t="s">
        <v>1004</v>
      </c>
      <c r="I19" s="308" t="s">
        <v>1402</v>
      </c>
      <c r="J19" s="24">
        <f ca="1">IF(K19="按租金收入计税",ROUND(J6*M19/(1+'数据-取费表'!C42),2),ROUND(C29*M19*0.7,2))</f>
        <v>189.4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330</v>
      </c>
      <c r="D20" s="329" t="s">
        <v>1405</v>
      </c>
      <c r="E20" s="308" t="s">
        <v>1387</v>
      </c>
      <c r="F20" s="328">
        <f>'数据-取费表'!B37</f>
        <v>0.02</v>
      </c>
      <c r="G20" s="1574"/>
      <c r="H20" s="1107" t="s">
        <v>1354</v>
      </c>
      <c r="I20" s="160" t="s">
        <v>1406</v>
      </c>
      <c r="J20" s="25">
        <f ca="1">ROUND(M20*M21/10000,2)</f>
        <v>8.2899999999999991</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6908.33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270.60000000000002</v>
      </c>
      <c r="K22" s="3044" t="s">
        <v>1415</v>
      </c>
      <c r="L22" s="308" t="s">
        <v>1387</v>
      </c>
      <c r="M22" s="334">
        <f ca="1">INDIRECT("'数据-取费表'!Ak"&amp;$G$1)</f>
        <v>1.2E-2</v>
      </c>
    </row>
    <row r="23" spans="1:37" s="1575" customFormat="1" ht="18" customHeight="1">
      <c r="A23" s="1107" t="s">
        <v>1002</v>
      </c>
      <c r="B23" s="308" t="s">
        <v>1416</v>
      </c>
      <c r="C23" s="24">
        <f ca="1">IF('数据-取费表'!B22&lt;=1,ROUND(C19*F24*F23/2,0)+ROUND(C20*F24*F23/2,0),ROUND(C19*(POWER((1+F24),F23/2)-1),0)+ROUND(C20*(POWER((1+F24),F23/2)-1),0))</f>
        <v>920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-469</v>
      </c>
      <c r="K25" s="1249" t="s">
        <v>1429</v>
      </c>
      <c r="L25" s="1250"/>
      <c r="M25" s="1251"/>
    </row>
    <row r="26" spans="1:37">
      <c r="A26" s="1107" t="s">
        <v>1002</v>
      </c>
      <c r="B26" s="308" t="s">
        <v>1430</v>
      </c>
      <c r="C26" s="24">
        <f ca="1">ROUND((C19+C20)*F26,0)</f>
        <v>3031</v>
      </c>
      <c r="D26" s="329" t="s">
        <v>1431</v>
      </c>
      <c r="E26" s="319" t="s">
        <v>1432</v>
      </c>
      <c r="F26" s="318">
        <f ca="1">INDIRECT("'数据-取费表'!q"&amp;$G$1)</f>
        <v>0.18</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3.5999999999999999E-3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22548</v>
      </c>
      <c r="D29" s="1246"/>
      <c r="E29" s="1244"/>
      <c r="F29" s="1247"/>
      <c r="G29" s="1574"/>
      <c r="H29" s="340" t="s">
        <v>1001</v>
      </c>
      <c r="I29" s="341" t="s">
        <v>1444</v>
      </c>
      <c r="J29" s="342">
        <f ca="1">ROUND(J26/(1+F40)^F41,0)</f>
        <v>0</v>
      </c>
      <c r="K29" s="343" t="s">
        <v>1445</v>
      </c>
      <c r="L29" s="344"/>
      <c r="M29" s="345">
        <f ca="1">INDIRECT("'数据-取费表'!k"&amp;$G$1)</f>
        <v>31731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1501</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1109</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350.24</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750.51</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8.2899999999999991</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6908.33</v>
      </c>
      <c r="G35" s="1562"/>
      <c r="H35" s="2916"/>
      <c r="I35" s="1576"/>
      <c r="J35" s="1577"/>
      <c r="K35" s="2920"/>
      <c r="L35" s="2919"/>
      <c r="M35" s="2919"/>
    </row>
    <row r="36" spans="1:18" ht="18" customHeight="1">
      <c r="A36" s="1256" t="s">
        <v>1007</v>
      </c>
      <c r="B36" s="308" t="s">
        <v>1414</v>
      </c>
      <c r="C36" s="24">
        <f ca="1">ROUND(C29*F36,1)</f>
        <v>270.60000000000002</v>
      </c>
      <c r="D36" s="3044" t="s">
        <v>1447</v>
      </c>
      <c r="E36" s="308" t="s">
        <v>1387</v>
      </c>
      <c r="F36" s="334">
        <f ca="1">INDIRECT("'数据-取费表'!Ak"&amp;$G$1)</f>
        <v>1.2E-2</v>
      </c>
      <c r="G36" s="1562"/>
      <c r="H36" s="2919"/>
      <c r="I36" s="1576"/>
      <c r="J36" s="1577"/>
      <c r="K36" s="2760"/>
      <c r="L36" s="2919"/>
      <c r="M36" s="2919"/>
    </row>
    <row r="37" spans="1:18" ht="18" customHeight="1">
      <c r="A37" s="1107" t="s">
        <v>1043</v>
      </c>
      <c r="B37" s="308" t="s">
        <v>1418</v>
      </c>
      <c r="C37" s="24">
        <f ca="1">ROUND(C13*F37,1)</f>
        <v>22.5</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98.6</v>
      </c>
      <c r="D38" s="1246" t="s">
        <v>1424</v>
      </c>
      <c r="E38" s="1244" t="s">
        <v>1387</v>
      </c>
      <c r="F38" s="1240">
        <f ca="1">INDIRECT("'数据-取费表'!Am"&amp;$G$1)</f>
        <v>1.4999999999999999E-2</v>
      </c>
      <c r="G38" s="1562"/>
      <c r="H38" s="2919"/>
      <c r="I38" s="1576"/>
      <c r="J38" s="1577"/>
      <c r="K38" s="2923"/>
      <c r="L38" s="2919"/>
      <c r="M38" s="2919"/>
    </row>
    <row r="39" spans="1:18" ht="24.6" customHeight="1" thickTop="1">
      <c r="A39" s="1233" t="s">
        <v>999</v>
      </c>
      <c r="B39" s="1248" t="s">
        <v>1428</v>
      </c>
      <c r="C39" s="316">
        <f ca="1">C5-C30</f>
        <v>5074</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108880</v>
      </c>
      <c r="D40" s="330" t="s">
        <v>1434</v>
      </c>
      <c r="E40" s="308" t="s">
        <v>1435</v>
      </c>
      <c r="F40" s="318">
        <f ca="1">INDIRECT("'数据-取费表'!I"&amp;$G$1)</f>
        <v>5.5E-2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32.06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34313</v>
      </c>
      <c r="D43" s="343" t="s">
        <v>1453</v>
      </c>
      <c r="E43" s="344" t="s">
        <v>1454</v>
      </c>
      <c r="F43" s="345">
        <f ca="1">INDIRECT("'数据-取费表'!k"&amp;$G$1)</f>
        <v>31731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-141618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40</v>
      </c>
      <c r="M47" s="1558" t="str">
        <f>IF(ISNUMBER(FIND("住宅",C1)),"住宅","非住宅")</f>
        <v>非住宅</v>
      </c>
      <c r="O47" s="1596" t="s">
        <v>1008</v>
      </c>
      <c r="P47" s="1597" t="s">
        <v>1493</v>
      </c>
      <c r="Q47" s="1598">
        <f ca="1">C40+J29</f>
        <v>108880</v>
      </c>
      <c r="R47" s="1598" t="s">
        <v>1494</v>
      </c>
    </row>
    <row r="48" spans="1:18" s="1562" customFormat="1" ht="28.5" thickBot="1">
      <c r="A48" s="1264" t="s">
        <v>1103</v>
      </c>
      <c r="B48" s="306" t="s">
        <v>1366</v>
      </c>
      <c r="C48" s="3050">
        <f ca="1">C49+C53+C55</f>
        <v>0</v>
      </c>
      <c r="D48" s="1266"/>
      <c r="E48" s="1267"/>
      <c r="F48" s="1087"/>
      <c r="G48" s="731"/>
      <c r="H48" s="732"/>
      <c r="I48" s="1599" t="s">
        <v>1495</v>
      </c>
      <c r="J48" s="1600" t="s">
        <v>3324</v>
      </c>
      <c r="K48" s="1601" t="s">
        <v>1496</v>
      </c>
      <c r="L48" s="1602">
        <f ca="1">INDIRECT("'数据-取费表'!f"&amp;$G$1)</f>
        <v>33.06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22548</v>
      </c>
      <c r="R49" s="1598" t="s">
        <v>1494</v>
      </c>
    </row>
    <row r="50" spans="1:18" s="1562" customFormat="1" ht="13.5" thickBot="1">
      <c r="A50" s="1101"/>
      <c r="B50" s="1104"/>
      <c r="C50" s="1272"/>
      <c r="D50" s="1078"/>
      <c r="E50" s="1181" t="s">
        <v>1371</v>
      </c>
      <c r="F50" s="1182">
        <f ca="1">F7</f>
        <v>31731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61902</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32.06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32.06</v>
      </c>
      <c r="K53" s="3381" t="s">
        <v>1513</v>
      </c>
      <c r="L53" s="3382"/>
      <c r="O53" s="1596" t="s">
        <v>1014</v>
      </c>
      <c r="P53" s="1597" t="s">
        <v>1514</v>
      </c>
      <c r="Q53" s="1598">
        <f ca="1">Q47+Q48</f>
        <v>108880</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22548</v>
      </c>
      <c r="D56" s="1625"/>
      <c r="E56" s="1626"/>
      <c r="F56" s="1618"/>
      <c r="I56" s="1627" t="s">
        <v>1519</v>
      </c>
      <c r="J56" s="1628" t="s">
        <v>3066</v>
      </c>
      <c r="K56" s="1599" t="s">
        <v>1520</v>
      </c>
      <c r="L56" s="1602" t="str">
        <f ca="1">IF(L48&lt;J51,"——",L48-J53)</f>
        <v>——</v>
      </c>
      <c r="O56" s="1596" t="s">
        <v>1008</v>
      </c>
      <c r="P56" s="1597" t="s">
        <v>1493</v>
      </c>
      <c r="Q56" s="1598">
        <f ca="1">C40+J29</f>
        <v>108880</v>
      </c>
      <c r="R56" s="1598" t="s">
        <v>1494</v>
      </c>
    </row>
    <row r="57" spans="1:18" s="1562" customFormat="1" ht="24.75" thickBot="1">
      <c r="A57" s="1629"/>
      <c r="B57" s="1075" t="s">
        <v>1443</v>
      </c>
      <c r="C57" s="244">
        <f ca="1">C29</f>
        <v>22548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2195</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1902</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1894.03</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8.2899999999999991</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108880</v>
      </c>
      <c r="R62" s="1598" t="s">
        <v>1015</v>
      </c>
    </row>
    <row r="63" spans="1:18" s="1562" customFormat="1" ht="13.5" thickBot="1">
      <c r="A63" s="332"/>
      <c r="B63" s="1081"/>
      <c r="C63" s="29"/>
      <c r="D63" s="1091"/>
      <c r="E63" s="1075" t="s">
        <v>1412</v>
      </c>
      <c r="F63" s="309">
        <f t="shared" ca="1" si="0"/>
        <v>6908.33</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270.60000000000002</v>
      </c>
      <c r="D64" s="1089" t="s">
        <v>1447</v>
      </c>
      <c r="E64" s="1075" t="s">
        <v>1387</v>
      </c>
      <c r="F64" s="334">
        <f t="shared" ca="1" si="0"/>
        <v>1.2E-2</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22.5</v>
      </c>
      <c r="D65" s="1089" t="s">
        <v>1419</v>
      </c>
      <c r="E65" s="1075" t="s">
        <v>1387</v>
      </c>
      <c r="F65" s="336">
        <f t="shared" ca="1" si="0"/>
        <v>1E-3</v>
      </c>
      <c r="I65" s="1640" t="s">
        <v>1544</v>
      </c>
      <c r="J65" s="1641">
        <v>40</v>
      </c>
      <c r="K65" s="1641">
        <v>30</v>
      </c>
      <c r="L65" s="1641">
        <v>50</v>
      </c>
      <c r="M65" s="1643">
        <v>0.02</v>
      </c>
      <c r="O65" s="1596" t="s">
        <v>1008</v>
      </c>
      <c r="P65" s="1597" t="s">
        <v>1493</v>
      </c>
      <c r="Q65" s="1598">
        <f ca="1">C40+J29</f>
        <v>108880</v>
      </c>
      <c r="R65" s="1598" t="s">
        <v>1494</v>
      </c>
    </row>
    <row r="66" spans="1:18" s="1562" customFormat="1" ht="16.5" thickBot="1">
      <c r="A66" s="1107" t="s">
        <v>1469</v>
      </c>
      <c r="B66" s="1075" t="s">
        <v>1404</v>
      </c>
      <c r="C66" s="24">
        <f ca="1">ROUND(C48*F66,1)</f>
        <v>0</v>
      </c>
      <c r="D66" s="1089" t="s">
        <v>1424</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-2195</v>
      </c>
      <c r="D67" s="1088" t="s">
        <v>1429</v>
      </c>
      <c r="E67" s="1093"/>
      <c r="F67" s="1094"/>
      <c r="O67" s="1606" t="s">
        <v>1010</v>
      </c>
      <c r="P67" s="1597" t="s">
        <v>1527</v>
      </c>
      <c r="Q67" s="1644">
        <f ca="1">L51</f>
        <v>61902</v>
      </c>
      <c r="R67" s="1598" t="s">
        <v>1547</v>
      </c>
    </row>
    <row r="68" spans="1:18" s="1562" customFormat="1" ht="16.5" thickBot="1">
      <c r="A68" s="1072" t="s">
        <v>1000</v>
      </c>
      <c r="B68" s="1073" t="s">
        <v>1450</v>
      </c>
      <c r="C68" s="307">
        <f ca="1">ROUND(C67*(1-((1+F70)/(1+F68))^F69)/(F68-F70),0)</f>
        <v>-32738</v>
      </c>
      <c r="D68" s="1090" t="s">
        <v>1434</v>
      </c>
      <c r="E68" s="1075" t="s">
        <v>1435</v>
      </c>
      <c r="F68" s="318">
        <f ca="1">F40</f>
        <v>5.5E-2</v>
      </c>
      <c r="O68" s="1606" t="s">
        <v>1011</v>
      </c>
      <c r="P68" s="1645" t="s">
        <v>1548</v>
      </c>
      <c r="Q68" s="1598">
        <f ca="1">ROUND(Q69-Q70*Q71,0)</f>
        <v>3270</v>
      </c>
      <c r="R68" s="1598" t="s">
        <v>1019</v>
      </c>
    </row>
    <row r="69" spans="1:18" s="1562" customFormat="1" ht="13.5" thickBot="1">
      <c r="A69" s="1076"/>
      <c r="B69" s="1077"/>
      <c r="C69" s="312"/>
      <c r="D69" s="1095" t="s">
        <v>1438</v>
      </c>
      <c r="E69" s="1075" t="s">
        <v>1439</v>
      </c>
      <c r="F69" s="339">
        <f ca="1">F41</f>
        <v>32.06</v>
      </c>
      <c r="O69" s="1606" t="s">
        <v>1016</v>
      </c>
      <c r="P69" s="1645" t="s">
        <v>1549</v>
      </c>
      <c r="Q69" s="1598">
        <f ca="1">C39</f>
        <v>5074</v>
      </c>
      <c r="R69" s="1598" t="s">
        <v>1494</v>
      </c>
    </row>
    <row r="70" spans="1:18" s="1562" customFormat="1" ht="13.5" thickBot="1">
      <c r="A70" s="1079"/>
      <c r="B70" s="1080"/>
      <c r="C70" s="316"/>
      <c r="D70" s="1091"/>
      <c r="E70" s="1075" t="s">
        <v>1442</v>
      </c>
      <c r="F70" s="1179"/>
      <c r="O70" s="1606" t="s">
        <v>1017</v>
      </c>
      <c r="P70" s="1645" t="s">
        <v>1550</v>
      </c>
      <c r="Q70" s="1598">
        <f ca="1">C13</f>
        <v>22548</v>
      </c>
      <c r="R70" s="1598" t="s">
        <v>1494</v>
      </c>
    </row>
    <row r="71" spans="1:18" s="1562" customFormat="1" ht="13.5" thickBot="1">
      <c r="A71" s="1096" t="s">
        <v>1001</v>
      </c>
      <c r="B71" s="1097" t="s">
        <v>1452</v>
      </c>
      <c r="C71" s="342">
        <f ca="1">ROUND(C68*10000/F71,0)</f>
        <v>-10317</v>
      </c>
      <c r="D71" s="1098" t="s">
        <v>1453</v>
      </c>
      <c r="E71" s="1099" t="s">
        <v>1454</v>
      </c>
      <c r="F71" s="345">
        <f ca="1">F43</f>
        <v>31731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1804</v>
      </c>
      <c r="D75" s="1562"/>
      <c r="E75" s="1562"/>
      <c r="F75" s="1562"/>
      <c r="K75" s="1580"/>
      <c r="L75" s="1562"/>
      <c r="O75" s="1596" t="s">
        <v>1014</v>
      </c>
      <c r="P75" s="1597" t="s">
        <v>1514</v>
      </c>
      <c r="Q75" s="1598">
        <f ca="1">Q65+Q66</f>
        <v>108880</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0.64400000000000002</v>
      </c>
    </row>
    <row r="80" spans="1:18">
      <c r="B80" s="346" t="s">
        <v>1476</v>
      </c>
      <c r="C80" s="280">
        <f ca="1">ROUND(C75/C39,3)</f>
        <v>0.35599999999999998</v>
      </c>
    </row>
    <row r="81" spans="2:3">
      <c r="B81" s="276" t="s">
        <v>1477</v>
      </c>
      <c r="C81" s="244"/>
    </row>
    <row r="82" spans="2:3">
      <c r="B82" s="279" t="s">
        <v>1478</v>
      </c>
      <c r="C82" s="281">
        <f ca="1">1-C83</f>
        <v>0.79300000000000004</v>
      </c>
    </row>
    <row r="83" spans="2:3">
      <c r="B83" s="279" t="s">
        <v>1479</v>
      </c>
      <c r="C83" s="280">
        <f ca="1">ROUND(C13/C40,3)</f>
        <v>0.20699999999999999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1" sqref="J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27</v>
      </c>
      <c r="D1" s="1540" t="s">
        <v>3320</v>
      </c>
      <c r="E1" s="1541" t="s">
        <v>1352</v>
      </c>
      <c r="F1" s="1187">
        <f ca="1">J53</f>
        <v>42.06</v>
      </c>
      <c r="G1" s="1556">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119818</v>
      </c>
      <c r="C2" s="1565" t="s">
        <v>1481</v>
      </c>
      <c r="D2" s="1565"/>
      <c r="E2" s="1566"/>
      <c r="F2" s="1567"/>
      <c r="G2" s="2925"/>
      <c r="H2" s="2914"/>
      <c r="I2" s="2914"/>
      <c r="J2" s="2914"/>
      <c r="K2" s="2915"/>
      <c r="L2" s="2914"/>
      <c r="M2" s="2914"/>
    </row>
    <row r="3" spans="1:37" ht="18" customHeight="1" thickBot="1">
      <c r="A3" s="1568" t="s">
        <v>1482</v>
      </c>
      <c r="B3" s="1569">
        <f ca="1">IF(ISERROR(B2*10000/F43),0,ROUND(B2*10000/F43,0))</f>
        <v>26408</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6268</v>
      </c>
      <c r="D5" s="1542" t="s">
        <v>1367</v>
      </c>
      <c r="E5" s="1197"/>
      <c r="F5" s="1198"/>
      <c r="G5" s="1562"/>
      <c r="H5" s="305">
        <v>1</v>
      </c>
      <c r="I5" s="306" t="s">
        <v>1366</v>
      </c>
      <c r="J5" s="1196">
        <f ca="1">J6+J10+J12</f>
        <v>0</v>
      </c>
      <c r="K5" s="1542" t="s">
        <v>1367</v>
      </c>
      <c r="L5" s="1197"/>
      <c r="M5" s="1198"/>
    </row>
    <row r="6" spans="1:37" ht="18" customHeight="1">
      <c r="A6" s="1195" t="s">
        <v>1003</v>
      </c>
      <c r="B6" s="3378" t="s">
        <v>1368</v>
      </c>
      <c r="C6" s="1200">
        <f ca="1">ROUND(F6*F8*F7*(1-F9)/10000,0)</f>
        <v>6260</v>
      </c>
      <c r="D6" s="160" t="s">
        <v>2846</v>
      </c>
      <c r="E6" s="308" t="s">
        <v>1370</v>
      </c>
      <c r="F6" s="309">
        <f ca="1">INDIRECT("'数据-取费表'!u"&amp;$G$1)</f>
        <v>4.2</v>
      </c>
      <c r="G6" s="1562"/>
      <c r="H6" s="1195" t="s">
        <v>1003</v>
      </c>
      <c r="I6" s="3378" t="s">
        <v>1368</v>
      </c>
      <c r="J6" s="307">
        <f ca="1">ROUND(M6*M8*M7*(1-M9)/10000,0)</f>
        <v>0</v>
      </c>
      <c r="K6" s="160" t="s">
        <v>2845</v>
      </c>
      <c r="L6" s="308" t="s">
        <v>1370</v>
      </c>
      <c r="M6" s="309">
        <f ca="1">INDIRECT("'数据-取费表'!z"&amp;$G$1)</f>
        <v>0</v>
      </c>
    </row>
    <row r="7" spans="1:37" ht="18" customHeight="1">
      <c r="A7" s="1199"/>
      <c r="B7" s="3379"/>
      <c r="C7" s="1201"/>
      <c r="D7" s="313"/>
      <c r="E7" s="1202" t="s">
        <v>1371</v>
      </c>
      <c r="F7" s="309">
        <f ca="1">IF(INDIRECT("'数据-取费表'!ah"&amp;$G$1)="",INDIRECT("'数据-取费表'!k"&amp;$G$1),INDIRECT("'数据-取费表'!ah"&amp;$G$1))</f>
        <v>45371</v>
      </c>
      <c r="G7" s="1562"/>
      <c r="H7" s="310"/>
      <c r="I7" s="3379"/>
      <c r="J7" s="312"/>
      <c r="K7" s="313"/>
      <c r="L7" s="308" t="s">
        <v>1371</v>
      </c>
      <c r="M7" s="309">
        <f ca="1">F7</f>
        <v>45371</v>
      </c>
    </row>
    <row r="8" spans="1:37" ht="18" customHeight="1">
      <c r="A8" s="310"/>
      <c r="B8" s="3379"/>
      <c r="C8" s="312"/>
      <c r="D8" s="313"/>
      <c r="E8" s="308" t="s">
        <v>1372</v>
      </c>
      <c r="F8" s="309">
        <f ca="1">INDIRECT("'数据-取费表'!ai"&amp;$G$1)</f>
        <v>365</v>
      </c>
      <c r="G8" s="1562"/>
      <c r="H8" s="310"/>
      <c r="I8" s="3379"/>
      <c r="J8" s="312"/>
      <c r="K8" s="313"/>
      <c r="L8" s="308" t="s">
        <v>1372</v>
      </c>
      <c r="M8" s="309">
        <f ca="1">INDIRECT("'数据-取费表'!ai"&amp;$G$1)</f>
        <v>365</v>
      </c>
    </row>
    <row r="9" spans="1:37" ht="18" customHeight="1">
      <c r="A9" s="310"/>
      <c r="B9" s="3380"/>
      <c r="C9" s="312"/>
      <c r="D9" s="313"/>
      <c r="E9" s="308" t="s">
        <v>1373</v>
      </c>
      <c r="F9" s="318">
        <f ca="1">INDIRECT("'数据-取费表'!w"&amp;$G$1)</f>
        <v>0.1</v>
      </c>
      <c r="G9" s="1562"/>
      <c r="H9" s="310"/>
      <c r="I9" s="3380"/>
      <c r="J9" s="312"/>
      <c r="K9" s="313"/>
      <c r="L9" s="319" t="s">
        <v>1373</v>
      </c>
      <c r="M9" s="320">
        <f ca="1">INDIRECT("'数据-取费表'!ab"&amp;$G$1)</f>
        <v>0</v>
      </c>
    </row>
    <row r="10" spans="1:37" ht="18" customHeight="1">
      <c r="A10" s="1195" t="s">
        <v>1007</v>
      </c>
      <c r="B10" s="1543" t="s">
        <v>1374</v>
      </c>
      <c r="C10" s="322">
        <f ca="1">ROUND(IF(F10="押一",C6/12*F11,IF(F10="押二",C6/12*2*F11,IF(F10="押三",C6/12*3*F11,C11*F11))),0)</f>
        <v>8</v>
      </c>
      <c r="D10" s="1544" t="s">
        <v>2854</v>
      </c>
      <c r="E10" s="319" t="s">
        <v>1375</v>
      </c>
      <c r="F10" s="1270" t="s">
        <v>3321</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30636</v>
      </c>
      <c r="D13" s="1235" t="s">
        <v>1380</v>
      </c>
      <c r="E13" s="1235"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21653</v>
      </c>
      <c r="D14" s="1523" t="s">
        <v>1383</v>
      </c>
      <c r="E14" s="1520"/>
      <c r="F14" s="325"/>
      <c r="G14" s="1562"/>
      <c r="H14" s="1107" t="s">
        <v>1003</v>
      </c>
      <c r="I14" s="308" t="s">
        <v>1384</v>
      </c>
      <c r="J14" s="24">
        <f ca="1">C29</f>
        <v>30636</v>
      </c>
      <c r="K14" s="15"/>
      <c r="L14" s="910"/>
      <c r="M14" s="911"/>
    </row>
    <row r="15" spans="1:37" s="1575" customFormat="1" ht="18" customHeight="1" thickBot="1">
      <c r="A15" s="1107" t="s">
        <v>1004</v>
      </c>
      <c r="B15" s="308" t="s">
        <v>1385</v>
      </c>
      <c r="C15" s="24">
        <f ca="1">ROUND(C14*F15,0)</f>
        <v>650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637</v>
      </c>
      <c r="K16" s="1241" t="s">
        <v>1390</v>
      </c>
      <c r="L16" s="1242"/>
      <c r="M16" s="1198"/>
    </row>
    <row r="17" spans="1:37" s="1575" customFormat="1" ht="18" customHeight="1">
      <c r="A17" s="1107" t="s">
        <v>1355</v>
      </c>
      <c r="B17" s="308" t="s">
        <v>1391</v>
      </c>
      <c r="C17" s="24">
        <f ca="1">ROUND(F17*(F43+INDIRECT("'数据-取费表'!S"&amp;$G$1))/10000,0)</f>
        <v>978</v>
      </c>
      <c r="D17" s="308" t="s">
        <v>1392</v>
      </c>
      <c r="E17" s="308" t="s">
        <v>1393</v>
      </c>
      <c r="F17" s="26">
        <f>'数据-取费表'!B35</f>
        <v>200</v>
      </c>
      <c r="G17" s="1574"/>
      <c r="H17" s="1107" t="s">
        <v>1003</v>
      </c>
      <c r="I17" s="308" t="s">
        <v>1394</v>
      </c>
      <c r="J17" s="2527">
        <f ca="1">ROUND(IF(AND(项目基本情况!B11="自然人",项目基本情况!B10="北京市"),J6*M17/(1+'数据-取费表'!C42),J18+J19+J20),0)</f>
        <v>269</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325</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23606</v>
      </c>
      <c r="D19" s="136" t="s">
        <v>1401</v>
      </c>
      <c r="E19" s="1538"/>
      <c r="F19" s="26"/>
      <c r="G19" s="1562"/>
      <c r="H19" s="1107" t="s">
        <v>1004</v>
      </c>
      <c r="I19" s="308" t="s">
        <v>1402</v>
      </c>
      <c r="J19" s="24">
        <f ca="1">IF(K19="按租金收入计税",ROUND(J6*M19/(1+'数据-取费表'!C42),2),ROUND(C29*M19*0.7,2))</f>
        <v>257.33999999999997</v>
      </c>
      <c r="K19" s="1548" t="s">
        <v>1403</v>
      </c>
      <c r="L19" s="308" t="s">
        <v>1387</v>
      </c>
      <c r="M19" s="328">
        <f>IF(K19="按租金收入计税",'数据-取费表'!B51,'数据-取费表'!B50)</f>
        <v>1.2E-2</v>
      </c>
    </row>
    <row r="20" spans="1:37" s="1575" customFormat="1" ht="18" customHeight="1">
      <c r="A20" s="1107" t="s">
        <v>1007</v>
      </c>
      <c r="B20" s="308" t="s">
        <v>1404</v>
      </c>
      <c r="C20" s="24">
        <f ca="1">ROUND(C19*F20,0)</f>
        <v>472</v>
      </c>
      <c r="D20" s="329" t="s">
        <v>1405</v>
      </c>
      <c r="E20" s="308" t="s">
        <v>1387</v>
      </c>
      <c r="F20" s="328">
        <f>'数据-取费表'!B37</f>
        <v>0.02</v>
      </c>
      <c r="G20" s="1574"/>
      <c r="H20" s="1107" t="s">
        <v>1354</v>
      </c>
      <c r="I20" s="160" t="s">
        <v>1406</v>
      </c>
      <c r="J20" s="25">
        <f ca="1">ROUND(M20*M21/10000,2)</f>
        <v>11.85</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9877.9599999999991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367.6</v>
      </c>
      <c r="K22" s="1522" t="s">
        <v>1415</v>
      </c>
      <c r="L22" s="308" t="s">
        <v>1387</v>
      </c>
      <c r="M22" s="334">
        <f ca="1">INDIRECT("'数据-取费表'!Ak"&amp;$G$1)</f>
        <v>1.2E-2</v>
      </c>
    </row>
    <row r="23" spans="1:37" s="1575" customFormat="1" ht="18" customHeight="1">
      <c r="A23" s="1107" t="s">
        <v>1002</v>
      </c>
      <c r="B23" s="308" t="s">
        <v>1416</v>
      </c>
      <c r="C23" s="24">
        <f ca="1">IF('数据-取费表'!B22&lt;=1,ROUND(C19*F24*F23/2,0)+ROUND(C20*F24*F23/2,0),ROUND(C19*(POWER((1+F24),F23/2)-1),0)+ROUND(C20*(POWER((1+F24),F23/2)-1),0))</f>
        <v>1316</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1522" t="s">
        <v>1419</v>
      </c>
      <c r="L23" s="308" t="s">
        <v>1420</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ROUND(J5*M24,1)</f>
        <v>0</v>
      </c>
      <c r="K24" s="1246" t="s">
        <v>1424</v>
      </c>
      <c r="L24" s="1244" t="s">
        <v>1420</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-637</v>
      </c>
      <c r="K25" s="1249" t="s">
        <v>1429</v>
      </c>
      <c r="L25" s="1250"/>
      <c r="M25" s="1251"/>
    </row>
    <row r="26" spans="1:37">
      <c r="A26" s="1107" t="s">
        <v>1002</v>
      </c>
      <c r="B26" s="308" t="s">
        <v>1430</v>
      </c>
      <c r="C26" s="24">
        <f ca="1">ROUND((C19+C20)*F26,0)</f>
        <v>2889</v>
      </c>
      <c r="D26" s="329" t="s">
        <v>1431</v>
      </c>
      <c r="E26" s="319" t="s">
        <v>1432</v>
      </c>
      <c r="F26" s="318">
        <f ca="1">INDIRECT("'数据-取费表'!q"&amp;$G$1)</f>
        <v>0.12</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2.3999999999999998E-3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30636</v>
      </c>
      <c r="D29" s="1246"/>
      <c r="E29" s="1244"/>
      <c r="F29" s="1247"/>
      <c r="G29" s="1574"/>
      <c r="H29" s="340" t="s">
        <v>1001</v>
      </c>
      <c r="I29" s="341" t="s">
        <v>1444</v>
      </c>
      <c r="J29" s="342">
        <f ca="1">ROUND(J26/(1+F40)^F41,0)</f>
        <v>0</v>
      </c>
      <c r="K29" s="343" t="s">
        <v>1445</v>
      </c>
      <c r="L29" s="344"/>
      <c r="M29" s="345">
        <f ca="1">INDIRECT("'数据-取费表'!k"&amp;$G$1)</f>
        <v>45371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1553</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1061</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333.87</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715.43</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11.85</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9877.9599999999991</v>
      </c>
      <c r="G35" s="1562"/>
      <c r="H35" s="2916"/>
      <c r="I35" s="1576"/>
      <c r="J35" s="1577"/>
      <c r="K35" s="2920"/>
      <c r="L35" s="2919"/>
      <c r="M35" s="2919"/>
    </row>
    <row r="36" spans="1:18" ht="18" customHeight="1">
      <c r="A36" s="1256" t="s">
        <v>1007</v>
      </c>
      <c r="B36" s="308" t="s">
        <v>1414</v>
      </c>
      <c r="C36" s="24">
        <f ca="1">ROUND(C29*F36,1)</f>
        <v>367.6</v>
      </c>
      <c r="D36" s="1522" t="s">
        <v>1447</v>
      </c>
      <c r="E36" s="308" t="s">
        <v>1387</v>
      </c>
      <c r="F36" s="334">
        <f ca="1">INDIRECT("'数据-取费表'!Ak"&amp;$G$1)</f>
        <v>1.2E-2</v>
      </c>
      <c r="G36" s="1562"/>
      <c r="H36" s="2919"/>
      <c r="I36" s="1576"/>
      <c r="J36" s="1577"/>
      <c r="K36" s="2760"/>
      <c r="L36" s="2919"/>
      <c r="M36" s="2919"/>
    </row>
    <row r="37" spans="1:18" ht="18" customHeight="1">
      <c r="A37" s="1107" t="s">
        <v>1043</v>
      </c>
      <c r="B37" s="308" t="s">
        <v>1418</v>
      </c>
      <c r="C37" s="24">
        <f ca="1">ROUND(C13*F37,1)</f>
        <v>30.6</v>
      </c>
      <c r="D37" s="1522" t="s">
        <v>1419</v>
      </c>
      <c r="E37" s="308" t="s">
        <v>1420</v>
      </c>
      <c r="F37" s="336">
        <f ca="1">INDIRECT("'数据-取费表'!Al"&amp;$G$1)</f>
        <v>1E-3</v>
      </c>
      <c r="G37" s="1562"/>
      <c r="H37" s="2919"/>
      <c r="I37" s="1576"/>
      <c r="J37" s="1577"/>
      <c r="K37" s="2760"/>
      <c r="L37" s="2919"/>
      <c r="M37" s="2919"/>
    </row>
    <row r="38" spans="1:18" ht="18" customHeight="1" thickBot="1">
      <c r="A38" s="1243" t="s">
        <v>1358</v>
      </c>
      <c r="B38" s="1244" t="s">
        <v>1404</v>
      </c>
      <c r="C38" s="1245">
        <f ca="1">ROUND(C5*F38,1)</f>
        <v>94</v>
      </c>
      <c r="D38" s="1246" t="s">
        <v>1424</v>
      </c>
      <c r="E38" s="1244" t="s">
        <v>1420</v>
      </c>
      <c r="F38" s="1240">
        <f ca="1">INDIRECT("'数据-取费表'!Am"&amp;$G$1)</f>
        <v>1.4999999999999999E-2</v>
      </c>
      <c r="G38" s="1562"/>
      <c r="H38" s="2919"/>
      <c r="I38" s="1576"/>
      <c r="J38" s="1577"/>
      <c r="K38" s="2923"/>
      <c r="L38" s="2919"/>
      <c r="M38" s="2919"/>
    </row>
    <row r="39" spans="1:18" ht="24.6" customHeight="1" thickTop="1">
      <c r="A39" s="1233" t="s">
        <v>999</v>
      </c>
      <c r="B39" s="1248" t="s">
        <v>1448</v>
      </c>
      <c r="C39" s="316">
        <f ca="1">C5-C30</f>
        <v>4715</v>
      </c>
      <c r="D39" s="1249" t="s">
        <v>1449</v>
      </c>
      <c r="E39" s="1250"/>
      <c r="F39" s="1251"/>
      <c r="G39" s="1562"/>
      <c r="H39" s="2919"/>
      <c r="I39" s="1576"/>
      <c r="J39" s="1577"/>
      <c r="K39" s="2923"/>
      <c r="L39" s="2919"/>
      <c r="M39" s="2919"/>
    </row>
    <row r="40" spans="1:18" ht="18" customHeight="1">
      <c r="A40" s="305" t="s">
        <v>1000</v>
      </c>
      <c r="B40" s="306" t="s">
        <v>1450</v>
      </c>
      <c r="C40" s="307">
        <f ca="1">ROUND(C39*(1-((1+F42)/(1+F40))^F41)/(F40-F42),0)</f>
        <v>119818</v>
      </c>
      <c r="D40" s="330" t="s">
        <v>1434</v>
      </c>
      <c r="E40" s="308" t="s">
        <v>1435</v>
      </c>
      <c r="F40" s="318">
        <f ca="1">INDIRECT("'数据-取费表'!I"&amp;$G$1)</f>
        <v>5.5E-2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42.06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26408</v>
      </c>
      <c r="D43" s="343" t="s">
        <v>1453</v>
      </c>
      <c r="E43" s="344" t="s">
        <v>1454</v>
      </c>
      <c r="F43" s="345">
        <f ca="1">INDIRECT("'数据-取费表'!k"&amp;$G$1)</f>
        <v>45371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-168349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50</v>
      </c>
      <c r="M47" s="1558" t="str">
        <f>IF(ISNUMBER(FIND("住宅",C1)),"住宅","非住宅")</f>
        <v>非住宅</v>
      </c>
      <c r="O47" s="1596" t="s">
        <v>1008</v>
      </c>
      <c r="P47" s="1597" t="s">
        <v>1493</v>
      </c>
      <c r="Q47" s="1598">
        <f ca="1">C40+J29</f>
        <v>119818</v>
      </c>
      <c r="R47" s="1598" t="s">
        <v>1494</v>
      </c>
    </row>
    <row r="48" spans="1:18" s="1562" customFormat="1" ht="28.5" thickBot="1">
      <c r="A48" s="1264" t="s">
        <v>1103</v>
      </c>
      <c r="B48" s="306" t="s">
        <v>1366</v>
      </c>
      <c r="C48" s="1537">
        <f ca="1">C49+C53+C55</f>
        <v>0</v>
      </c>
      <c r="D48" s="1266"/>
      <c r="E48" s="1267"/>
      <c r="F48" s="1087"/>
      <c r="G48" s="731"/>
      <c r="H48" s="732"/>
      <c r="I48" s="1599" t="s">
        <v>1495</v>
      </c>
      <c r="J48" s="1600" t="s">
        <v>3324</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2847</v>
      </c>
      <c r="E49" s="1550" t="s">
        <v>1456</v>
      </c>
      <c r="F49" s="1185"/>
      <c r="G49" s="1603"/>
      <c r="H49" s="732"/>
      <c r="I49" s="1599" t="s">
        <v>1499</v>
      </c>
      <c r="J49" s="1604"/>
      <c r="K49" s="1601" t="s">
        <v>1500</v>
      </c>
      <c r="L49" s="1605"/>
      <c r="O49" s="1606" t="s">
        <v>1010</v>
      </c>
      <c r="P49" s="1597" t="s">
        <v>1501</v>
      </c>
      <c r="Q49" s="1598">
        <f ca="1">C29</f>
        <v>30636</v>
      </c>
      <c r="R49" s="1598" t="s">
        <v>1494</v>
      </c>
    </row>
    <row r="50" spans="1:18" s="1562" customFormat="1" ht="13.5" thickBot="1">
      <c r="A50" s="1101"/>
      <c r="B50" s="1104"/>
      <c r="C50" s="1272"/>
      <c r="D50" s="1078"/>
      <c r="E50" s="1181" t="s">
        <v>1371</v>
      </c>
      <c r="F50" s="1182">
        <f ca="1">F7</f>
        <v>45371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46727</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42.06</v>
      </c>
      <c r="K53" s="3381" t="s">
        <v>1513</v>
      </c>
      <c r="L53" s="3382"/>
      <c r="O53" s="1596" t="s">
        <v>1014</v>
      </c>
      <c r="P53" s="1597" t="s">
        <v>1514</v>
      </c>
      <c r="Q53" s="1598">
        <f ca="1">Q47+Q48</f>
        <v>119818</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30636</v>
      </c>
      <c r="D56" s="1625"/>
      <c r="E56" s="1626"/>
      <c r="F56" s="1618"/>
      <c r="I56" s="1627" t="s">
        <v>1519</v>
      </c>
      <c r="J56" s="1628" t="s">
        <v>3066</v>
      </c>
      <c r="K56" s="1599" t="s">
        <v>1520</v>
      </c>
      <c r="L56" s="1602" t="str">
        <f ca="1">IF(L48&lt;J51,"——",L48-J53)</f>
        <v>——</v>
      </c>
      <c r="O56" s="1596" t="s">
        <v>1008</v>
      </c>
      <c r="P56" s="1597" t="s">
        <v>1493</v>
      </c>
      <c r="Q56" s="1598">
        <f ca="1">C40+J29</f>
        <v>119818</v>
      </c>
      <c r="R56" s="1598" t="s">
        <v>1494</v>
      </c>
    </row>
    <row r="57" spans="1:18" s="1562" customFormat="1" ht="24.75" thickBot="1">
      <c r="A57" s="1629"/>
      <c r="B57" s="1075" t="s">
        <v>1443</v>
      </c>
      <c r="C57" s="244">
        <f ca="1">C29</f>
        <v>30636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2983</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2585</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IF(项目基本情况!B11="自然人","——",IF(D61="按租金收入计税",ROUND(C48*F61,2),IF(D61="按房产原值计税",ROUND(C57*F61*0.7,2),INDIRECT("'数据-取费表'!Aj"&amp;$G$1))))</f>
        <v>2573.42</v>
      </c>
      <c r="D61" s="1548" t="s">
        <v>1403</v>
      </c>
      <c r="E61" s="1075" t="s">
        <v>1459</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IF(项目基本情况!B11="自然人","——",ROUND(F62*F63/10000,2))</f>
        <v>11.85</v>
      </c>
      <c r="D62" s="1090" t="s">
        <v>1462</v>
      </c>
      <c r="E62" s="1075" t="s">
        <v>1463</v>
      </c>
      <c r="F62" s="331">
        <f t="shared" si="0"/>
        <v>12</v>
      </c>
      <c r="I62" s="1640" t="s">
        <v>1535</v>
      </c>
      <c r="J62" s="1641" t="s">
        <v>1536</v>
      </c>
      <c r="K62" s="1641" t="s">
        <v>1537</v>
      </c>
      <c r="L62" s="1641" t="s">
        <v>1538</v>
      </c>
      <c r="M62" s="1642" t="s">
        <v>1539</v>
      </c>
      <c r="O62" s="1596" t="s">
        <v>1014</v>
      </c>
      <c r="P62" s="1597" t="s">
        <v>1540</v>
      </c>
      <c r="Q62" s="1598">
        <f ca="1">Q56+Q57</f>
        <v>119818</v>
      </c>
      <c r="R62" s="1598" t="s">
        <v>1015</v>
      </c>
    </row>
    <row r="63" spans="1:18" s="1562" customFormat="1" ht="13.5" thickBot="1">
      <c r="A63" s="332"/>
      <c r="B63" s="1081"/>
      <c r="C63" s="29"/>
      <c r="D63" s="1091"/>
      <c r="E63" s="1075" t="s">
        <v>1464</v>
      </c>
      <c r="F63" s="309">
        <f t="shared" ca="1" si="0"/>
        <v>9877.9599999999991</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ROUND(C57*F64,1)</f>
        <v>367.6</v>
      </c>
      <c r="D64" s="1089" t="s">
        <v>1467</v>
      </c>
      <c r="E64" s="1075" t="s">
        <v>1459</v>
      </c>
      <c r="F64" s="334">
        <f t="shared" ca="1" si="0"/>
        <v>1.2E-2</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30.6</v>
      </c>
      <c r="D65" s="1089" t="s">
        <v>1419</v>
      </c>
      <c r="E65" s="1075" t="s">
        <v>1420</v>
      </c>
      <c r="F65" s="336">
        <f t="shared" ca="1" si="0"/>
        <v>1E-3</v>
      </c>
      <c r="I65" s="1640" t="s">
        <v>1544</v>
      </c>
      <c r="J65" s="1641">
        <v>40</v>
      </c>
      <c r="K65" s="1641">
        <v>30</v>
      </c>
      <c r="L65" s="1641">
        <v>50</v>
      </c>
      <c r="M65" s="1643">
        <v>0.02</v>
      </c>
      <c r="O65" s="1596" t="s">
        <v>1008</v>
      </c>
      <c r="P65" s="1597" t="s">
        <v>1545</v>
      </c>
      <c r="Q65" s="1598">
        <f ca="1">C40+J29</f>
        <v>119818</v>
      </c>
      <c r="R65" s="1598" t="s">
        <v>1494</v>
      </c>
    </row>
    <row r="66" spans="1:18" s="1562" customFormat="1" ht="16.5" thickBot="1">
      <c r="A66" s="1107" t="s">
        <v>1469</v>
      </c>
      <c r="B66" s="1075" t="s">
        <v>1404</v>
      </c>
      <c r="C66" s="24">
        <f ca="1">ROUND(C48*F66,1)</f>
        <v>0</v>
      </c>
      <c r="D66" s="1089" t="s">
        <v>1470</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-2983</v>
      </c>
      <c r="D67" s="1088" t="s">
        <v>1429</v>
      </c>
      <c r="E67" s="1093"/>
      <c r="F67" s="1094"/>
      <c r="O67" s="1606" t="s">
        <v>1010</v>
      </c>
      <c r="P67" s="1597" t="s">
        <v>1527</v>
      </c>
      <c r="Q67" s="1644">
        <f ca="1">L51</f>
        <v>46727</v>
      </c>
      <c r="R67" s="1598" t="s">
        <v>1547</v>
      </c>
    </row>
    <row r="68" spans="1:18" s="1562" customFormat="1" ht="16.5" thickBot="1">
      <c r="A68" s="1072" t="s">
        <v>1000</v>
      </c>
      <c r="B68" s="1073" t="s">
        <v>1450</v>
      </c>
      <c r="C68" s="307">
        <f ca="1">ROUND(C67*(1-((1+F70)/(1+F68))^F69)/(F68-F70),0)</f>
        <v>-48531</v>
      </c>
      <c r="D68" s="1090" t="s">
        <v>1434</v>
      </c>
      <c r="E68" s="1075" t="s">
        <v>1435</v>
      </c>
      <c r="F68" s="318">
        <f ca="1">F40</f>
        <v>5.5E-2</v>
      </c>
      <c r="O68" s="1606" t="s">
        <v>1011</v>
      </c>
      <c r="P68" s="1645" t="s">
        <v>1548</v>
      </c>
      <c r="Q68" s="1598">
        <f ca="1">ROUND(Q69-Q70*Q71,0)</f>
        <v>2264</v>
      </c>
      <c r="R68" s="1598" t="s">
        <v>1019</v>
      </c>
    </row>
    <row r="69" spans="1:18" s="1562" customFormat="1" ht="13.5" thickBot="1">
      <c r="A69" s="1076"/>
      <c r="B69" s="1077"/>
      <c r="C69" s="312"/>
      <c r="D69" s="1095" t="s">
        <v>1438</v>
      </c>
      <c r="E69" s="1075" t="s">
        <v>1439</v>
      </c>
      <c r="F69" s="339">
        <f ca="1">F41</f>
        <v>42.06</v>
      </c>
      <c r="O69" s="1606" t="s">
        <v>1016</v>
      </c>
      <c r="P69" s="1645" t="s">
        <v>1549</v>
      </c>
      <c r="Q69" s="1598">
        <f ca="1">C39</f>
        <v>4715</v>
      </c>
      <c r="R69" s="1598" t="s">
        <v>1494</v>
      </c>
    </row>
    <row r="70" spans="1:18" s="1562" customFormat="1" ht="13.5" thickBot="1">
      <c r="A70" s="1079"/>
      <c r="B70" s="1080"/>
      <c r="C70" s="316"/>
      <c r="D70" s="1091"/>
      <c r="E70" s="1075" t="s">
        <v>1442</v>
      </c>
      <c r="F70" s="1179"/>
      <c r="O70" s="1606" t="s">
        <v>1017</v>
      </c>
      <c r="P70" s="1645" t="s">
        <v>1550</v>
      </c>
      <c r="Q70" s="1598">
        <f ca="1">C13</f>
        <v>30636</v>
      </c>
      <c r="R70" s="1598" t="s">
        <v>1494</v>
      </c>
    </row>
    <row r="71" spans="1:18" s="1562" customFormat="1" ht="13.5" thickBot="1">
      <c r="A71" s="1096" t="s">
        <v>1001</v>
      </c>
      <c r="B71" s="1097" t="s">
        <v>1452</v>
      </c>
      <c r="C71" s="342">
        <f ca="1">ROUND(C68*10000/F71,0)</f>
        <v>-10696</v>
      </c>
      <c r="D71" s="1098" t="s">
        <v>1453</v>
      </c>
      <c r="E71" s="1099" t="s">
        <v>1454</v>
      </c>
      <c r="F71" s="345">
        <f ca="1">F43</f>
        <v>45371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2451</v>
      </c>
      <c r="D75" s="1562"/>
      <c r="E75" s="1562"/>
      <c r="F75" s="1562"/>
      <c r="K75" s="1580"/>
      <c r="L75" s="1562"/>
      <c r="O75" s="1596" t="s">
        <v>1014</v>
      </c>
      <c r="P75" s="1597" t="s">
        <v>1514</v>
      </c>
      <c r="Q75" s="1598">
        <f ca="1">Q65+Q66</f>
        <v>119818</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0.48</v>
      </c>
    </row>
    <row r="80" spans="1:18">
      <c r="B80" s="346" t="s">
        <v>1476</v>
      </c>
      <c r="C80" s="280">
        <f ca="1">ROUND(C75/C39,3)</f>
        <v>0.52</v>
      </c>
    </row>
    <row r="81" spans="2:3">
      <c r="B81" s="276" t="s">
        <v>1477</v>
      </c>
      <c r="C81" s="244"/>
    </row>
    <row r="82" spans="2:3">
      <c r="B82" s="279" t="s">
        <v>1478</v>
      </c>
      <c r="C82" s="281">
        <f ca="1">1-C83</f>
        <v>0.74399999999999999</v>
      </c>
    </row>
    <row r="83" spans="2:3">
      <c r="B83" s="279" t="s">
        <v>1479</v>
      </c>
      <c r="C83" s="280">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北京市四合庄兴鹏投资管理中心：</v>
      </c>
    </row>
    <row r="4" spans="1:1" ht="36">
      <c r="A4" s="1659"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2021年4月13日（评估专业人员实地查勘之日）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87">
        <f ca="1">J53</f>
        <v>-1</v>
      </c>
      <c r="G1" s="1556">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196">
        <f ca="1">C6+C10+C12</f>
        <v>0</v>
      </c>
      <c r="D5" s="1542" t="s">
        <v>1566</v>
      </c>
      <c r="E5" s="1197"/>
      <c r="F5" s="1198"/>
      <c r="G5" s="1562"/>
      <c r="H5" s="305">
        <v>1</v>
      </c>
      <c r="I5" s="306" t="s">
        <v>1565</v>
      </c>
      <c r="J5" s="1196">
        <f ca="1">J6+J10+J12</f>
        <v>0</v>
      </c>
      <c r="K5" s="1542" t="s">
        <v>1566</v>
      </c>
      <c r="L5" s="1197"/>
      <c r="M5" s="1198"/>
    </row>
    <row r="6" spans="1:37" ht="18" customHeight="1">
      <c r="A6" s="1195" t="s">
        <v>1003</v>
      </c>
      <c r="B6" s="3378" t="s">
        <v>1368</v>
      </c>
      <c r="C6" s="1200">
        <f ca="1">ROUND(F6*F8*F7*(1-F9),0)</f>
        <v>0</v>
      </c>
      <c r="D6" s="160" t="s">
        <v>2843</v>
      </c>
      <c r="E6" s="308" t="s">
        <v>1370</v>
      </c>
      <c r="F6" s="309">
        <f ca="1">INDIRECT("'数据-取费表'!u"&amp;$G$1)</f>
        <v>0</v>
      </c>
      <c r="G6" s="1562"/>
      <c r="H6" s="1195" t="s">
        <v>1003</v>
      </c>
      <c r="I6" s="3378" t="s">
        <v>1368</v>
      </c>
      <c r="J6" s="307">
        <f ca="1">ROUND(M6*M8*M7*(1-M9),0)</f>
        <v>0</v>
      </c>
      <c r="K6" s="1554" t="s">
        <v>2844</v>
      </c>
      <c r="L6" s="308" t="s">
        <v>1370</v>
      </c>
      <c r="M6" s="309">
        <f ca="1">INDIRECT("'数据-取费表'!z"&amp;$G$1)</f>
        <v>0</v>
      </c>
    </row>
    <row r="7" spans="1:37" ht="18" customHeight="1">
      <c r="A7" s="1199"/>
      <c r="B7" s="3379"/>
      <c r="C7" s="1201"/>
      <c r="D7" s="313"/>
      <c r="E7" s="1202" t="s">
        <v>1371</v>
      </c>
      <c r="F7" s="309">
        <f ca="1">IF(INDIRECT("'数据-取费表'!ah"&amp;$G$1)="",INDIRECT("'数据-取费表'!k"&amp;$G$1),INDIRECT("'数据-取费表'!ah"&amp;$G$1))</f>
        <v>0</v>
      </c>
      <c r="G7" s="1562"/>
      <c r="H7" s="310"/>
      <c r="I7" s="3379"/>
      <c r="J7" s="312"/>
      <c r="K7" s="313"/>
      <c r="L7" s="308" t="s">
        <v>1371</v>
      </c>
      <c r="M7" s="309">
        <f ca="1">F7</f>
        <v>0</v>
      </c>
    </row>
    <row r="8" spans="1:37" ht="18" customHeight="1">
      <c r="A8" s="310"/>
      <c r="B8" s="3379"/>
      <c r="C8" s="312"/>
      <c r="D8" s="313"/>
      <c r="E8" s="308" t="s">
        <v>1372</v>
      </c>
      <c r="F8" s="309">
        <f ca="1">INDIRECT("'数据-取费表'!ai"&amp;$G$1)</f>
        <v>0</v>
      </c>
      <c r="G8" s="1562"/>
      <c r="H8" s="310"/>
      <c r="I8" s="3379"/>
      <c r="J8" s="312"/>
      <c r="K8" s="313"/>
      <c r="L8" s="308" t="s">
        <v>1372</v>
      </c>
      <c r="M8" s="309">
        <f ca="1">INDIRECT("'数据-取费表'!ai"&amp;$G$1)</f>
        <v>0</v>
      </c>
    </row>
    <row r="9" spans="1:37" ht="18" customHeight="1">
      <c r="A9" s="310"/>
      <c r="B9" s="3380"/>
      <c r="C9" s="312"/>
      <c r="D9" s="313"/>
      <c r="E9" s="308" t="s">
        <v>1373</v>
      </c>
      <c r="F9" s="318">
        <f ca="1">INDIRECT("'数据-取费表'!w"&amp;$G$1)</f>
        <v>0</v>
      </c>
      <c r="G9" s="1562"/>
      <c r="H9" s="310"/>
      <c r="I9" s="3380"/>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c r="G10" s="1562"/>
      <c r="H10" s="1195" t="s">
        <v>1007</v>
      </c>
      <c r="I10" s="1543" t="s">
        <v>1374</v>
      </c>
      <c r="J10" s="307">
        <f ca="1">ROUND(IF(M10="押一",J6/12*M11,IF(M10="押二",J6/12*2*M11,IF(M10="押三",J6/12*3*M11,J11*M11))),0)</f>
        <v>0</v>
      </c>
      <c r="K10" s="1555" t="s">
        <v>2855</v>
      </c>
      <c r="L10" s="319" t="s">
        <v>1375</v>
      </c>
      <c r="M10" s="1270"/>
    </row>
    <row r="11" spans="1:37" ht="18" customHeight="1">
      <c r="A11" s="314"/>
      <c r="B11" s="1545" t="s">
        <v>1567</v>
      </c>
      <c r="C11" s="1084"/>
      <c r="D11" s="313"/>
      <c r="E11" s="319" t="s">
        <v>1377</v>
      </c>
      <c r="F11" s="320">
        <f ca="1">'数据-取费表'!B39</f>
        <v>1.4999999999999999E-2</v>
      </c>
      <c r="G11" s="1562"/>
      <c r="H11" s="1203"/>
      <c r="I11" s="1545" t="s">
        <v>1568</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0.02</v>
      </c>
      <c r="G20" s="1574"/>
      <c r="H20" s="1107" t="s">
        <v>1354</v>
      </c>
      <c r="I20" s="160" t="s">
        <v>1406</v>
      </c>
      <c r="J20" s="25">
        <f ca="1">ROUND(M20*M21,0)</f>
        <v>0</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IF(项目基本情况!B11="自然人","——",ROUND(C6*F32/(1+'数据-取费表'!C42),0))</f>
        <v>0</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19"/>
      <c r="I33" s="1576"/>
      <c r="J33" s="1577"/>
      <c r="K33" s="2920"/>
      <c r="L33" s="2919"/>
      <c r="M33" s="2919"/>
    </row>
    <row r="34" spans="1:18" ht="18" customHeight="1">
      <c r="A34" s="1195" t="s">
        <v>1354</v>
      </c>
      <c r="B34" s="160" t="s">
        <v>1406</v>
      </c>
      <c r="C34" s="25">
        <f ca="1">IF(项目基本情况!B11="自然人","——",ROUND(F34*F35,))</f>
        <v>0</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0</v>
      </c>
      <c r="G35" s="1562"/>
      <c r="H35" s="2916"/>
      <c r="I35" s="1576"/>
      <c r="J35" s="1577"/>
      <c r="K35" s="2920"/>
      <c r="L35" s="2919"/>
      <c r="M35" s="2919"/>
    </row>
    <row r="36" spans="1:18" ht="18" customHeight="1">
      <c r="A36" s="1256" t="s">
        <v>1007</v>
      </c>
      <c r="B36" s="308" t="s">
        <v>1414</v>
      </c>
      <c r="C36" s="24">
        <f ca="1">ROUND(C29*F36,0)</f>
        <v>0</v>
      </c>
      <c r="D36" s="1522" t="s">
        <v>1447</v>
      </c>
      <c r="E36" s="308" t="s">
        <v>1387</v>
      </c>
      <c r="F36" s="334">
        <f ca="1">INDIRECT("'数据-取费表'!Ak"&amp;$G$1)</f>
        <v>0</v>
      </c>
      <c r="G36" s="1562"/>
      <c r="H36" s="2919"/>
      <c r="I36" s="1576"/>
      <c r="J36" s="1577"/>
      <c r="K36" s="2760"/>
      <c r="L36" s="2919"/>
      <c r="M36" s="2919"/>
    </row>
    <row r="37" spans="1:18" ht="18" customHeight="1">
      <c r="A37" s="1107" t="s">
        <v>1043</v>
      </c>
      <c r="B37" s="308" t="s">
        <v>1418</v>
      </c>
      <c r="C37" s="24">
        <f ca="1">ROUND(C13*F37,0)</f>
        <v>0</v>
      </c>
      <c r="D37" s="1522" t="s">
        <v>1419</v>
      </c>
      <c r="E37" s="308" t="s">
        <v>1420</v>
      </c>
      <c r="F37" s="336">
        <f ca="1">INDIRECT("'数据-取费表'!Al"&amp;$G$1)</f>
        <v>0</v>
      </c>
      <c r="G37" s="1562"/>
      <c r="H37" s="2919"/>
      <c r="I37" s="1576"/>
      <c r="J37" s="1577"/>
      <c r="K37" s="2760"/>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2"/>
      <c r="H38" s="2919"/>
      <c r="I38" s="1576"/>
      <c r="J38" s="1577"/>
      <c r="K38" s="2923"/>
      <c r="L38" s="2919"/>
      <c r="M38" s="2919"/>
    </row>
    <row r="39" spans="1:18" ht="24.6" customHeight="1" thickTop="1">
      <c r="A39" s="1233" t="s">
        <v>999</v>
      </c>
      <c r="B39" s="1248" t="s">
        <v>1448</v>
      </c>
      <c r="C39" s="316">
        <f ca="1">C5-C30</f>
        <v>0</v>
      </c>
      <c r="D39" s="1249" t="s">
        <v>1449</v>
      </c>
      <c r="E39" s="1250"/>
      <c r="F39" s="1251"/>
      <c r="G39" s="1562"/>
      <c r="H39" s="2919"/>
      <c r="I39" s="1576"/>
      <c r="J39" s="1577"/>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6"/>
      <c r="I41" s="1576"/>
      <c r="J41" s="1577"/>
      <c r="K41" s="2760"/>
      <c r="L41" s="1346"/>
      <c r="M41" s="1346"/>
    </row>
    <row r="42" spans="1:18" ht="18" customHeight="1">
      <c r="A42" s="314"/>
      <c r="B42" s="315"/>
      <c r="C42" s="316"/>
      <c r="D42" s="333"/>
      <c r="E42" s="308" t="s">
        <v>1442</v>
      </c>
      <c r="F42" s="318">
        <f ca="1">INDIRECT("'数据-取费表'!v"&amp;$G$1)</f>
        <v>0</v>
      </c>
      <c r="G42" s="1562"/>
      <c r="H42" s="1346"/>
      <c r="I42" s="1576"/>
      <c r="J42" s="1577"/>
      <c r="K42" s="2760"/>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2"/>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-1</v>
      </c>
      <c r="R52" s="1598" t="s">
        <v>1511</v>
      </c>
    </row>
    <row r="53" spans="1:18" s="1562" customFormat="1" ht="30.75" customHeight="1" thickBot="1">
      <c r="A53" s="1265" t="s">
        <v>1105</v>
      </c>
      <c r="B53" s="329" t="s">
        <v>1374</v>
      </c>
      <c r="C53" s="322">
        <f ca="1">ROUND(IF(F53="押一",C49/12*F11,IF(F53="押二",C49/12*2*F11,IF(F53="押三",C49/12*3*F11,C54*F11))),0)</f>
        <v>0</v>
      </c>
      <c r="D53" s="1544" t="s">
        <v>2856</v>
      </c>
      <c r="E53" s="319" t="s">
        <v>1375</v>
      </c>
      <c r="F53" s="1270"/>
      <c r="I53" s="1617" t="s">
        <v>1512</v>
      </c>
      <c r="J53" s="2379">
        <f ca="1">IF(M47="住宅",IF(D1="——",MAX(J51,L48),MAX(J51,L48-'数据-取费表'!B24)),IF(D1="——",MIN(J51,L48),MIN(J51,L48-'数据-取费表'!B24)))</f>
        <v>-1</v>
      </c>
      <c r="K53" s="3381" t="s">
        <v>1513</v>
      </c>
      <c r="L53" s="3382"/>
      <c r="O53" s="1596" t="s">
        <v>1014</v>
      </c>
      <c r="P53" s="1597" t="s">
        <v>1514</v>
      </c>
      <c r="Q53" s="1598" t="e">
        <f ca="1">Q47+Q48</f>
        <v>#DIV/0!</v>
      </c>
      <c r="R53" s="1598" t="s">
        <v>1015</v>
      </c>
    </row>
    <row r="54" spans="1:18" s="1562" customFormat="1" ht="13.5" thickBot="1">
      <c r="A54" s="1100"/>
      <c r="B54" s="1652" t="s">
        <v>1568</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3" t="s">
        <v>1389</v>
      </c>
      <c r="C58" s="322">
        <f ca="1">ROUND(C59+C64+C65+C66,0)</f>
        <v>0</v>
      </c>
      <c r="D58" s="1085" t="s">
        <v>1390</v>
      </c>
      <c r="E58" s="1086"/>
      <c r="F58" s="1087"/>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IF(项目基本情况!B11="自然人","——",ROUND(F62*F63,0))</f>
        <v>0</v>
      </c>
      <c r="D62" s="1090" t="s">
        <v>1462</v>
      </c>
      <c r="E62" s="1075" t="s">
        <v>1463</v>
      </c>
      <c r="F62" s="331">
        <f t="shared" si="0"/>
        <v>12</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1"/>
      <c r="C63" s="29"/>
      <c r="D63" s="1091"/>
      <c r="E63" s="1075"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1523</v>
      </c>
      <c r="Q66" s="1598" t="e">
        <f ca="1">L60</f>
        <v>#DIV/0!</v>
      </c>
      <c r="R66" s="1598" t="s">
        <v>1546</v>
      </c>
    </row>
    <row r="67" spans="1:18" s="1562" customFormat="1" ht="16.5" thickBot="1">
      <c r="A67" s="1082" t="s">
        <v>999</v>
      </c>
      <c r="B67" s="1092" t="s">
        <v>1428</v>
      </c>
      <c r="C67" s="322">
        <f ca="1">C48-C58</f>
        <v>0</v>
      </c>
      <c r="D67" s="1088" t="s">
        <v>1429</v>
      </c>
      <c r="E67" s="1093"/>
      <c r="F67" s="1094"/>
      <c r="O67" s="1606" t="s">
        <v>1010</v>
      </c>
      <c r="P67" s="1597" t="s">
        <v>1527</v>
      </c>
      <c r="Q67" s="1644">
        <f ca="1">L51</f>
        <v>0</v>
      </c>
      <c r="R67" s="1598" t="s">
        <v>1547</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1548</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1549</v>
      </c>
      <c r="Q69" s="1598">
        <f ca="1">C39</f>
        <v>0</v>
      </c>
      <c r="R69" s="1598" t="s">
        <v>1494</v>
      </c>
    </row>
    <row r="70" spans="1:18" s="1562" customFormat="1" ht="13.5" thickBot="1">
      <c r="A70" s="1079"/>
      <c r="B70" s="1080"/>
      <c r="C70" s="316"/>
      <c r="D70" s="1091"/>
      <c r="E70" s="1075" t="s">
        <v>1442</v>
      </c>
      <c r="F70" s="1179">
        <f ca="1">F42</f>
        <v>0</v>
      </c>
      <c r="O70" s="1606" t="s">
        <v>1017</v>
      </c>
      <c r="P70" s="1645" t="s">
        <v>1550</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2343</v>
      </c>
      <c r="B1" s="2047"/>
      <c r="C1" s="2047"/>
      <c r="D1" s="2047"/>
      <c r="E1" s="2048"/>
      <c r="F1" s="2926"/>
      <c r="G1" s="1668"/>
      <c r="H1" s="1668"/>
      <c r="I1" s="1668"/>
      <c r="J1" s="1668"/>
      <c r="K1" s="1668"/>
      <c r="L1" s="1668"/>
      <c r="M1" s="1668"/>
      <c r="N1" s="1668"/>
      <c r="O1" s="1668"/>
      <c r="P1" s="1668"/>
      <c r="Q1" s="1668"/>
      <c r="R1" s="1668"/>
      <c r="S1" s="1668"/>
    </row>
    <row r="2" spans="1:22" ht="15.75">
      <c r="A2" s="2049" t="s">
        <v>2146</v>
      </c>
      <c r="B2" s="2050">
        <f ca="1">SUMIF(B6:B13,"&lt;&gt;#ref!",B6:B13)</f>
        <v>240887</v>
      </c>
      <c r="C2" s="2051" t="s">
        <v>2336</v>
      </c>
      <c r="D2" s="2052" t="s">
        <v>2337</v>
      </c>
      <c r="E2" s="2823">
        <f>SUM(E6:E13)</f>
        <v>108441.15000000001</v>
      </c>
      <c r="F2" s="2926"/>
      <c r="G2" s="1668"/>
      <c r="H2" s="1668"/>
      <c r="I2" s="1668"/>
      <c r="J2" s="1668"/>
      <c r="K2" s="1668"/>
      <c r="L2" s="1668"/>
      <c r="M2" s="1668"/>
      <c r="N2" s="1668"/>
      <c r="O2" s="1668"/>
      <c r="P2" s="1668"/>
      <c r="Q2" s="1668"/>
      <c r="R2" s="1668"/>
      <c r="S2" s="1668"/>
    </row>
    <row r="3" spans="1:22" ht="15.75">
      <c r="A3" s="2049" t="s">
        <v>1360</v>
      </c>
      <c r="B3" s="2817">
        <f ca="1">ROUND(B2*10000/E2,0)</f>
        <v>22214</v>
      </c>
      <c r="C3" s="2051" t="s">
        <v>2344</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2338</v>
      </c>
      <c r="B5" s="3383" t="s">
        <v>2339</v>
      </c>
      <c r="C5" s="3384"/>
      <c r="D5" s="2927"/>
      <c r="E5" s="2053" t="s">
        <v>2340</v>
      </c>
      <c r="F5" s="2054" t="s">
        <v>2341</v>
      </c>
      <c r="G5" s="1668"/>
      <c r="H5" s="1668"/>
      <c r="I5" s="1668"/>
      <c r="J5" s="1668"/>
      <c r="K5" s="1668"/>
      <c r="L5" s="1668"/>
      <c r="M5" s="1668"/>
      <c r="N5" s="1668"/>
      <c r="O5" s="1668"/>
      <c r="P5" s="1668"/>
      <c r="Q5" s="1668"/>
      <c r="R5" s="1668"/>
      <c r="S5" s="1668"/>
    </row>
    <row r="6" spans="1:22">
      <c r="A6" s="2820" t="str">
        <f>'数据-取费表'!AN6</f>
        <v>收益法商</v>
      </c>
      <c r="B6" s="2818">
        <f ca="1">IF(F6="是",'数据-取费表'!AO6,0)</f>
        <v>108880</v>
      </c>
      <c r="C6" s="2051" t="s">
        <v>2336</v>
      </c>
      <c r="D6" s="2928"/>
      <c r="E6" s="2822">
        <f>IF(OR(A6=0,F6="否"),0,'数据-取费表'!K6+'数据-取费表'!S6)</f>
        <v>34200.5</v>
      </c>
      <c r="F6" s="2055" t="s">
        <v>2342</v>
      </c>
      <c r="G6" s="1668"/>
      <c r="H6" s="1668"/>
      <c r="I6" s="1668"/>
      <c r="J6" s="1668"/>
      <c r="K6" s="1668"/>
      <c r="L6" s="1668"/>
      <c r="M6" s="1668"/>
      <c r="N6" s="1668"/>
      <c r="O6" s="1668"/>
      <c r="P6" s="1668"/>
      <c r="Q6" s="1668"/>
      <c r="R6" s="1668"/>
      <c r="S6" s="1668"/>
    </row>
    <row r="7" spans="1:22">
      <c r="A7" s="2820" t="str">
        <f>'数据-取费表'!AN7</f>
        <v>收益法</v>
      </c>
      <c r="B7" s="2818">
        <f ca="1">IF(F7="是",'数据-取费表'!AO7,0)</f>
        <v>119818</v>
      </c>
      <c r="C7" s="2051" t="s">
        <v>2336</v>
      </c>
      <c r="D7" s="2928"/>
      <c r="E7" s="2822">
        <f>IF(OR(A7=0,F7="否"),0,'数据-取费表'!K7+'数据-取费表'!S7)</f>
        <v>48902.04</v>
      </c>
      <c r="F7" s="2055" t="s">
        <v>2342</v>
      </c>
      <c r="G7" s="1668"/>
      <c r="H7" s="1668"/>
      <c r="I7" s="1668"/>
      <c r="J7" s="1668"/>
      <c r="K7" s="1668"/>
      <c r="L7" s="1668"/>
      <c r="M7" s="1668"/>
      <c r="N7" s="1668"/>
      <c r="O7" s="1668"/>
      <c r="P7" s="1668"/>
      <c r="Q7" s="1668"/>
      <c r="R7" s="1668"/>
      <c r="S7" s="1668"/>
    </row>
    <row r="8" spans="1:22">
      <c r="A8" s="2820" t="str">
        <f>'数据-取费表'!AN8</f>
        <v>收益法车</v>
      </c>
      <c r="B8" s="2818">
        <f ca="1">IF(F8="是",'数据-取费表'!AO8,0)</f>
        <v>12189</v>
      </c>
      <c r="C8" s="2051" t="s">
        <v>2336</v>
      </c>
      <c r="D8" s="2928"/>
      <c r="E8" s="2822">
        <f>IF(OR(A8=0,F8="否"),0,'数据-取费表'!K8+'数据-取费表'!S8)</f>
        <v>25338.61</v>
      </c>
      <c r="F8" s="2055" t="s">
        <v>2342</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2336</v>
      </c>
      <c r="D9" s="2928"/>
      <c r="E9" s="2822">
        <f>IF(OR(A9=0,F9="否"),0,'数据-取费表'!K9+'数据-取费表'!S9)</f>
        <v>0</v>
      </c>
      <c r="F9" s="2055" t="s">
        <v>2342</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2336</v>
      </c>
      <c r="D10" s="2928"/>
      <c r="E10" s="2822">
        <f>IF(OR(A10=0,F10="否"),0,'数据-取费表'!K10+'数据-取费表'!S10)</f>
        <v>0</v>
      </c>
      <c r="F10" s="2055" t="s">
        <v>2342</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2336</v>
      </c>
      <c r="D11" s="2928"/>
      <c r="E11" s="2822">
        <f>IF(OR(A11=0,F11="否"),0,'数据-取费表'!K11+'数据-取费表'!S11)</f>
        <v>0</v>
      </c>
      <c r="F11" s="2055" t="s">
        <v>2342</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2336</v>
      </c>
      <c r="D12" s="2928"/>
      <c r="E12" s="2822">
        <f>IF(OR(A12=0,F12="否"),0,'数据-取费表'!K12+'数据-取费表'!S12)</f>
        <v>0</v>
      </c>
      <c r="F12" s="2055" t="s">
        <v>2342</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2336</v>
      </c>
      <c r="D13" s="2929"/>
      <c r="E13" s="2822">
        <f>IF(OR(A13=0,F13="否"),0,'数据-取费表'!K13+'数据-取费表'!S13)</f>
        <v>0</v>
      </c>
      <c r="F13" s="2055"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5" t="s">
        <v>1044</v>
      </c>
      <c r="B1" s="3386"/>
      <c r="C1" s="3387"/>
      <c r="D1" s="3388">
        <f>SUM(I10,I15,I20,I21,I23)</f>
        <v>0</v>
      </c>
      <c r="E1" s="3388"/>
      <c r="F1" s="3388"/>
      <c r="G1" s="3388"/>
      <c r="H1" s="3388"/>
      <c r="I1" s="3389"/>
    </row>
    <row r="2" spans="1:9">
      <c r="A2" s="3390" t="s">
        <v>1045</v>
      </c>
      <c r="B2" s="3391" t="s">
        <v>1046</v>
      </c>
      <c r="C2" s="3391"/>
      <c r="D2" s="1205" t="s">
        <v>1047</v>
      </c>
      <c r="E2" s="1205" t="s">
        <v>1048</v>
      </c>
      <c r="F2" s="1205" t="s">
        <v>1049</v>
      </c>
      <c r="G2" s="1205" t="s">
        <v>1050</v>
      </c>
      <c r="H2" s="1205" t="s">
        <v>1051</v>
      </c>
      <c r="I2" s="1206" t="s">
        <v>1052</v>
      </c>
    </row>
    <row r="3" spans="1:9">
      <c r="A3" s="3390"/>
      <c r="B3" s="3391" t="s">
        <v>1053</v>
      </c>
      <c r="C3" s="3391"/>
      <c r="D3" s="1207"/>
      <c r="E3" s="1205"/>
      <c r="F3" s="1208"/>
      <c r="G3" s="1208"/>
      <c r="H3" s="1209"/>
      <c r="I3" s="1210">
        <f>ROUND(D3*E3*F3*G3*H3/10000,0)</f>
        <v>0</v>
      </c>
    </row>
    <row r="4" spans="1:9">
      <c r="A4" s="3390"/>
      <c r="B4" s="3391" t="s">
        <v>1054</v>
      </c>
      <c r="C4" s="3391"/>
      <c r="D4" s="1207"/>
      <c r="E4" s="1205"/>
      <c r="F4" s="1208"/>
      <c r="G4" s="1208"/>
      <c r="H4" s="1209"/>
      <c r="I4" s="1210">
        <f t="shared" ref="I4:I9" si="0">ROUND(D4*E4*F4*G4*H4/10000,0)</f>
        <v>0</v>
      </c>
    </row>
    <row r="5" spans="1:9">
      <c r="A5" s="3390"/>
      <c r="B5" s="3391" t="s">
        <v>1055</v>
      </c>
      <c r="C5" s="3391"/>
      <c r="D5" s="1207"/>
      <c r="E5" s="1205"/>
      <c r="F5" s="1208"/>
      <c r="G5" s="1208"/>
      <c r="H5" s="1209"/>
      <c r="I5" s="1210">
        <f t="shared" si="0"/>
        <v>0</v>
      </c>
    </row>
    <row r="6" spans="1:9">
      <c r="A6" s="3390"/>
      <c r="B6" s="3391" t="s">
        <v>1056</v>
      </c>
      <c r="C6" s="3391"/>
      <c r="D6" s="1207"/>
      <c r="E6" s="1205"/>
      <c r="F6" s="1208"/>
      <c r="G6" s="1208"/>
      <c r="H6" s="1209"/>
      <c r="I6" s="1210">
        <f t="shared" si="0"/>
        <v>0</v>
      </c>
    </row>
    <row r="7" spans="1:9">
      <c r="A7" s="3390"/>
      <c r="B7" s="3391" t="s">
        <v>1057</v>
      </c>
      <c r="C7" s="3391"/>
      <c r="D7" s="1207"/>
      <c r="E7" s="1205"/>
      <c r="F7" s="1208"/>
      <c r="G7" s="1208"/>
      <c r="H7" s="1209"/>
      <c r="I7" s="1210">
        <f t="shared" si="0"/>
        <v>0</v>
      </c>
    </row>
    <row r="8" spans="1:9">
      <c r="A8" s="3390"/>
      <c r="B8" s="3391" t="s">
        <v>1058</v>
      </c>
      <c r="C8" s="3391"/>
      <c r="D8" s="1207"/>
      <c r="E8" s="1205"/>
      <c r="F8" s="1208"/>
      <c r="G8" s="1208"/>
      <c r="H8" s="1209"/>
      <c r="I8" s="1210">
        <f t="shared" si="0"/>
        <v>0</v>
      </c>
    </row>
    <row r="9" spans="1:9">
      <c r="A9" s="3390"/>
      <c r="B9" s="3391" t="s">
        <v>1059</v>
      </c>
      <c r="C9" s="3391"/>
      <c r="D9" s="1207"/>
      <c r="E9" s="1205"/>
      <c r="F9" s="1208"/>
      <c r="G9" s="1208"/>
      <c r="H9" s="1209"/>
      <c r="I9" s="1210">
        <f t="shared" si="0"/>
        <v>0</v>
      </c>
    </row>
    <row r="10" spans="1:9">
      <c r="A10" s="3390"/>
      <c r="B10" s="3392" t="s">
        <v>1060</v>
      </c>
      <c r="C10" s="3392"/>
      <c r="D10" s="1211"/>
      <c r="E10" s="1211" t="e">
        <f>ROUND(D1*10000/D10/H9,0)</f>
        <v>#DIV/0!</v>
      </c>
      <c r="F10" s="1212"/>
      <c r="G10" s="1212"/>
      <c r="H10" s="1213"/>
      <c r="I10" s="1214">
        <f>SUM(I3:I9)</f>
        <v>0</v>
      </c>
    </row>
    <row r="11" spans="1:9" ht="14.25">
      <c r="A11" s="3390" t="s">
        <v>1061</v>
      </c>
      <c r="B11" s="3391" t="s">
        <v>1062</v>
      </c>
      <c r="C11" s="3391"/>
      <c r="D11" s="1207" t="s">
        <v>1063</v>
      </c>
      <c r="E11" s="1207" t="s">
        <v>1064</v>
      </c>
      <c r="F11" s="1208" t="s">
        <v>1065</v>
      </c>
      <c r="G11" s="1208" t="s">
        <v>1051</v>
      </c>
      <c r="H11" s="1215" t="s">
        <v>1066</v>
      </c>
      <c r="I11" s="1206" t="s">
        <v>1052</v>
      </c>
    </row>
    <row r="12" spans="1:9">
      <c r="A12" s="3390"/>
      <c r="B12" s="3391" t="s">
        <v>1067</v>
      </c>
      <c r="C12" s="3391"/>
      <c r="D12" s="1207"/>
      <c r="E12" s="1207"/>
      <c r="F12" s="1208"/>
      <c r="G12" s="1209"/>
      <c r="H12" s="1216"/>
      <c r="I12" s="1206">
        <f>ROUND(D12*E12*F12*G12/10000,0)</f>
        <v>0</v>
      </c>
    </row>
    <row r="13" spans="1:9">
      <c r="A13" s="3390"/>
      <c r="B13" s="3391" t="s">
        <v>1068</v>
      </c>
      <c r="C13" s="3391"/>
      <c r="D13" s="1207"/>
      <c r="E13" s="1207"/>
      <c r="F13" s="1208"/>
      <c r="G13" s="1209"/>
      <c r="H13" s="1216"/>
      <c r="I13" s="1206">
        <f>ROUND(D13*E13*F13*G13/10000,0)</f>
        <v>0</v>
      </c>
    </row>
    <row r="14" spans="1:9">
      <c r="A14" s="3390"/>
      <c r="B14" s="3391" t="s">
        <v>1069</v>
      </c>
      <c r="C14" s="3391"/>
      <c r="D14" s="1207"/>
      <c r="E14" s="1207"/>
      <c r="F14" s="1208"/>
      <c r="G14" s="1209"/>
      <c r="H14" s="1216"/>
      <c r="I14" s="1206">
        <f>ROUND(D14*E14*F14*G14/10000,0)</f>
        <v>0</v>
      </c>
    </row>
    <row r="15" spans="1:9">
      <c r="A15" s="3390"/>
      <c r="B15" s="3392" t="s">
        <v>1060</v>
      </c>
      <c r="C15" s="3392"/>
      <c r="D15" s="1211"/>
      <c r="E15" s="1211">
        <f>SUM(E12:E14)</f>
        <v>0</v>
      </c>
      <c r="F15" s="1212"/>
      <c r="G15" s="1209"/>
      <c r="H15" s="1216"/>
      <c r="I15" s="1217">
        <f>SUM(I12:I14)</f>
        <v>0</v>
      </c>
    </row>
    <row r="16" spans="1:9" ht="24">
      <c r="A16" s="3390" t="s">
        <v>1070</v>
      </c>
      <c r="B16" s="3391" t="s">
        <v>1071</v>
      </c>
      <c r="C16" s="3391"/>
      <c r="D16" s="1207" t="s">
        <v>1047</v>
      </c>
      <c r="E16" s="1218" t="s">
        <v>1072</v>
      </c>
      <c r="F16" s="1208" t="s">
        <v>1073</v>
      </c>
      <c r="G16" s="1209" t="s">
        <v>1051</v>
      </c>
      <c r="H16" s="1215" t="s">
        <v>1066</v>
      </c>
      <c r="I16" s="1206" t="s">
        <v>1052</v>
      </c>
    </row>
    <row r="17" spans="1:9" ht="14.25">
      <c r="A17" s="3390"/>
      <c r="B17" s="3391" t="s">
        <v>1074</v>
      </c>
      <c r="C17" s="3391"/>
      <c r="D17" s="1207"/>
      <c r="E17" s="1207"/>
      <c r="F17" s="1208"/>
      <c r="G17" s="1209"/>
      <c r="H17" s="1219"/>
      <c r="I17" s="1220">
        <f>ROUND(D17*E17*F17*G17/10000,0)</f>
        <v>0</v>
      </c>
    </row>
    <row r="18" spans="1:9" ht="14.25">
      <c r="A18" s="3390"/>
      <c r="B18" s="3391" t="s">
        <v>1075</v>
      </c>
      <c r="C18" s="3391"/>
      <c r="D18" s="1207"/>
      <c r="E18" s="1207"/>
      <c r="F18" s="1208"/>
      <c r="G18" s="1209"/>
      <c r="H18" s="1219"/>
      <c r="I18" s="1220">
        <f>ROUND(D18*E18*F18*G18/10000,0)</f>
        <v>0</v>
      </c>
    </row>
    <row r="19" spans="1:9" ht="14.25">
      <c r="A19" s="3390"/>
      <c r="B19" s="3391" t="s">
        <v>1076</v>
      </c>
      <c r="C19" s="3391"/>
      <c r="D19" s="1207"/>
      <c r="E19" s="1207"/>
      <c r="F19" s="1208"/>
      <c r="G19" s="1209"/>
      <c r="H19" s="1219"/>
      <c r="I19" s="1220">
        <f>ROUND(D19*E19*F19*G19/10000,0)</f>
        <v>0</v>
      </c>
    </row>
    <row r="20" spans="1:9">
      <c r="A20" s="3390"/>
      <c r="B20" s="3392" t="s">
        <v>1060</v>
      </c>
      <c r="C20" s="3392"/>
      <c r="D20" s="1211">
        <f>SUM(D17:D19)</f>
        <v>0</v>
      </c>
      <c r="E20" s="1211"/>
      <c r="F20" s="1212"/>
      <c r="G20" s="1209"/>
      <c r="H20" s="1216"/>
      <c r="I20" s="1217">
        <f>SUM(I17:I19)</f>
        <v>0</v>
      </c>
    </row>
    <row r="21" spans="1:9">
      <c r="A21" s="3390" t="s">
        <v>1077</v>
      </c>
      <c r="B21" s="3394"/>
      <c r="C21" s="3394"/>
      <c r="D21" s="3394"/>
      <c r="E21" s="3394"/>
      <c r="F21" s="3394"/>
      <c r="G21" s="3394"/>
      <c r="H21" s="1496">
        <v>0.1</v>
      </c>
      <c r="I21" s="1214">
        <f>ROUND(I10*H21,0)</f>
        <v>0</v>
      </c>
    </row>
    <row r="22" spans="1:9" ht="14.25">
      <c r="A22" s="3395" t="s">
        <v>1078</v>
      </c>
      <c r="B22" s="3396"/>
      <c r="C22" s="3397"/>
      <c r="D22" s="1221" t="s">
        <v>1079</v>
      </c>
      <c r="E22" s="1221" t="s">
        <v>1080</v>
      </c>
      <c r="F22" s="1222" t="s">
        <v>1081</v>
      </c>
      <c r="G22" s="1222" t="s">
        <v>1082</v>
      </c>
      <c r="H22" s="1215" t="s">
        <v>1083</v>
      </c>
      <c r="I22" s="1206" t="s">
        <v>1084</v>
      </c>
    </row>
    <row r="23" spans="1:9" ht="14.25" thickBot="1">
      <c r="A23" s="3398"/>
      <c r="B23" s="3399"/>
      <c r="C23" s="3400"/>
      <c r="D23" s="1223"/>
      <c r="E23" s="1223"/>
      <c r="F23" s="1223"/>
      <c r="G23" s="1224"/>
      <c r="H23" s="1225"/>
      <c r="I23" s="1226">
        <f>ROUND(E23*D23*F23*(1-G23)/10000,0)</f>
        <v>0</v>
      </c>
    </row>
    <row r="26" spans="1:9">
      <c r="A26" s="1227" t="s">
        <v>1085</v>
      </c>
      <c r="B26" s="1227"/>
      <c r="C26" s="1227"/>
      <c r="D26" s="1227"/>
      <c r="E26" s="3401">
        <f>C27-C30-C31-C32</f>
        <v>0</v>
      </c>
      <c r="F26" s="3401"/>
      <c r="G26" s="3401"/>
      <c r="H26" s="1493" t="s">
        <v>1306</v>
      </c>
    </row>
    <row r="27" spans="1:9">
      <c r="A27" s="1228">
        <v>1</v>
      </c>
      <c r="B27" s="1229" t="s">
        <v>1086</v>
      </c>
      <c r="C27" s="1229">
        <f>C28+C29</f>
        <v>0</v>
      </c>
      <c r="D27" s="1229"/>
      <c r="E27" s="3402"/>
      <c r="F27" s="3402"/>
      <c r="G27" s="3402"/>
    </row>
    <row r="28" spans="1:9">
      <c r="A28" s="1230" t="s">
        <v>1087</v>
      </c>
      <c r="B28" s="1229" t="s">
        <v>1088</v>
      </c>
      <c r="C28" s="1229"/>
      <c r="D28" s="1229"/>
      <c r="E28" s="3402"/>
      <c r="F28" s="3402"/>
      <c r="G28" s="3402"/>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93"/>
      <c r="F32" s="3393"/>
      <c r="G32" s="3393"/>
    </row>
    <row r="33" spans="1:7" hidden="1">
      <c r="A33" s="3403" t="s">
        <v>1097</v>
      </c>
      <c r="B33" s="3404"/>
      <c r="C33" s="3404"/>
      <c r="D33" s="3405"/>
      <c r="E33" s="3401"/>
      <c r="F33" s="3401"/>
      <c r="G33" s="3401"/>
    </row>
    <row r="34" spans="1:7" hidden="1">
      <c r="A34" s="1232">
        <v>1</v>
      </c>
      <c r="B34" s="1229" t="s">
        <v>1098</v>
      </c>
      <c r="C34" s="1229"/>
      <c r="D34" s="1229"/>
      <c r="E34" s="3402"/>
      <c r="F34" s="3402"/>
      <c r="G34" s="3402"/>
    </row>
    <row r="35" spans="1:7" hidden="1">
      <c r="A35" s="1232">
        <v>2</v>
      </c>
      <c r="B35" s="1229" t="s">
        <v>1099</v>
      </c>
      <c r="C35" s="1229"/>
      <c r="D35" s="1229"/>
      <c r="E35" s="3402"/>
      <c r="F35" s="3402"/>
      <c r="G35" s="3402"/>
    </row>
    <row r="36" spans="1:7" hidden="1">
      <c r="A36" s="1232">
        <v>3</v>
      </c>
      <c r="B36" s="1229" t="s">
        <v>1100</v>
      </c>
      <c r="C36" s="1229"/>
      <c r="D36" s="1229"/>
      <c r="E36" s="3402"/>
      <c r="F36" s="3402"/>
      <c r="G36" s="3402"/>
    </row>
    <row r="37" spans="1:7" hidden="1">
      <c r="A37" s="1232">
        <v>4</v>
      </c>
      <c r="B37" s="1229" t="s">
        <v>1101</v>
      </c>
      <c r="C37" s="1229"/>
      <c r="D37" s="1229"/>
      <c r="E37" s="3402"/>
      <c r="F37" s="3402"/>
      <c r="G37" s="3402"/>
    </row>
    <row r="38" spans="1:7" hidden="1">
      <c r="A38" s="3403" t="s">
        <v>1102</v>
      </c>
      <c r="B38" s="3404"/>
      <c r="C38" s="3404"/>
      <c r="D38" s="3405"/>
      <c r="E38" s="3401"/>
      <c r="F38" s="3401"/>
      <c r="G38" s="34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2346</v>
      </c>
      <c r="C1" s="1399" t="s">
        <v>2347</v>
      </c>
      <c r="D1" s="1386"/>
      <c r="E1" s="2537"/>
      <c r="F1" s="2058" t="s">
        <v>2348</v>
      </c>
      <c r="G1" s="1396" t="s">
        <v>2349</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60"/>
      <c r="D2" s="1269" t="e">
        <f ca="1">SUMIF(INDIRECT("'"&amp;F2&amp;"'"&amp;"!A:A"),"承租人权益价值",INDIRECT("'"&amp;F2&amp;"'"&amp;"!c:c"))</f>
        <v>#REF!</v>
      </c>
      <c r="E2" s="2061" t="s">
        <v>2350</v>
      </c>
      <c r="F2" s="2062"/>
      <c r="G2" s="1032"/>
      <c r="H2" s="1032"/>
      <c r="I2" s="1032"/>
      <c r="J2" s="1032"/>
      <c r="K2" s="2063"/>
      <c r="L2" s="2932"/>
      <c r="M2" s="2933"/>
      <c r="N2" s="2933"/>
      <c r="O2" s="2933"/>
      <c r="P2" s="2064"/>
      <c r="Q2" s="2065"/>
      <c r="R2" s="2065"/>
      <c r="S2" s="2065"/>
      <c r="T2" s="2065"/>
      <c r="U2" s="2065"/>
      <c r="V2" s="2065"/>
      <c r="W2" s="2065"/>
      <c r="X2" s="2065"/>
      <c r="Y2" s="2065"/>
      <c r="Z2" s="2065"/>
      <c r="AA2" s="2065"/>
      <c r="AB2" s="2065"/>
      <c r="AC2" s="2066"/>
    </row>
    <row r="3" spans="1:29" s="353" customFormat="1" ht="28.5" customHeight="1" thickBot="1">
      <c r="A3" s="209" t="s">
        <v>1360</v>
      </c>
      <c r="B3" s="359" t="e">
        <f ca="1">IF(C2="——",C49,ROUND(B2*10000/D3,0))</f>
        <v>#DIV/0!</v>
      </c>
      <c r="C3" s="360" t="s">
        <v>2351</v>
      </c>
      <c r="D3" s="359">
        <f>IF(D1="",'数据-汇总表'!E3,SUMIF('数据-汇总表'!$C19:$C33,D1,'数据-汇总表'!$E19:$E33))</f>
        <v>108441.15</v>
      </c>
      <c r="E3" s="1032"/>
      <c r="F3" s="2067"/>
      <c r="G3" s="1032"/>
      <c r="H3" s="1032"/>
      <c r="I3" s="1032"/>
      <c r="J3" s="1032"/>
      <c r="K3" s="2063"/>
      <c r="L3" s="2932"/>
      <c r="M3" s="2933"/>
      <c r="N3" s="2933"/>
      <c r="O3" s="2933"/>
      <c r="P3" s="2064"/>
      <c r="Q3" s="2065"/>
      <c r="R3" s="2065"/>
      <c r="S3" s="2065"/>
      <c r="T3" s="2065"/>
      <c r="U3" s="2065"/>
      <c r="V3" s="2065"/>
      <c r="W3" s="2065"/>
      <c r="X3" s="2065"/>
      <c r="Y3" s="2065"/>
      <c r="Z3" s="2065"/>
      <c r="AA3" s="2065"/>
      <c r="AB3" s="2065"/>
      <c r="AC3" s="1186"/>
    </row>
    <row r="4" spans="1:29" ht="15">
      <c r="A4" s="361" t="s">
        <v>2352</v>
      </c>
      <c r="B4" s="362"/>
      <c r="C4" s="3324" t="s">
        <v>2353</v>
      </c>
      <c r="D4" s="3325"/>
      <c r="E4" s="3326" t="s">
        <v>2354</v>
      </c>
      <c r="F4" s="3327"/>
      <c r="G4" s="3324" t="s">
        <v>2355</v>
      </c>
      <c r="H4" s="3325"/>
      <c r="I4" s="3324" t="s">
        <v>2356</v>
      </c>
      <c r="J4" s="3325"/>
      <c r="K4" s="2068" t="s">
        <v>2357</v>
      </c>
      <c r="L4" s="2934"/>
      <c r="M4" s="2935"/>
      <c r="N4" s="2935"/>
      <c r="O4" s="2935"/>
      <c r="P4" s="3328" t="s">
        <v>2358</v>
      </c>
      <c r="Q4" s="3329"/>
      <c r="R4" s="3311" t="s">
        <v>2354</v>
      </c>
      <c r="S4" s="3312"/>
      <c r="T4" s="3311" t="s">
        <v>2355</v>
      </c>
      <c r="U4" s="3312"/>
      <c r="V4" s="3336" t="s">
        <v>2356</v>
      </c>
      <c r="W4" s="3336"/>
      <c r="X4" s="1533"/>
      <c r="Y4" s="3311" t="s">
        <v>2358</v>
      </c>
      <c r="Z4" s="3312"/>
      <c r="AA4" s="3306" t="s">
        <v>2354</v>
      </c>
      <c r="AB4" s="3306" t="s">
        <v>2355</v>
      </c>
      <c r="AC4" s="3306" t="s">
        <v>2356</v>
      </c>
    </row>
    <row r="5" spans="1:29" ht="15">
      <c r="A5" s="364"/>
      <c r="B5" s="365"/>
      <c r="C5" s="3408" t="s">
        <v>2359</v>
      </c>
      <c r="D5" s="3409"/>
      <c r="E5" s="3406" t="s">
        <v>2360</v>
      </c>
      <c r="F5" s="3407"/>
      <c r="G5" s="3408" t="s">
        <v>2361</v>
      </c>
      <c r="H5" s="3409"/>
      <c r="I5" s="3408" t="s">
        <v>2362</v>
      </c>
      <c r="J5" s="3409"/>
      <c r="K5" s="2069"/>
      <c r="L5" s="2934"/>
      <c r="M5" s="2935"/>
      <c r="N5" s="2935"/>
      <c r="O5" s="2935"/>
      <c r="P5" s="3330"/>
      <c r="Q5" s="3331"/>
      <c r="R5" s="3313"/>
      <c r="S5" s="3314"/>
      <c r="T5" s="3313"/>
      <c r="U5" s="3314"/>
      <c r="V5" s="3336"/>
      <c r="W5" s="3336"/>
      <c r="X5" s="1533"/>
      <c r="Y5" s="3313"/>
      <c r="Z5" s="3314"/>
      <c r="AA5" s="3307"/>
      <c r="AB5" s="3307"/>
      <c r="AC5" s="3307"/>
    </row>
    <row r="6" spans="1:29" ht="15.75" thickBot="1">
      <c r="A6" s="366"/>
      <c r="B6" s="367"/>
      <c r="C6" s="3410" t="s">
        <v>2363</v>
      </c>
      <c r="D6" s="3411"/>
      <c r="E6" s="3412" t="s">
        <v>2363</v>
      </c>
      <c r="F6" s="3413"/>
      <c r="G6" s="3410" t="s">
        <v>2363</v>
      </c>
      <c r="H6" s="3411"/>
      <c r="I6" s="3410" t="s">
        <v>2363</v>
      </c>
      <c r="J6" s="3411"/>
      <c r="K6" s="2069" t="s">
        <v>2364</v>
      </c>
      <c r="L6" s="2934"/>
      <c r="M6" s="2935"/>
      <c r="N6" s="2935"/>
      <c r="O6" s="2935"/>
      <c r="P6" s="3332"/>
      <c r="Q6" s="3333"/>
      <c r="R6" s="3313"/>
      <c r="S6" s="3314"/>
      <c r="T6" s="3334"/>
      <c r="U6" s="3335"/>
      <c r="V6" s="3336"/>
      <c r="W6" s="3336"/>
      <c r="X6" s="1533"/>
      <c r="Y6" s="3334"/>
      <c r="Z6" s="3335"/>
      <c r="AA6" s="3308"/>
      <c r="AB6" s="3308"/>
      <c r="AC6" s="3308"/>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2070"/>
      <c r="L7" s="2936"/>
      <c r="M7" s="2937"/>
      <c r="N7" s="2937"/>
      <c r="O7" s="2937"/>
      <c r="P7" s="3309" t="s">
        <v>2366</v>
      </c>
      <c r="Q7" s="3337"/>
      <c r="R7" s="710" t="s">
        <v>23</v>
      </c>
      <c r="S7" s="711">
        <f t="shared" ref="S7:S15" si="0">F7</f>
        <v>0</v>
      </c>
      <c r="T7" s="710" t="s">
        <v>23</v>
      </c>
      <c r="U7" s="711">
        <f t="shared" ref="U7:U15" si="1">H7</f>
        <v>0</v>
      </c>
      <c r="V7" s="710" t="s">
        <v>23</v>
      </c>
      <c r="W7" s="711">
        <f t="shared" ref="W7:W15" si="2">J7</f>
        <v>0</v>
      </c>
      <c r="X7" s="712"/>
      <c r="Y7" s="3309" t="s">
        <v>2366</v>
      </c>
      <c r="Z7" s="3310"/>
      <c r="AA7" s="713" t="e">
        <f>D7/F7</f>
        <v>#DIV/0!</v>
      </c>
      <c r="AB7" s="713" t="e">
        <f>D7/H7</f>
        <v>#DIV/0!</v>
      </c>
      <c r="AC7" s="713" t="e">
        <f>D7/J7</f>
        <v>#DIV/0!</v>
      </c>
    </row>
    <row r="8" spans="1:29" s="113" customFormat="1" ht="15.75" thickBot="1">
      <c r="A8" s="368" t="s">
        <v>2367</v>
      </c>
      <c r="B8" s="369"/>
      <c r="C8" s="374" t="s">
        <v>2368</v>
      </c>
      <c r="D8" s="371">
        <v>100</v>
      </c>
      <c r="E8" s="2071"/>
      <c r="F8" s="373">
        <f>SUMIF(61:61,E8,62:62)-SUMIF(61:61,C8,62:62)+100</f>
        <v>0</v>
      </c>
      <c r="G8" s="374"/>
      <c r="H8" s="371">
        <f>SUMIF(61:61,G8,62:62)-SUMIF(61:61,C8,62:62)+100</f>
        <v>0</v>
      </c>
      <c r="I8" s="2071"/>
      <c r="J8" s="371">
        <f>SUMIF(61:61,I8,62:62)-SUMIF(61:61,C8,62:62)+100</f>
        <v>0</v>
      </c>
      <c r="K8" s="2070"/>
      <c r="L8" s="2936"/>
      <c r="M8" s="2937"/>
      <c r="N8" s="2937"/>
      <c r="O8" s="2937"/>
      <c r="P8" s="3309" t="s">
        <v>2369</v>
      </c>
      <c r="Q8" s="3310"/>
      <c r="R8" s="710" t="s">
        <v>23</v>
      </c>
      <c r="S8" s="711">
        <f t="shared" si="0"/>
        <v>0</v>
      </c>
      <c r="T8" s="710" t="s">
        <v>23</v>
      </c>
      <c r="U8" s="711">
        <f t="shared" si="1"/>
        <v>0</v>
      </c>
      <c r="V8" s="710" t="s">
        <v>23</v>
      </c>
      <c r="W8" s="711">
        <f t="shared" si="2"/>
        <v>0</v>
      </c>
      <c r="X8" s="712"/>
      <c r="Y8" s="3309" t="s">
        <v>2369</v>
      </c>
      <c r="Z8" s="3310"/>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0"/>
      <c r="L9" s="2936"/>
      <c r="M9" s="2937"/>
      <c r="N9" s="2937"/>
      <c r="O9" s="2937"/>
      <c r="P9" s="3347" t="s">
        <v>2372</v>
      </c>
      <c r="Q9" s="1521" t="str">
        <f t="shared" ref="Q9:Q15" si="6">B9</f>
        <v>用途</v>
      </c>
      <c r="R9" s="710" t="s">
        <v>17</v>
      </c>
      <c r="S9" s="711">
        <f t="shared" si="0"/>
        <v>100</v>
      </c>
      <c r="T9" s="710" t="s">
        <v>17</v>
      </c>
      <c r="U9" s="711">
        <f t="shared" si="1"/>
        <v>100</v>
      </c>
      <c r="V9" s="710" t="s">
        <v>17</v>
      </c>
      <c r="W9" s="711">
        <f t="shared" si="2"/>
        <v>100</v>
      </c>
      <c r="X9" s="712"/>
      <c r="Y9" s="328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47"/>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47"/>
      <c r="Q11" s="1521" t="str">
        <f t="shared" si="6"/>
        <v>容积率</v>
      </c>
      <c r="R11" s="710" t="s">
        <v>21</v>
      </c>
      <c r="S11" s="711" t="e">
        <f t="shared" si="0"/>
        <v>#N/A</v>
      </c>
      <c r="T11" s="710" t="s">
        <v>21</v>
      </c>
      <c r="U11" s="711" t="e">
        <f t="shared" si="1"/>
        <v>#N/A</v>
      </c>
      <c r="V11" s="710" t="s">
        <v>21</v>
      </c>
      <c r="W11" s="711" t="e">
        <f t="shared" si="2"/>
        <v>#N/A</v>
      </c>
      <c r="X11" s="712"/>
      <c r="Y11" s="3282"/>
      <c r="Z11" s="55" t="str">
        <f t="shared" si="7"/>
        <v>容积率</v>
      </c>
      <c r="AA11" s="713" t="e">
        <f t="shared" si="3"/>
        <v>#N/A</v>
      </c>
      <c r="AB11" s="713" t="e">
        <f t="shared" si="4"/>
        <v>#N/A</v>
      </c>
      <c r="AC11" s="713" t="e">
        <f t="shared" si="5"/>
        <v>#N/A</v>
      </c>
    </row>
    <row r="12" spans="1:29" s="113" customFormat="1" ht="15">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6"/>
      <c r="M12" s="2937"/>
      <c r="N12" s="2937"/>
      <c r="O12" s="2937"/>
      <c r="P12" s="3347"/>
      <c r="Q12" s="1521">
        <f t="shared" si="6"/>
        <v>111</v>
      </c>
      <c r="R12" s="710" t="s">
        <v>21</v>
      </c>
      <c r="S12" s="711">
        <f t="shared" si="0"/>
        <v>100</v>
      </c>
      <c r="T12" s="710" t="s">
        <v>21</v>
      </c>
      <c r="U12" s="711">
        <f t="shared" si="1"/>
        <v>100</v>
      </c>
      <c r="V12" s="710" t="s">
        <v>21</v>
      </c>
      <c r="W12" s="711">
        <f t="shared" si="2"/>
        <v>100</v>
      </c>
      <c r="X12" s="712"/>
      <c r="Y12" s="3282"/>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1"/>
      <c r="M13" s="2935"/>
      <c r="N13" s="2935"/>
      <c r="O13" s="2935"/>
      <c r="P13" s="3347"/>
      <c r="Q13" s="1521">
        <f t="shared" si="6"/>
        <v>111</v>
      </c>
      <c r="R13" s="710" t="s">
        <v>21</v>
      </c>
      <c r="S13" s="711">
        <f t="shared" si="0"/>
        <v>100</v>
      </c>
      <c r="T13" s="710" t="s">
        <v>21</v>
      </c>
      <c r="U13" s="711">
        <f t="shared" si="1"/>
        <v>100</v>
      </c>
      <c r="V13" s="710" t="s">
        <v>21</v>
      </c>
      <c r="W13" s="711">
        <f t="shared" si="2"/>
        <v>100</v>
      </c>
      <c r="X13" s="712"/>
      <c r="Y13" s="3282"/>
      <c r="Z13" s="55">
        <f t="shared" si="7"/>
        <v>111</v>
      </c>
      <c r="AA13" s="713">
        <f t="shared" si="3"/>
        <v>1</v>
      </c>
      <c r="AB13" s="713">
        <f t="shared" si="4"/>
        <v>1</v>
      </c>
      <c r="AC13" s="713">
        <f t="shared" si="5"/>
        <v>1</v>
      </c>
    </row>
    <row r="14" spans="1:29" ht="15.75"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1"/>
      <c r="M14" s="2935"/>
      <c r="N14" s="2935"/>
      <c r="O14" s="2935"/>
      <c r="P14" s="3347"/>
      <c r="Q14" s="1521">
        <f t="shared" si="6"/>
        <v>111</v>
      </c>
      <c r="R14" s="710" t="s">
        <v>21</v>
      </c>
      <c r="S14" s="711">
        <f t="shared" si="0"/>
        <v>100</v>
      </c>
      <c r="T14" s="710" t="s">
        <v>21</v>
      </c>
      <c r="U14" s="711">
        <f t="shared" si="1"/>
        <v>100</v>
      </c>
      <c r="V14" s="710" t="s">
        <v>21</v>
      </c>
      <c r="W14" s="711">
        <f t="shared" si="2"/>
        <v>100</v>
      </c>
      <c r="X14" s="712"/>
      <c r="Y14" s="3282"/>
      <c r="Z14" s="55">
        <f t="shared" si="7"/>
        <v>111</v>
      </c>
      <c r="AA14" s="713">
        <f t="shared" si="3"/>
        <v>1</v>
      </c>
      <c r="AB14" s="713">
        <f t="shared" si="4"/>
        <v>1</v>
      </c>
      <c r="AC14" s="713">
        <f t="shared" si="5"/>
        <v>1</v>
      </c>
    </row>
    <row r="15" spans="1:29" ht="15">
      <c r="A15" s="399" t="s">
        <v>2376</v>
      </c>
      <c r="B15" s="65" t="s">
        <v>1941</v>
      </c>
      <c r="C15" s="2075">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20" t="s">
        <v>2377</v>
      </c>
      <c r="Q15" s="1530" t="str">
        <f t="shared" si="6"/>
        <v>居住社区成熟度</v>
      </c>
      <c r="R15" s="714" t="s">
        <v>21</v>
      </c>
      <c r="S15" s="715">
        <f t="shared" si="0"/>
        <v>100</v>
      </c>
      <c r="T15" s="714" t="s">
        <v>21</v>
      </c>
      <c r="U15" s="715">
        <f t="shared" si="1"/>
        <v>100</v>
      </c>
      <c r="V15" s="714" t="s">
        <v>21</v>
      </c>
      <c r="W15" s="715">
        <f t="shared" si="2"/>
        <v>100</v>
      </c>
      <c r="X15" s="1533"/>
      <c r="Y15" s="3338" t="s">
        <v>2377</v>
      </c>
      <c r="Z15" s="1534" t="str">
        <f t="shared" si="7"/>
        <v>居住社区成熟度</v>
      </c>
      <c r="AA15" s="1531">
        <f t="shared" si="3"/>
        <v>1</v>
      </c>
      <c r="AB15" s="1531">
        <f t="shared" si="4"/>
        <v>1</v>
      </c>
      <c r="AC15" s="1531">
        <f t="shared" si="5"/>
        <v>1</v>
      </c>
    </row>
    <row r="16" spans="1:29" ht="15">
      <c r="A16" s="387"/>
      <c r="B16" s="405"/>
      <c r="C16" s="406"/>
      <c r="D16" s="407"/>
      <c r="E16" s="2076"/>
      <c r="F16" s="407"/>
      <c r="G16" s="2077"/>
      <c r="H16" s="409"/>
      <c r="I16" s="2077"/>
      <c r="J16" s="407"/>
      <c r="K16" s="2078"/>
      <c r="L16" s="2941"/>
      <c r="M16" s="2935"/>
      <c r="N16" s="2935"/>
      <c r="O16" s="2935"/>
      <c r="P16" s="3421"/>
      <c r="Q16" s="1530"/>
      <c r="R16" s="714"/>
      <c r="S16" s="715"/>
      <c r="T16" s="714"/>
      <c r="U16" s="715"/>
      <c r="V16" s="714"/>
      <c r="W16" s="715"/>
      <c r="X16" s="1533"/>
      <c r="Y16" s="3339"/>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21"/>
      <c r="Q17" s="1530" t="str">
        <f>B17</f>
        <v>交通便捷度</v>
      </c>
      <c r="R17" s="714" t="s">
        <v>21</v>
      </c>
      <c r="S17" s="715">
        <f>F17</f>
        <v>100</v>
      </c>
      <c r="T17" s="714" t="s">
        <v>21</v>
      </c>
      <c r="U17" s="715">
        <f>H17</f>
        <v>100</v>
      </c>
      <c r="V17" s="714" t="s">
        <v>21</v>
      </c>
      <c r="W17" s="715">
        <f>J17</f>
        <v>100</v>
      </c>
      <c r="X17" s="1533"/>
      <c r="Y17" s="3339"/>
      <c r="Z17" s="1534" t="str">
        <f>Q17</f>
        <v>交通便捷度</v>
      </c>
      <c r="AA17" s="1531">
        <f t="shared" si="3"/>
        <v>1</v>
      </c>
      <c r="AB17" s="1531">
        <f t="shared" si="4"/>
        <v>1</v>
      </c>
      <c r="AC17" s="1531">
        <f t="shared" si="5"/>
        <v>1</v>
      </c>
    </row>
    <row r="18" spans="1:29" ht="15">
      <c r="A18" s="387"/>
      <c r="B18" s="415"/>
      <c r="C18" s="2080"/>
      <c r="D18" s="409"/>
      <c r="E18" s="2081"/>
      <c r="F18" s="409"/>
      <c r="G18" s="2082"/>
      <c r="H18" s="407"/>
      <c r="I18" s="2082"/>
      <c r="J18" s="407"/>
      <c r="K18" s="2078"/>
      <c r="L18" s="2941"/>
      <c r="M18" s="2935"/>
      <c r="N18" s="2935"/>
      <c r="O18" s="2935"/>
      <c r="P18" s="3421"/>
      <c r="Q18" s="1530"/>
      <c r="R18" s="714"/>
      <c r="S18" s="715"/>
      <c r="T18" s="714"/>
      <c r="U18" s="715"/>
      <c r="V18" s="714"/>
      <c r="W18" s="715"/>
      <c r="X18" s="1533"/>
      <c r="Y18" s="3339"/>
      <c r="Z18" s="1534"/>
      <c r="AA18" s="1531">
        <v>1</v>
      </c>
      <c r="AB18" s="1531">
        <v>1</v>
      </c>
      <c r="AC18" s="1531">
        <v>1</v>
      </c>
    </row>
    <row r="19" spans="1:29" ht="42.75">
      <c r="A19" s="387"/>
      <c r="B19" s="410" t="s">
        <v>1942</v>
      </c>
      <c r="C19" s="2079"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21"/>
      <c r="Q19" s="1530" t="str">
        <f>B19</f>
        <v>公共配套设施</v>
      </c>
      <c r="R19" s="714" t="s">
        <v>21</v>
      </c>
      <c r="S19" s="715">
        <f>F19</f>
        <v>100</v>
      </c>
      <c r="T19" s="714" t="s">
        <v>21</v>
      </c>
      <c r="U19" s="715">
        <f>H19</f>
        <v>100</v>
      </c>
      <c r="V19" s="714" t="s">
        <v>21</v>
      </c>
      <c r="W19" s="715">
        <f>J19</f>
        <v>100</v>
      </c>
      <c r="X19" s="1533"/>
      <c r="Y19" s="3339"/>
      <c r="Z19" s="1534" t="str">
        <f>Q19</f>
        <v>公共配套设施</v>
      </c>
      <c r="AA19" s="1531">
        <f t="shared" si="3"/>
        <v>1</v>
      </c>
      <c r="AB19" s="1531">
        <f t="shared" si="4"/>
        <v>1</v>
      </c>
      <c r="AC19" s="1531">
        <f t="shared" si="5"/>
        <v>1</v>
      </c>
    </row>
    <row r="20" spans="1:29" ht="15">
      <c r="A20" s="387"/>
      <c r="B20" s="415"/>
      <c r="C20" s="406"/>
      <c r="D20" s="407"/>
      <c r="E20" s="2076"/>
      <c r="F20" s="407"/>
      <c r="G20" s="2077"/>
      <c r="H20" s="407"/>
      <c r="I20" s="2077"/>
      <c r="J20" s="407"/>
      <c r="K20" s="2078"/>
      <c r="L20" s="2941"/>
      <c r="M20" s="2935"/>
      <c r="N20" s="2935"/>
      <c r="O20" s="2935"/>
      <c r="P20" s="3421"/>
      <c r="Q20" s="1530"/>
      <c r="R20" s="714"/>
      <c r="S20" s="715"/>
      <c r="T20" s="714"/>
      <c r="U20" s="715"/>
      <c r="V20" s="714"/>
      <c r="W20" s="715"/>
      <c r="X20" s="1533"/>
      <c r="Y20" s="3339"/>
      <c r="Z20" s="1534"/>
      <c r="AA20" s="1531">
        <v>1</v>
      </c>
      <c r="AB20" s="1531">
        <v>1</v>
      </c>
      <c r="AC20" s="1531">
        <v>1</v>
      </c>
    </row>
    <row r="21" spans="1:29" ht="42.75">
      <c r="A21" s="387"/>
      <c r="B21" s="1287" t="s">
        <v>1944</v>
      </c>
      <c r="C21" s="2079"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21"/>
      <c r="Q21" s="1530" t="str">
        <f>B21</f>
        <v>基础设施水平</v>
      </c>
      <c r="R21" s="714" t="s">
        <v>17</v>
      </c>
      <c r="S21" s="715">
        <f>F21</f>
        <v>100</v>
      </c>
      <c r="T21" s="714" t="s">
        <v>17</v>
      </c>
      <c r="U21" s="715">
        <f>H21</f>
        <v>100</v>
      </c>
      <c r="V21" s="714" t="s">
        <v>17</v>
      </c>
      <c r="W21" s="715">
        <f>J21</f>
        <v>100</v>
      </c>
      <c r="X21" s="1533"/>
      <c r="Y21" s="333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7"/>
      <c r="G22" s="2083"/>
      <c r="H22" s="407"/>
      <c r="I22" s="406"/>
      <c r="J22" s="407"/>
      <c r="K22" s="2084"/>
      <c r="L22" s="2941"/>
      <c r="M22" s="2935"/>
      <c r="N22" s="2935"/>
      <c r="O22" s="2935"/>
      <c r="P22" s="3421"/>
      <c r="Q22" s="1530"/>
      <c r="R22" s="714"/>
      <c r="S22" s="715"/>
      <c r="T22" s="714"/>
      <c r="U22" s="715"/>
      <c r="V22" s="714"/>
      <c r="W22" s="715"/>
      <c r="X22" s="1533"/>
      <c r="Y22" s="3339"/>
      <c r="Z22" s="1534"/>
      <c r="AA22" s="1531">
        <v>1</v>
      </c>
      <c r="AB22" s="1531">
        <v>1</v>
      </c>
      <c r="AC22" s="1531">
        <v>1</v>
      </c>
    </row>
    <row r="23" spans="1:29" ht="99.75">
      <c r="A23" s="387"/>
      <c r="B23" s="410" t="s">
        <v>1945</v>
      </c>
      <c r="C23" s="2079" t="str">
        <f>估价对象房地状况!C9</f>
        <v>区域自然环境：科丰公园、丰台科技生态公园；人文环境：汽车博物馆、首经贸大曦；综合评价环境状况较好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21"/>
      <c r="Q23" s="1530" t="str">
        <f>B23</f>
        <v>自然及人文环境</v>
      </c>
      <c r="R23" s="714" t="s">
        <v>21</v>
      </c>
      <c r="S23" s="715">
        <f>F23</f>
        <v>100</v>
      </c>
      <c r="T23" s="714" t="s">
        <v>21</v>
      </c>
      <c r="U23" s="715">
        <f>H23</f>
        <v>100</v>
      </c>
      <c r="V23" s="714" t="s">
        <v>21</v>
      </c>
      <c r="W23" s="715">
        <f>J23</f>
        <v>100</v>
      </c>
      <c r="X23" s="1533"/>
      <c r="Y23" s="3339"/>
      <c r="Z23" s="1534" t="str">
        <f>Q23</f>
        <v>自然及人文环境</v>
      </c>
      <c r="AA23" s="1531">
        <f>D23/F23</f>
        <v>1</v>
      </c>
      <c r="AB23" s="1531">
        <f>D23/H23</f>
        <v>1</v>
      </c>
      <c r="AC23" s="1531">
        <f>D23/J23</f>
        <v>1</v>
      </c>
    </row>
    <row r="24" spans="1:29" ht="15">
      <c r="A24" s="387"/>
      <c r="B24" s="415"/>
      <c r="C24" s="406"/>
      <c r="D24" s="407"/>
      <c r="E24" s="2076"/>
      <c r="F24" s="407"/>
      <c r="G24" s="2077"/>
      <c r="H24" s="407"/>
      <c r="I24" s="2077"/>
      <c r="J24" s="407"/>
      <c r="K24" s="2078"/>
      <c r="L24" s="2941"/>
      <c r="M24" s="2935"/>
      <c r="N24" s="2935"/>
      <c r="O24" s="2935"/>
      <c r="P24" s="3421"/>
      <c r="Q24" s="1530"/>
      <c r="R24" s="714"/>
      <c r="S24" s="715"/>
      <c r="T24" s="714"/>
      <c r="U24" s="715"/>
      <c r="V24" s="714"/>
      <c r="W24" s="715"/>
      <c r="X24" s="1533"/>
      <c r="Y24" s="3339"/>
      <c r="Z24" s="1534"/>
      <c r="AA24" s="1531">
        <v>1</v>
      </c>
      <c r="AB24" s="1531">
        <v>1</v>
      </c>
      <c r="AC24" s="1531">
        <v>1</v>
      </c>
    </row>
    <row r="25" spans="1:29" ht="15">
      <c r="A25" s="387"/>
      <c r="B25" s="381" t="s">
        <v>2378</v>
      </c>
      <c r="C25" s="419"/>
      <c r="D25" s="394">
        <v>100</v>
      </c>
      <c r="E25" s="2085"/>
      <c r="F25" s="394">
        <f>SUMIF(86:86,E25,87:87)-SUMIF(86:86,C25,87:87)+100</f>
        <v>100</v>
      </c>
      <c r="G25" s="2086"/>
      <c r="H25" s="394">
        <f>SUMIF(86:86,G25,87:87)-SUMIF(86:86,C25,87:87)+100</f>
        <v>100</v>
      </c>
      <c r="I25" s="2086"/>
      <c r="J25" s="394">
        <f>SUMIF(86:86,I25,87:87)-SUMIF(86:86,C25,87:87)+100</f>
        <v>100</v>
      </c>
      <c r="K25" s="385"/>
      <c r="L25" s="2941"/>
      <c r="M25" s="2935"/>
      <c r="N25" s="2935"/>
      <c r="O25" s="2935"/>
      <c r="P25" s="3421"/>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339"/>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5"/>
      <c r="F26" s="394">
        <f>SUMIF(88:88,E26,89:89)-SUMIF(88:88,C26,89:89)+100</f>
        <v>100</v>
      </c>
      <c r="G26" s="2086"/>
      <c r="H26" s="394">
        <f>SUMIF(88:88,G26,89:89)-SUMIF(88:88,C26,89:89)+100</f>
        <v>100</v>
      </c>
      <c r="I26" s="2086"/>
      <c r="J26" s="394">
        <f>SUMIF(88:88,I26,89:89)-SUMIF(88:88,C26,89:89)+100</f>
        <v>100</v>
      </c>
      <c r="K26" s="385"/>
      <c r="L26" s="2941"/>
      <c r="M26" s="2935"/>
      <c r="N26" s="2935"/>
      <c r="O26" s="2935"/>
      <c r="P26" s="3421"/>
      <c r="Q26" s="1530" t="str">
        <f t="shared" si="11"/>
        <v>朝向</v>
      </c>
      <c r="R26" s="714" t="s">
        <v>21</v>
      </c>
      <c r="S26" s="715">
        <f t="shared" si="12"/>
        <v>100</v>
      </c>
      <c r="T26" s="714" t="s">
        <v>21</v>
      </c>
      <c r="U26" s="715">
        <f t="shared" si="13"/>
        <v>100</v>
      </c>
      <c r="V26" s="714" t="s">
        <v>21</v>
      </c>
      <c r="W26" s="715">
        <f t="shared" si="14"/>
        <v>100</v>
      </c>
      <c r="X26" s="1533"/>
      <c r="Y26" s="3339"/>
      <c r="Z26" s="1534" t="str">
        <f>Q26</f>
        <v>朝向</v>
      </c>
      <c r="AA26" s="1531">
        <f t="shared" si="15"/>
        <v>1</v>
      </c>
      <c r="AB26" s="1531">
        <f t="shared" si="16"/>
        <v>1</v>
      </c>
      <c r="AC26" s="1531">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3"/>
      <c r="L27" s="2936"/>
      <c r="M27" s="2937"/>
      <c r="N27" s="2937"/>
      <c r="O27" s="2937"/>
      <c r="P27" s="3421"/>
      <c r="Q27" s="1521">
        <f t="shared" si="11"/>
        <v>111</v>
      </c>
      <c r="R27" s="710" t="s">
        <v>21</v>
      </c>
      <c r="S27" s="711">
        <f t="shared" si="12"/>
        <v>100</v>
      </c>
      <c r="T27" s="710" t="s">
        <v>21</v>
      </c>
      <c r="U27" s="711">
        <f t="shared" si="13"/>
        <v>100</v>
      </c>
      <c r="V27" s="710" t="s">
        <v>21</v>
      </c>
      <c r="W27" s="711">
        <f t="shared" si="14"/>
        <v>100</v>
      </c>
      <c r="X27" s="712"/>
      <c r="Y27" s="3339"/>
      <c r="Z27" s="55">
        <f>Q27</f>
        <v>111</v>
      </c>
      <c r="AA27" s="1531">
        <f t="shared" si="15"/>
        <v>1</v>
      </c>
      <c r="AB27" s="1531">
        <f t="shared" si="16"/>
        <v>1</v>
      </c>
      <c r="AC27" s="1531">
        <f t="shared" si="17"/>
        <v>1</v>
      </c>
    </row>
    <row r="28" spans="1:29" ht="15">
      <c r="A28" s="387"/>
      <c r="B28" s="1289">
        <v>111</v>
      </c>
      <c r="C28" s="393"/>
      <c r="D28" s="394">
        <v>100</v>
      </c>
      <c r="E28" s="393"/>
      <c r="F28" s="394">
        <f>SUMIF(92:92,E28,93:93)-SUMIF(92:92,C28,93:93)+100</f>
        <v>100</v>
      </c>
      <c r="G28" s="2087"/>
      <c r="H28" s="394">
        <f>SUMIF(92:92,G28,93:93)-SUMIF(92:92,C28,93:93)+100</f>
        <v>100</v>
      </c>
      <c r="I28" s="393"/>
      <c r="J28" s="394">
        <f>SUMIF(92:92,I28,93:93)-SUMIF(92:92,C28,93:93)+100</f>
        <v>100</v>
      </c>
      <c r="K28" s="2073"/>
      <c r="L28" s="2941"/>
      <c r="M28" s="2935"/>
      <c r="N28" s="2935"/>
      <c r="O28" s="2935"/>
      <c r="P28" s="3421"/>
      <c r="Q28" s="1530">
        <f t="shared" si="11"/>
        <v>111</v>
      </c>
      <c r="R28" s="714" t="s">
        <v>21</v>
      </c>
      <c r="S28" s="715">
        <f t="shared" si="12"/>
        <v>100</v>
      </c>
      <c r="T28" s="714" t="s">
        <v>21</v>
      </c>
      <c r="U28" s="715">
        <f t="shared" si="13"/>
        <v>100</v>
      </c>
      <c r="V28" s="714" t="s">
        <v>21</v>
      </c>
      <c r="W28" s="715">
        <f t="shared" si="14"/>
        <v>100</v>
      </c>
      <c r="X28" s="1533"/>
      <c r="Y28" s="3339"/>
      <c r="Z28" s="1534">
        <f t="shared" ref="Z28:Z46" si="18">Q28</f>
        <v>111</v>
      </c>
      <c r="AA28" s="1531">
        <f t="shared" si="15"/>
        <v>1</v>
      </c>
      <c r="AB28" s="1531">
        <f t="shared" si="16"/>
        <v>1</v>
      </c>
      <c r="AC28" s="1531">
        <f t="shared" si="17"/>
        <v>1</v>
      </c>
    </row>
    <row r="29" spans="1:29" ht="15">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1"/>
      <c r="M29" s="2935"/>
      <c r="N29" s="2935"/>
      <c r="O29" s="2935"/>
      <c r="P29" s="3421"/>
      <c r="Q29" s="1530">
        <f t="shared" si="11"/>
        <v>111</v>
      </c>
      <c r="R29" s="714" t="s">
        <v>21</v>
      </c>
      <c r="S29" s="715">
        <f t="shared" si="12"/>
        <v>100</v>
      </c>
      <c r="T29" s="714" t="s">
        <v>21</v>
      </c>
      <c r="U29" s="715">
        <f t="shared" si="13"/>
        <v>100</v>
      </c>
      <c r="V29" s="714" t="s">
        <v>21</v>
      </c>
      <c r="W29" s="715">
        <f t="shared" si="14"/>
        <v>100</v>
      </c>
      <c r="X29" s="1533"/>
      <c r="Y29" s="3339"/>
      <c r="Z29" s="1534">
        <f t="shared" si="18"/>
        <v>111</v>
      </c>
      <c r="AA29" s="1531">
        <f t="shared" si="15"/>
        <v>1</v>
      </c>
      <c r="AB29" s="1531">
        <f t="shared" si="16"/>
        <v>1</v>
      </c>
      <c r="AC29" s="1531">
        <f t="shared" si="17"/>
        <v>1</v>
      </c>
    </row>
    <row r="30" spans="1:29" ht="15">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1"/>
      <c r="M30" s="2935"/>
      <c r="N30" s="2935"/>
      <c r="O30" s="2935"/>
      <c r="P30" s="3421"/>
      <c r="Q30" s="1530">
        <f t="shared" si="11"/>
        <v>111</v>
      </c>
      <c r="R30" s="714" t="s">
        <v>21</v>
      </c>
      <c r="S30" s="715">
        <f t="shared" si="12"/>
        <v>100</v>
      </c>
      <c r="T30" s="714" t="s">
        <v>21</v>
      </c>
      <c r="U30" s="715">
        <f t="shared" si="13"/>
        <v>100</v>
      </c>
      <c r="V30" s="714" t="s">
        <v>21</v>
      </c>
      <c r="W30" s="715">
        <f t="shared" si="14"/>
        <v>100</v>
      </c>
      <c r="X30" s="1533"/>
      <c r="Y30" s="3339"/>
      <c r="Z30" s="1534">
        <f t="shared" si="18"/>
        <v>111</v>
      </c>
      <c r="AA30" s="1531">
        <f t="shared" si="15"/>
        <v>1</v>
      </c>
      <c r="AB30" s="1531">
        <f t="shared" si="16"/>
        <v>1</v>
      </c>
      <c r="AC30" s="1531">
        <f t="shared" si="17"/>
        <v>1</v>
      </c>
    </row>
    <row r="31" spans="1:29" ht="15.75"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1"/>
      <c r="M31" s="2935"/>
      <c r="N31" s="2935"/>
      <c r="O31" s="2935"/>
      <c r="P31" s="3421"/>
      <c r="Q31" s="1530">
        <f t="shared" si="11"/>
        <v>111</v>
      </c>
      <c r="R31" s="714" t="s">
        <v>21</v>
      </c>
      <c r="S31" s="715">
        <f t="shared" si="12"/>
        <v>100</v>
      </c>
      <c r="T31" s="714" t="s">
        <v>21</v>
      </c>
      <c r="U31" s="715">
        <f t="shared" si="13"/>
        <v>100</v>
      </c>
      <c r="V31" s="714" t="s">
        <v>21</v>
      </c>
      <c r="W31" s="715">
        <f t="shared" si="14"/>
        <v>100</v>
      </c>
      <c r="X31" s="1533"/>
      <c r="Y31" s="3339"/>
      <c r="Z31" s="1534">
        <f t="shared" si="18"/>
        <v>111</v>
      </c>
      <c r="AA31" s="1531">
        <f t="shared" si="15"/>
        <v>1</v>
      </c>
      <c r="AB31" s="1531">
        <f t="shared" si="16"/>
        <v>1</v>
      </c>
      <c r="AC31" s="1531">
        <f t="shared" si="17"/>
        <v>1</v>
      </c>
    </row>
    <row r="32" spans="1:29" ht="15">
      <c r="A32" s="399" t="s">
        <v>2380</v>
      </c>
      <c r="B32" s="67" t="s">
        <v>2381</v>
      </c>
      <c r="C32" s="2089"/>
      <c r="D32" s="426">
        <v>100</v>
      </c>
      <c r="E32" s="2090"/>
      <c r="F32" s="420">
        <f>SUMIF(100:100,E32,101:101)-SUMIF(100:100,C32,101:101)+100</f>
        <v>100</v>
      </c>
      <c r="G32" s="2089"/>
      <c r="H32" s="426">
        <f>SUMIF(100:100,G32,101:101)-SUMIF(100:100,C32,101:101)+100</f>
        <v>100</v>
      </c>
      <c r="I32" s="2090"/>
      <c r="J32" s="394">
        <f>SUMIF(100:100,I32,101:101)-SUMIF(100:100,C32,101:101)+100</f>
        <v>100</v>
      </c>
      <c r="K32" s="385"/>
      <c r="L32" s="2941"/>
      <c r="M32" s="2935"/>
      <c r="N32" s="2935"/>
      <c r="O32" s="2935"/>
      <c r="P32" s="3416" t="s">
        <v>2382</v>
      </c>
      <c r="Q32" s="1530" t="str">
        <f t="shared" si="11"/>
        <v>建筑类型</v>
      </c>
      <c r="R32" s="714" t="s">
        <v>21</v>
      </c>
      <c r="S32" s="715">
        <f t="shared" si="12"/>
        <v>100</v>
      </c>
      <c r="T32" s="714" t="s">
        <v>21</v>
      </c>
      <c r="U32" s="715">
        <f t="shared" si="13"/>
        <v>100</v>
      </c>
      <c r="V32" s="714" t="s">
        <v>21</v>
      </c>
      <c r="W32" s="715">
        <f t="shared" si="14"/>
        <v>100</v>
      </c>
      <c r="X32" s="1533"/>
      <c r="Y32" s="3341"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3"/>
      <c r="L33" s="2940"/>
      <c r="M33" s="2942"/>
      <c r="N33" s="2942"/>
      <c r="O33" s="2942"/>
      <c r="P33" s="3417"/>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1" t="e">
        <f t="shared" si="15"/>
        <v>#N/A</v>
      </c>
      <c r="AB33" s="1531" t="e">
        <f t="shared" si="16"/>
        <v>#N/A</v>
      </c>
      <c r="AC33" s="1531" t="e">
        <f t="shared" si="17"/>
        <v>#N/A</v>
      </c>
    </row>
    <row r="34" spans="1:29" ht="15">
      <c r="A34" s="431"/>
      <c r="B34" s="381" t="s">
        <v>2384</v>
      </c>
      <c r="C34" s="2091"/>
      <c r="D34" s="394">
        <v>100</v>
      </c>
      <c r="E34" s="2092"/>
      <c r="F34" s="420">
        <f>SUMIF(105:105,E34,106:106)-SUMIF(105:105,C34,106:106)+100</f>
        <v>100</v>
      </c>
      <c r="G34" s="2091"/>
      <c r="H34" s="394">
        <f>SUMIF(105:105,G34,106:106)-SUMIF(105:105,C34,106:106)+100</f>
        <v>100</v>
      </c>
      <c r="I34" s="2092"/>
      <c r="J34" s="394">
        <f>SUMIF(105:105,I34,106:106)-SUMIF(105:105,C34,106:106)+100</f>
        <v>100</v>
      </c>
      <c r="K34" s="385"/>
      <c r="L34" s="2941"/>
      <c r="M34" s="2935"/>
      <c r="N34" s="2935"/>
      <c r="O34" s="2935"/>
      <c r="P34" s="3417"/>
      <c r="Q34" s="1530" t="str">
        <f t="shared" si="11"/>
        <v>建筑结构</v>
      </c>
      <c r="R34" s="714" t="s">
        <v>21</v>
      </c>
      <c r="S34" s="715">
        <f t="shared" si="12"/>
        <v>100</v>
      </c>
      <c r="T34" s="714" t="s">
        <v>21</v>
      </c>
      <c r="U34" s="715">
        <f t="shared" si="13"/>
        <v>100</v>
      </c>
      <c r="V34" s="714" t="s">
        <v>21</v>
      </c>
      <c r="W34" s="715">
        <f t="shared" si="14"/>
        <v>100</v>
      </c>
      <c r="X34" s="1533"/>
      <c r="Y34" s="3341"/>
      <c r="Z34" s="1534" t="str">
        <f t="shared" si="18"/>
        <v>建筑结构</v>
      </c>
      <c r="AA34" s="1531">
        <f t="shared" si="15"/>
        <v>1</v>
      </c>
      <c r="AB34" s="1531">
        <f t="shared" si="16"/>
        <v>1</v>
      </c>
      <c r="AC34" s="1531">
        <f t="shared" si="17"/>
        <v>1</v>
      </c>
    </row>
    <row r="35" spans="1:29" ht="15">
      <c r="A35" s="431"/>
      <c r="B35" s="381" t="s">
        <v>2385</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1"/>
      <c r="M35" s="2935"/>
      <c r="N35" s="2935"/>
      <c r="O35" s="2935"/>
      <c r="P35" s="3417"/>
      <c r="Q35" s="1530" t="str">
        <f t="shared" si="11"/>
        <v>建筑品质</v>
      </c>
      <c r="R35" s="714" t="s">
        <v>21</v>
      </c>
      <c r="S35" s="715">
        <f t="shared" si="12"/>
        <v>100</v>
      </c>
      <c r="T35" s="714" t="s">
        <v>21</v>
      </c>
      <c r="U35" s="715">
        <f t="shared" si="13"/>
        <v>100</v>
      </c>
      <c r="V35" s="714" t="s">
        <v>21</v>
      </c>
      <c r="W35" s="715">
        <f t="shared" si="14"/>
        <v>100</v>
      </c>
      <c r="X35" s="1533"/>
      <c r="Y35" s="3341"/>
      <c r="Z35" s="1534" t="str">
        <f t="shared" si="18"/>
        <v>建筑品质</v>
      </c>
      <c r="AA35" s="1531">
        <f t="shared" si="15"/>
        <v>1</v>
      </c>
      <c r="AB35" s="1531">
        <f t="shared" si="16"/>
        <v>1</v>
      </c>
      <c r="AC35" s="1531">
        <f t="shared" si="17"/>
        <v>1</v>
      </c>
    </row>
    <row r="36" spans="1:29" ht="15">
      <c r="A36" s="431"/>
      <c r="B36" s="381" t="s">
        <v>2386</v>
      </c>
      <c r="C36" s="2085"/>
      <c r="D36" s="394">
        <v>100</v>
      </c>
      <c r="E36" s="2086"/>
      <c r="F36" s="420">
        <f>SUMIF(109:109,E36,110:110)-SUMIF(109:109,C36,110:110)+100</f>
        <v>100</v>
      </c>
      <c r="G36" s="2085"/>
      <c r="H36" s="394">
        <f>SUMIF(109:109,G36,110:110)-SUMIF(109:109,C36,110:110)+100</f>
        <v>100</v>
      </c>
      <c r="I36" s="2086"/>
      <c r="J36" s="394">
        <f>SUMIF(109:109,I36,110:110)-SUMIF(109:109,C36,110:110)+100</f>
        <v>100</v>
      </c>
      <c r="K36" s="385"/>
      <c r="L36" s="2941"/>
      <c r="M36" s="2935"/>
      <c r="N36" s="2935"/>
      <c r="O36" s="2935"/>
      <c r="P36" s="3417"/>
      <c r="Q36" s="1530" t="str">
        <f t="shared" si="11"/>
        <v>公共部分装修</v>
      </c>
      <c r="R36" s="714" t="s">
        <v>21</v>
      </c>
      <c r="S36" s="715">
        <f t="shared" si="12"/>
        <v>100</v>
      </c>
      <c r="T36" s="714" t="s">
        <v>21</v>
      </c>
      <c r="U36" s="715">
        <f t="shared" si="13"/>
        <v>100</v>
      </c>
      <c r="V36" s="714" t="s">
        <v>21</v>
      </c>
      <c r="W36" s="715">
        <f t="shared" si="14"/>
        <v>100</v>
      </c>
      <c r="X36" s="1533"/>
      <c r="Y36" s="3341"/>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417"/>
      <c r="Q37" s="1521"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2388</v>
      </c>
      <c r="C38" s="2085"/>
      <c r="D38" s="394">
        <v>100</v>
      </c>
      <c r="E38" s="2086"/>
      <c r="F38" s="420">
        <f>SUMIF(114:114,E38,115:115)-SUMIF(114:114,C38,115:115)+100</f>
        <v>100</v>
      </c>
      <c r="G38" s="2085"/>
      <c r="H38" s="394">
        <f>SUMIF(114:114,G38,115:115)-SUMIF(114:114,C38,115:115)+100</f>
        <v>100</v>
      </c>
      <c r="I38" s="2086"/>
      <c r="J38" s="394">
        <f>SUMIF(114:114,I38,115:115)-SUMIF(114:114,C38,115:115)+100</f>
        <v>100</v>
      </c>
      <c r="K38" s="385"/>
      <c r="L38" s="2941"/>
      <c r="M38" s="2935"/>
      <c r="N38" s="2935"/>
      <c r="O38" s="2935"/>
      <c r="P38" s="3417" t="s">
        <v>2382</v>
      </c>
      <c r="Q38" s="1530" t="str">
        <f t="shared" si="11"/>
        <v>物业管理</v>
      </c>
      <c r="R38" s="714" t="s">
        <v>21</v>
      </c>
      <c r="S38" s="715">
        <f t="shared" si="12"/>
        <v>100</v>
      </c>
      <c r="T38" s="714" t="s">
        <v>21</v>
      </c>
      <c r="U38" s="715">
        <f t="shared" si="13"/>
        <v>100</v>
      </c>
      <c r="V38" s="714" t="s">
        <v>21</v>
      </c>
      <c r="W38" s="715">
        <f t="shared" si="14"/>
        <v>100</v>
      </c>
      <c r="X38" s="1533"/>
      <c r="Y38" s="3341" t="s">
        <v>2382</v>
      </c>
      <c r="Z38" s="1534" t="str">
        <f t="shared" si="18"/>
        <v>物业管理</v>
      </c>
      <c r="AA38" s="1531">
        <f t="shared" si="15"/>
        <v>1</v>
      </c>
      <c r="AB38" s="1531">
        <f t="shared" si="16"/>
        <v>1</v>
      </c>
      <c r="AC38" s="1531">
        <f t="shared" si="17"/>
        <v>1</v>
      </c>
    </row>
    <row r="39" spans="1:29" ht="15">
      <c r="A39" s="431"/>
      <c r="B39" s="381" t="s">
        <v>2389</v>
      </c>
      <c r="C39" s="2085"/>
      <c r="D39" s="394">
        <v>100</v>
      </c>
      <c r="E39" s="2086"/>
      <c r="F39" s="420">
        <f>SUMIF(116:116,E39,117:117)-SUMIF(116:116,C39,117:117)+100</f>
        <v>100</v>
      </c>
      <c r="G39" s="2085"/>
      <c r="H39" s="394">
        <f>SUMIF(116:116,G39,117:117)-SUMIF(116:116,C39,117:117)+100</f>
        <v>100</v>
      </c>
      <c r="I39" s="2086"/>
      <c r="J39" s="394">
        <f>SUMIF(116:116,I39,117:117)-SUMIF(116:116,C39,117:117)+100</f>
        <v>100</v>
      </c>
      <c r="K39" s="385"/>
      <c r="L39" s="2941"/>
      <c r="M39" s="2935"/>
      <c r="N39" s="2935"/>
      <c r="O39" s="2935"/>
      <c r="P39" s="3417"/>
      <c r="Q39" s="1530" t="str">
        <f t="shared" si="11"/>
        <v>市政基础设施</v>
      </c>
      <c r="R39" s="714" t="s">
        <v>21</v>
      </c>
      <c r="S39" s="715">
        <f t="shared" si="12"/>
        <v>100</v>
      </c>
      <c r="T39" s="714" t="s">
        <v>21</v>
      </c>
      <c r="U39" s="715">
        <f t="shared" si="13"/>
        <v>100</v>
      </c>
      <c r="V39" s="714" t="s">
        <v>21</v>
      </c>
      <c r="W39" s="715">
        <f t="shared" si="14"/>
        <v>100</v>
      </c>
      <c r="X39" s="1533"/>
      <c r="Y39" s="3341"/>
      <c r="Z39" s="1534" t="str">
        <f t="shared" si="18"/>
        <v>市政基础设施</v>
      </c>
      <c r="AA39" s="1531">
        <f t="shared" si="15"/>
        <v>1</v>
      </c>
      <c r="AB39" s="1531">
        <f t="shared" si="16"/>
        <v>1</v>
      </c>
      <c r="AC39" s="1531">
        <f t="shared" si="17"/>
        <v>1</v>
      </c>
    </row>
    <row r="40" spans="1:29" ht="15">
      <c r="A40" s="431"/>
      <c r="B40" s="381" t="s">
        <v>2390</v>
      </c>
      <c r="C40" s="2085"/>
      <c r="D40" s="394">
        <v>100</v>
      </c>
      <c r="E40" s="2086"/>
      <c r="F40" s="420">
        <f>SUMIF(118:118,E40,119:119)-SUMIF(118:118,C40,119:119)+100</f>
        <v>100</v>
      </c>
      <c r="G40" s="2085"/>
      <c r="H40" s="394">
        <f>SUMIF(118:118,G40,119:119)-SUMIF(118:118,C40,119:119)+100</f>
        <v>100</v>
      </c>
      <c r="I40" s="2086"/>
      <c r="J40" s="394">
        <f>SUMIF(118:118,I40,119:119)-SUMIF(118:118,C40,119:119)+100</f>
        <v>100</v>
      </c>
      <c r="K40" s="385"/>
      <c r="L40" s="2941"/>
      <c r="M40" s="2935"/>
      <c r="N40" s="2935"/>
      <c r="O40" s="2935"/>
      <c r="P40" s="3417"/>
      <c r="Q40" s="1530" t="str">
        <f t="shared" si="11"/>
        <v>房型</v>
      </c>
      <c r="R40" s="714" t="s">
        <v>21</v>
      </c>
      <c r="S40" s="715">
        <f t="shared" si="12"/>
        <v>100</v>
      </c>
      <c r="T40" s="714" t="s">
        <v>21</v>
      </c>
      <c r="U40" s="715">
        <f t="shared" si="13"/>
        <v>100</v>
      </c>
      <c r="V40" s="714" t="s">
        <v>21</v>
      </c>
      <c r="W40" s="715">
        <f t="shared" si="14"/>
        <v>100</v>
      </c>
      <c r="X40" s="1533"/>
      <c r="Y40" s="3341"/>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0"/>
      <c r="M41" s="2942"/>
      <c r="N41" s="2942"/>
      <c r="O41" s="2942"/>
      <c r="P41" s="3417"/>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1">
        <f t="shared" si="15"/>
        <v>1</v>
      </c>
      <c r="AB41" s="1531">
        <f t="shared" si="16"/>
        <v>1</v>
      </c>
      <c r="AC41" s="1531">
        <f t="shared" si="17"/>
        <v>1</v>
      </c>
    </row>
    <row r="42" spans="1:29" ht="15">
      <c r="A42" s="431"/>
      <c r="B42" s="381" t="s">
        <v>2392</v>
      </c>
      <c r="C42" s="2085"/>
      <c r="D42" s="394">
        <v>100</v>
      </c>
      <c r="E42" s="2086"/>
      <c r="F42" s="420">
        <f>SUMIF(122:122,E42,123:123)-SUMIF(122:122,C42,123:123)+100</f>
        <v>100</v>
      </c>
      <c r="G42" s="2085"/>
      <c r="H42" s="394">
        <f>SUMIF(122:122,G42,123:123)-SUMIF(122:122,C42,123:123)+100</f>
        <v>100</v>
      </c>
      <c r="I42" s="2086"/>
      <c r="J42" s="394">
        <f>SUMIF(122:122,I42,123:123)-SUMIF(122:122,C42,123:123)+100</f>
        <v>100</v>
      </c>
      <c r="K42" s="385"/>
      <c r="L42" s="2941"/>
      <c r="M42" s="2935"/>
      <c r="N42" s="2935"/>
      <c r="O42" s="2935"/>
      <c r="P42" s="3417"/>
      <c r="Q42" s="1530" t="str">
        <f t="shared" si="11"/>
        <v>内部装修</v>
      </c>
      <c r="R42" s="714" t="s">
        <v>21</v>
      </c>
      <c r="S42" s="715">
        <f t="shared" si="12"/>
        <v>100</v>
      </c>
      <c r="T42" s="714" t="s">
        <v>21</v>
      </c>
      <c r="U42" s="715">
        <f t="shared" si="13"/>
        <v>100</v>
      </c>
      <c r="V42" s="714" t="s">
        <v>21</v>
      </c>
      <c r="W42" s="715">
        <f t="shared" si="14"/>
        <v>100</v>
      </c>
      <c r="X42" s="1533"/>
      <c r="Y42" s="3341"/>
      <c r="Z42" s="1534" t="str">
        <f t="shared" si="18"/>
        <v>内部装修</v>
      </c>
      <c r="AA42" s="1531">
        <f t="shared" si="15"/>
        <v>1</v>
      </c>
      <c r="AB42" s="1531">
        <f t="shared" si="16"/>
        <v>1</v>
      </c>
      <c r="AC42" s="1531">
        <f t="shared" si="17"/>
        <v>1</v>
      </c>
    </row>
    <row r="43" spans="1:29" ht="15">
      <c r="A43" s="431"/>
      <c r="B43" s="381" t="s">
        <v>2393</v>
      </c>
      <c r="C43" s="2085"/>
      <c r="D43" s="394">
        <v>100</v>
      </c>
      <c r="E43" s="2086"/>
      <c r="F43" s="420">
        <f>SUMIF(124:124,E43,125:125)-SUMIF(124:124,C43,125:125)+100</f>
        <v>100</v>
      </c>
      <c r="G43" s="2085"/>
      <c r="H43" s="394">
        <f>SUMIF(124:124,G43,125:125)-SUMIF(124:124,C43,125:125)+100</f>
        <v>100</v>
      </c>
      <c r="I43" s="2086"/>
      <c r="J43" s="394">
        <f>SUMIF(124:124,I43,125:125)-SUMIF(124:124,C43,125:125)+100</f>
        <v>100</v>
      </c>
      <c r="K43" s="385"/>
      <c r="L43" s="2941"/>
      <c r="M43" s="2935"/>
      <c r="N43" s="2935"/>
      <c r="O43" s="2935"/>
      <c r="P43" s="3417"/>
      <c r="Q43" s="1530" t="str">
        <f t="shared" si="11"/>
        <v>内部装修维护情况</v>
      </c>
      <c r="R43" s="714" t="s">
        <v>21</v>
      </c>
      <c r="S43" s="715">
        <f t="shared" si="12"/>
        <v>100</v>
      </c>
      <c r="T43" s="714" t="s">
        <v>21</v>
      </c>
      <c r="U43" s="715">
        <f t="shared" si="13"/>
        <v>100</v>
      </c>
      <c r="V43" s="714" t="s">
        <v>21</v>
      </c>
      <c r="W43" s="715">
        <f t="shared" si="14"/>
        <v>100</v>
      </c>
      <c r="X43" s="1533"/>
      <c r="Y43" s="3341"/>
      <c r="Z43" s="1534" t="str">
        <f t="shared" si="18"/>
        <v>内部装修维护情况</v>
      </c>
      <c r="AA43" s="1531">
        <f t="shared" si="15"/>
        <v>1</v>
      </c>
      <c r="AB43" s="1531">
        <f t="shared" si="16"/>
        <v>1</v>
      </c>
      <c r="AC43" s="1531">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3"/>
      <c r="L44" s="2936"/>
      <c r="M44" s="2937"/>
      <c r="N44" s="2937"/>
      <c r="O44" s="2937"/>
      <c r="P44" s="3417"/>
      <c r="Q44" s="1521">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1"/>
      <c r="M45" s="2935"/>
      <c r="N45" s="2935"/>
      <c r="O45" s="2935"/>
      <c r="P45" s="3417"/>
      <c r="Q45" s="1530">
        <f t="shared" si="11"/>
        <v>111</v>
      </c>
      <c r="R45" s="714" t="s">
        <v>21</v>
      </c>
      <c r="S45" s="715">
        <f t="shared" si="12"/>
        <v>100</v>
      </c>
      <c r="T45" s="714" t="s">
        <v>21</v>
      </c>
      <c r="U45" s="715">
        <f t="shared" si="13"/>
        <v>100</v>
      </c>
      <c r="V45" s="714" t="s">
        <v>21</v>
      </c>
      <c r="W45" s="715">
        <f t="shared" si="14"/>
        <v>100</v>
      </c>
      <c r="X45" s="1533"/>
      <c r="Y45" s="3341"/>
      <c r="Z45" s="1534">
        <f t="shared" si="18"/>
        <v>111</v>
      </c>
      <c r="AA45" s="1531">
        <f t="shared" si="15"/>
        <v>1</v>
      </c>
      <c r="AB45" s="1531">
        <f t="shared" si="16"/>
        <v>1</v>
      </c>
      <c r="AC45" s="1531">
        <f t="shared" si="17"/>
        <v>1</v>
      </c>
    </row>
    <row r="46" spans="1:29" ht="15.75"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1"/>
      <c r="M46" s="2935"/>
      <c r="N46" s="2935"/>
      <c r="O46" s="2935"/>
      <c r="P46" s="3418"/>
      <c r="Q46" s="1530">
        <f t="shared" si="11"/>
        <v>111</v>
      </c>
      <c r="R46" s="714" t="s">
        <v>20</v>
      </c>
      <c r="S46" s="715">
        <f t="shared" si="12"/>
        <v>100</v>
      </c>
      <c r="T46" s="714" t="s">
        <v>20</v>
      </c>
      <c r="U46" s="715">
        <f t="shared" si="13"/>
        <v>100</v>
      </c>
      <c r="V46" s="714" t="s">
        <v>20</v>
      </c>
      <c r="W46" s="715">
        <f t="shared" si="14"/>
        <v>100</v>
      </c>
      <c r="X46" s="1533"/>
      <c r="Y46" s="3419"/>
      <c r="Z46" s="1534">
        <f t="shared" si="18"/>
        <v>111</v>
      </c>
      <c r="AA46" s="1531">
        <f t="shared" si="15"/>
        <v>1</v>
      </c>
      <c r="AB46" s="1531">
        <f t="shared" si="16"/>
        <v>1</v>
      </c>
      <c r="AC46" s="1531">
        <f t="shared" si="17"/>
        <v>1</v>
      </c>
    </row>
    <row r="47" spans="1:29" ht="15">
      <c r="A47" s="438" t="s">
        <v>2394</v>
      </c>
      <c r="B47" s="439"/>
      <c r="C47" s="1310" t="s">
        <v>19</v>
      </c>
      <c r="D47" s="1311"/>
      <c r="E47" s="1312"/>
      <c r="F47" s="1313"/>
      <c r="G47" s="1314"/>
      <c r="H47" s="1315"/>
      <c r="I47" s="1312"/>
      <c r="J47" s="1315"/>
      <c r="K47" s="2093"/>
      <c r="L47" s="2943"/>
      <c r="M47" s="2944"/>
      <c r="N47" s="2935"/>
      <c r="O47" s="2944"/>
      <c r="P47" s="3323" t="str">
        <f>A47</f>
        <v>成交单价（元/平方米）</v>
      </c>
      <c r="Q47" s="3323"/>
      <c r="R47" s="3415">
        <f>E47</f>
        <v>0</v>
      </c>
      <c r="S47" s="3415"/>
      <c r="T47" s="3415">
        <f>G47</f>
        <v>0</v>
      </c>
      <c r="U47" s="3415"/>
      <c r="V47" s="3415">
        <f>I47</f>
        <v>0</v>
      </c>
      <c r="W47" s="3415"/>
      <c r="X47" s="699"/>
      <c r="Y47" s="721"/>
      <c r="Z47" s="699"/>
      <c r="AA47" s="699"/>
      <c r="AB47" s="699"/>
      <c r="AC47" s="699"/>
    </row>
    <row r="48" spans="1:29" ht="15.75" thickBot="1">
      <c r="A48" s="445" t="s">
        <v>2395</v>
      </c>
      <c r="B48" s="446"/>
      <c r="C48" s="1316" t="e">
        <f>R49</f>
        <v>#DIV/0!</v>
      </c>
      <c r="D48" s="2531" t="s">
        <v>2876</v>
      </c>
      <c r="E48" s="1317" t="e">
        <f>R48</f>
        <v>#DIV/0!</v>
      </c>
      <c r="F48" s="2532"/>
      <c r="G48" s="1316" t="e">
        <f>T48</f>
        <v>#DIV/0!</v>
      </c>
      <c r="H48" s="2532"/>
      <c r="I48" s="1317" t="e">
        <f>V48</f>
        <v>#DIV/0!</v>
      </c>
      <c r="J48" s="2532"/>
      <c r="K48" s="2533">
        <f>F48+H48+J48</f>
        <v>0</v>
      </c>
      <c r="L48" s="2943"/>
      <c r="M48" s="2944"/>
      <c r="N48" s="2944"/>
      <c r="O48" s="2944"/>
      <c r="P48" s="3323" t="str">
        <f>A48</f>
        <v>比较价值（元/平方米）</v>
      </c>
      <c r="Q48" s="3323"/>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699"/>
      <c r="Y48" s="699"/>
      <c r="Z48" s="699"/>
      <c r="AA48" s="699"/>
      <c r="AB48" s="699"/>
      <c r="AC48" s="699"/>
    </row>
    <row r="49" spans="1:29" ht="15.75" thickBot="1">
      <c r="A49" s="449" t="s">
        <v>2396</v>
      </c>
      <c r="B49" s="450"/>
      <c r="C49" s="1318" t="e">
        <f>R49</f>
        <v>#DIV/0!</v>
      </c>
      <c r="D49" s="1319"/>
      <c r="E49" s="1319"/>
      <c r="F49" s="1319"/>
      <c r="G49" s="1319"/>
      <c r="H49" s="1319"/>
      <c r="I49" s="1319"/>
      <c r="J49" s="1319"/>
      <c r="K49" s="2094"/>
      <c r="L49" s="2943"/>
      <c r="M49" s="2944"/>
      <c r="N49" s="2944"/>
      <c r="O49" s="2944"/>
      <c r="P49" s="3343" t="str">
        <f>A49</f>
        <v>估价对象XX用房的比较价值（楼面单价，元/平方米）</v>
      </c>
      <c r="Q49" s="3344"/>
      <c r="R49" s="3414" t="e">
        <f>IF(F1="售价",ROUND(IF(D48="简单平均",AVERAGE(R48:V48),R48*F48+T48*H48+V48*J48),0),ROUND(IF(D48="简单平均",AVERAGE(R48:V48),R48*F48+T48*H48+V48*J48),1))</f>
        <v>#DIV/0!</v>
      </c>
      <c r="S49" s="3414"/>
      <c r="T49" s="3414"/>
      <c r="U49" s="3414"/>
      <c r="V49" s="3414"/>
      <c r="W49" s="3414"/>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6"/>
    </row>
    <row r="55" spans="1:29" s="459"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3" t="s">
        <v>2400</v>
      </c>
      <c r="B57" s="699"/>
      <c r="C57" s="704"/>
      <c r="D57" s="704"/>
      <c r="E57" s="704"/>
      <c r="F57" s="705"/>
      <c r="G57" s="705"/>
      <c r="H57" s="704"/>
      <c r="I57" s="704"/>
      <c r="J57" s="704"/>
      <c r="K57" s="1066"/>
      <c r="L57" s="1067"/>
      <c r="M57" s="1065"/>
      <c r="N57" s="1065"/>
      <c r="O57" s="1065"/>
      <c r="P57" s="2097"/>
      <c r="Q57" s="461"/>
    </row>
    <row r="58" spans="1:29" s="465" customFormat="1" ht="15">
      <c r="A58" s="462" t="s">
        <v>2401</v>
      </c>
      <c r="B58" s="463"/>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6"/>
      <c r="B59" s="2098"/>
      <c r="C59" s="1338">
        <v>100</v>
      </c>
      <c r="D59" s="468"/>
      <c r="E59" s="469"/>
      <c r="F59" s="469"/>
      <c r="G59" s="469"/>
      <c r="H59" s="469"/>
      <c r="I59" s="469"/>
      <c r="J59" s="469"/>
      <c r="K59" s="469"/>
      <c r="L59" s="469"/>
      <c r="M59" s="470"/>
      <c r="N59" s="469"/>
      <c r="O59" s="470"/>
      <c r="P59" s="2099"/>
    </row>
    <row r="60" spans="1:29" s="113" customFormat="1" ht="15.75" thickBot="1">
      <c r="A60" s="472" t="s">
        <v>2402</v>
      </c>
      <c r="B60" s="473"/>
      <c r="C60" s="474"/>
      <c r="D60" s="475"/>
      <c r="E60" s="475"/>
      <c r="F60" s="475"/>
      <c r="G60" s="475"/>
      <c r="H60" s="475"/>
      <c r="I60" s="475"/>
      <c r="J60" s="475"/>
      <c r="K60" s="475"/>
      <c r="L60" s="475"/>
      <c r="M60" s="476"/>
      <c r="N60" s="475"/>
      <c r="O60" s="476"/>
      <c r="P60" s="2099"/>
      <c r="Q60" s="461"/>
    </row>
    <row r="61" spans="1:29" s="113" customFormat="1" ht="15">
      <c r="A61" s="478" t="s">
        <v>2403</v>
      </c>
      <c r="B61" s="467"/>
      <c r="C61" s="479" t="s">
        <v>2404</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2405</v>
      </c>
      <c r="B63" s="485" t="s">
        <v>2371</v>
      </c>
      <c r="C63" s="486">
        <f>C9</f>
        <v>0</v>
      </c>
      <c r="D63" s="487"/>
      <c r="E63" s="487"/>
      <c r="F63" s="487"/>
      <c r="G63" s="487"/>
      <c r="H63" s="487"/>
      <c r="I63" s="487"/>
      <c r="J63" s="487"/>
      <c r="K63" s="488"/>
      <c r="L63" s="489"/>
      <c r="M63" s="490"/>
      <c r="N63" s="1058"/>
      <c r="O63" s="1058"/>
      <c r="P63" s="2101"/>
      <c r="Q63" s="461"/>
    </row>
    <row r="64" spans="1:29" ht="15.75" thickBot="1">
      <c r="A64" s="491"/>
      <c r="B64" s="492"/>
      <c r="C64" s="493">
        <v>100</v>
      </c>
      <c r="D64" s="493"/>
      <c r="E64" s="493"/>
      <c r="F64" s="493"/>
      <c r="G64" s="493"/>
      <c r="H64" s="493"/>
      <c r="I64" s="493"/>
      <c r="J64" s="493"/>
      <c r="K64" s="493"/>
      <c r="L64" s="493"/>
      <c r="M64" s="494"/>
      <c r="N64" s="1059"/>
      <c r="O64" s="1059"/>
      <c r="P64" s="2101"/>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58"/>
      <c r="O65" s="1058"/>
      <c r="P65" s="210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1"/>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58"/>
      <c r="O76" s="1058"/>
      <c r="P76" s="2105"/>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1"/>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58"/>
      <c r="O78" s="1058"/>
      <c r="P78" s="2101"/>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1"/>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58"/>
      <c r="O80" s="1058"/>
      <c r="P80" s="2101"/>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1"/>
      <c r="Q81" s="461"/>
    </row>
    <row r="82" spans="1:17" ht="15.75" thickTop="1">
      <c r="A82" s="491"/>
      <c r="B82" s="503" t="s">
        <v>1944</v>
      </c>
      <c r="C82" s="496" t="s">
        <v>2421</v>
      </c>
      <c r="D82" s="496" t="s">
        <v>2422</v>
      </c>
      <c r="E82" s="496" t="s">
        <v>2423</v>
      </c>
      <c r="F82" s="496" t="s">
        <v>2424</v>
      </c>
      <c r="G82" s="496" t="s">
        <v>2425</v>
      </c>
      <c r="H82" s="496"/>
      <c r="I82" s="496"/>
      <c r="J82" s="496"/>
      <c r="K82" s="496"/>
      <c r="L82" s="496"/>
      <c r="M82" s="1285"/>
      <c r="N82" s="1059"/>
      <c r="O82" s="1059"/>
      <c r="P82" s="2101"/>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1"/>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58"/>
      <c r="O84" s="1058"/>
      <c r="P84" s="2101"/>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1"/>
      <c r="Q85" s="461"/>
    </row>
    <row r="86" spans="1:17" s="113" customFormat="1" ht="15.75" thickTop="1">
      <c r="A86" s="536"/>
      <c r="B86" s="495" t="s">
        <v>2427</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2428</v>
      </c>
      <c r="C88" s="511"/>
      <c r="D88" s="511"/>
      <c r="E88" s="511"/>
      <c r="F88" s="2106"/>
      <c r="G88" s="511"/>
      <c r="H88" s="511"/>
      <c r="I88" s="511"/>
      <c r="J88" s="511"/>
      <c r="K88" s="511"/>
      <c r="L88" s="511"/>
      <c r="M88" s="538"/>
      <c r="N88" s="1057"/>
      <c r="O88" s="1057"/>
      <c r="P88" s="210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1"/>
      <c r="Q89" s="461"/>
    </row>
    <row r="90" spans="1:17" s="430" customFormat="1" ht="15.75" thickTop="1">
      <c r="A90" s="510"/>
      <c r="B90" s="495">
        <f>B27</f>
        <v>111</v>
      </c>
      <c r="C90" s="511"/>
      <c r="D90" s="511"/>
      <c r="E90" s="511"/>
      <c r="F90" s="511"/>
      <c r="G90" s="511"/>
      <c r="H90" s="512"/>
      <c r="I90" s="512"/>
      <c r="J90" s="512"/>
      <c r="K90" s="512"/>
      <c r="L90" s="513"/>
      <c r="M90" s="514"/>
      <c r="N90" s="1060"/>
      <c r="O90" s="1060"/>
      <c r="P90" s="2102"/>
      <c r="Q90" s="516"/>
    </row>
    <row r="91" spans="1:17" s="430" customFormat="1" ht="15.75" thickBot="1">
      <c r="A91" s="510"/>
      <c r="B91" s="500"/>
      <c r="C91" s="517"/>
      <c r="D91" s="517"/>
      <c r="E91" s="517"/>
      <c r="F91" s="517"/>
      <c r="G91" s="517"/>
      <c r="H91" s="519"/>
      <c r="I91" s="519"/>
      <c r="J91" s="519"/>
      <c r="K91" s="519"/>
      <c r="L91" s="519"/>
      <c r="M91" s="520"/>
      <c r="N91" s="1060"/>
      <c r="O91" s="1060"/>
      <c r="P91" s="2102"/>
      <c r="Q91" s="516"/>
    </row>
    <row r="92" spans="1:17" ht="15.75" thickTop="1">
      <c r="A92" s="491"/>
      <c r="B92" s="495">
        <f>B28</f>
        <v>111</v>
      </c>
      <c r="C92" s="511"/>
      <c r="D92" s="511"/>
      <c r="E92" s="511"/>
      <c r="F92" s="511"/>
      <c r="G92" s="540"/>
      <c r="H92" s="540"/>
      <c r="I92" s="540"/>
      <c r="J92" s="540"/>
      <c r="K92" s="541"/>
      <c r="L92" s="542"/>
      <c r="M92" s="543"/>
      <c r="N92" s="1058"/>
      <c r="O92" s="1058"/>
      <c r="P92" s="2101"/>
      <c r="Q92" s="461"/>
    </row>
    <row r="93" spans="1:17" ht="15.75" thickBot="1">
      <c r="A93" s="491"/>
      <c r="B93" s="500"/>
      <c r="C93" s="517"/>
      <c r="D93" s="493"/>
      <c r="E93" s="493"/>
      <c r="F93" s="493"/>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2380</v>
      </c>
      <c r="B100" s="485" t="s">
        <v>2429</v>
      </c>
      <c r="C100" s="487"/>
      <c r="D100" s="487"/>
      <c r="E100" s="487"/>
      <c r="F100" s="487"/>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1"/>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1"/>
      <c r="Q102" s="461"/>
    </row>
    <row r="103" spans="1:17" s="430" customFormat="1">
      <c r="A103" s="550"/>
      <c r="B103" s="551"/>
      <c r="C103" s="552"/>
      <c r="D103" s="552"/>
      <c r="E103" s="552"/>
      <c r="F103" s="552"/>
      <c r="G103" s="552"/>
      <c r="H103" s="552"/>
      <c r="I103" s="552"/>
      <c r="J103" s="553"/>
      <c r="K103" s="553"/>
      <c r="L103" s="554"/>
      <c r="M103" s="555"/>
      <c r="N103" s="1060"/>
      <c r="O103" s="1060"/>
      <c r="P103" s="2102"/>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2"/>
      <c r="Q104" s="516"/>
    </row>
    <row r="105" spans="1:17" ht="15" thickTop="1">
      <c r="A105" s="556"/>
      <c r="B105" s="495" t="s">
        <v>2431</v>
      </c>
      <c r="C105" s="511"/>
      <c r="D105" s="511"/>
      <c r="E105" s="540"/>
      <c r="F105" s="540"/>
      <c r="G105" s="540"/>
      <c r="H105" s="540"/>
      <c r="I105" s="540"/>
      <c r="J105" s="540"/>
      <c r="K105" s="541"/>
      <c r="L105" s="542"/>
      <c r="M105" s="543"/>
      <c r="N105" s="1058"/>
      <c r="O105" s="1058"/>
      <c r="P105" s="210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1"/>
      <c r="Q106" s="461"/>
    </row>
    <row r="107" spans="1:17" ht="15" thickTop="1">
      <c r="A107" s="556"/>
      <c r="B107" s="495" t="s">
        <v>2432</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2433</v>
      </c>
      <c r="C109" s="511"/>
      <c r="D109" s="511"/>
      <c r="E109" s="511"/>
      <c r="F109" s="540"/>
      <c r="G109" s="540"/>
      <c r="H109" s="540"/>
      <c r="I109" s="540"/>
      <c r="J109" s="540"/>
      <c r="K109" s="541"/>
      <c r="L109" s="542"/>
      <c r="M109" s="543"/>
      <c r="N109" s="1058"/>
      <c r="O109" s="1058"/>
      <c r="P109" s="210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1"/>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2434</v>
      </c>
      <c r="C114" s="511"/>
      <c r="D114" s="511"/>
      <c r="E114" s="540"/>
      <c r="F114" s="540"/>
      <c r="G114" s="540"/>
      <c r="H114" s="540"/>
      <c r="I114" s="540"/>
      <c r="J114" s="540"/>
      <c r="K114" s="541"/>
      <c r="L114" s="542"/>
      <c r="M114" s="543"/>
      <c r="N114" s="1058"/>
      <c r="O114" s="1058"/>
      <c r="P114" s="210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1"/>
      <c r="Q115" s="461"/>
    </row>
    <row r="116" spans="1:17" ht="15" thickTop="1">
      <c r="A116" s="556"/>
      <c r="B116" s="495" t="s">
        <v>2435</v>
      </c>
      <c r="C116" s="511"/>
      <c r="D116" s="511"/>
      <c r="E116" s="511"/>
      <c r="F116" s="511"/>
      <c r="G116" s="511"/>
      <c r="H116" s="540"/>
      <c r="I116" s="540"/>
      <c r="J116" s="540"/>
      <c r="K116" s="541"/>
      <c r="L116" s="542"/>
      <c r="M116" s="543"/>
      <c r="N116" s="1058"/>
      <c r="O116" s="1058"/>
      <c r="P116" s="2101"/>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1"/>
      <c r="Q117" s="461"/>
    </row>
    <row r="118" spans="1:17" ht="15" thickTop="1">
      <c r="A118" s="556"/>
      <c r="B118" s="495" t="s">
        <v>2436</v>
      </c>
      <c r="C118" s="540"/>
      <c r="D118" s="540"/>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1"/>
      <c r="Q119" s="461"/>
    </row>
    <row r="120" spans="1:17" s="430" customFormat="1" ht="28.5" thickTop="1">
      <c r="A120" s="550"/>
      <c r="B120" s="495" t="s">
        <v>2391</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2437</v>
      </c>
      <c r="C122" s="511"/>
      <c r="D122" s="511"/>
      <c r="E122" s="511"/>
      <c r="F122" s="540"/>
      <c r="G122" s="540"/>
      <c r="H122" s="540"/>
      <c r="I122" s="540"/>
      <c r="J122" s="540"/>
      <c r="K122" s="541"/>
      <c r="L122" s="542"/>
      <c r="M122" s="543"/>
      <c r="N122" s="1058"/>
      <c r="O122" s="1058"/>
      <c r="P122" s="210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1"/>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58"/>
      <c r="O124" s="1058"/>
      <c r="P124" s="210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1"/>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2"/>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2439</v>
      </c>
    </row>
    <row r="137" spans="1:17" ht="15">
      <c r="B137" s="2109" t="s">
        <v>2440</v>
      </c>
      <c r="C137" s="2110"/>
      <c r="D137" s="2110"/>
      <c r="E137" s="2110"/>
      <c r="F137" s="2110"/>
      <c r="G137" s="2111"/>
      <c r="H137" s="2112"/>
      <c r="I137" s="2113" t="s">
        <v>2441</v>
      </c>
      <c r="J137" s="2110"/>
      <c r="K137" s="2114"/>
    </row>
    <row r="138" spans="1:17" ht="15">
      <c r="B138" s="2115"/>
      <c r="C138" s="142" t="s">
        <v>2442</v>
      </c>
      <c r="D138" s="142" t="s">
        <v>2443</v>
      </c>
      <c r="E138" s="2116" t="s">
        <v>2444</v>
      </c>
      <c r="F138" s="2117" t="s">
        <v>2445</v>
      </c>
      <c r="G138" s="142" t="s">
        <v>2443</v>
      </c>
      <c r="H138" s="143" t="s">
        <v>2444</v>
      </c>
      <c r="I138" s="2118"/>
      <c r="J138" s="142" t="s">
        <v>2446</v>
      </c>
      <c r="K138" s="143" t="s">
        <v>2447</v>
      </c>
    </row>
    <row r="139" spans="1:17" ht="15">
      <c r="B139" s="992">
        <v>6</v>
      </c>
      <c r="C139" s="993">
        <v>96</v>
      </c>
      <c r="D139" s="2119" t="s">
        <v>2448</v>
      </c>
      <c r="E139" s="994">
        <v>100</v>
      </c>
      <c r="F139" s="995">
        <v>102.5</v>
      </c>
      <c r="G139" s="2119" t="s">
        <v>2448</v>
      </c>
      <c r="H139" s="996">
        <v>105</v>
      </c>
      <c r="I139" s="2120" t="s">
        <v>2449</v>
      </c>
      <c r="J139" s="993">
        <v>20</v>
      </c>
      <c r="K139" s="997">
        <f>C145/(J139-2)</f>
        <v>4.0555555555555553E-3</v>
      </c>
    </row>
    <row r="140" spans="1:17" ht="15">
      <c r="B140" s="998">
        <v>5</v>
      </c>
      <c r="C140" s="999">
        <v>100</v>
      </c>
      <c r="D140" s="999"/>
      <c r="E140" s="1000"/>
      <c r="F140" s="1001">
        <v>102</v>
      </c>
      <c r="G140" s="999"/>
      <c r="H140" s="1002"/>
      <c r="I140" s="2121" t="s">
        <v>2450</v>
      </c>
      <c r="J140" s="277">
        <f>ROUNDUP((J139-1)/2,0)</f>
        <v>10</v>
      </c>
      <c r="K140" s="1003">
        <v>100</v>
      </c>
    </row>
    <row r="141" spans="1:17" ht="15">
      <c r="B141" s="998">
        <v>4</v>
      </c>
      <c r="C141" s="999">
        <v>102</v>
      </c>
      <c r="D141" s="999"/>
      <c r="E141" s="1000"/>
      <c r="F141" s="1001">
        <v>101.5</v>
      </c>
      <c r="G141" s="999"/>
      <c r="H141" s="1002"/>
      <c r="I141" s="2121" t="s">
        <v>2451</v>
      </c>
      <c r="J141" s="277">
        <v>1</v>
      </c>
      <c r="K141" s="1004">
        <f>ROUND(100+(J141-J140)*K139*100,1)</f>
        <v>96.4</v>
      </c>
    </row>
    <row r="142" spans="1:17" ht="15">
      <c r="B142" s="998">
        <v>3</v>
      </c>
      <c r="C142" s="999">
        <v>103</v>
      </c>
      <c r="D142" s="999"/>
      <c r="E142" s="1000"/>
      <c r="F142" s="1001">
        <v>101</v>
      </c>
      <c r="G142" s="999"/>
      <c r="H142" s="1002"/>
      <c r="I142" s="2121" t="s">
        <v>2452</v>
      </c>
      <c r="J142" s="277">
        <f>J139</f>
        <v>20</v>
      </c>
      <c r="K142" s="1005">
        <v>95</v>
      </c>
    </row>
    <row r="143" spans="1:17" ht="15">
      <c r="B143" s="998">
        <v>2</v>
      </c>
      <c r="C143" s="999">
        <v>100</v>
      </c>
      <c r="D143" s="999"/>
      <c r="E143" s="1000"/>
      <c r="F143" s="1001">
        <v>100.5</v>
      </c>
      <c r="G143" s="999"/>
      <c r="H143" s="1002"/>
      <c r="I143" s="2121" t="s">
        <v>2453</v>
      </c>
      <c r="J143" s="999">
        <v>15</v>
      </c>
      <c r="K143" s="1004">
        <f>ROUND(100+(J143-J140)*K139*100,1)</f>
        <v>102</v>
      </c>
    </row>
    <row r="144" spans="1:17" ht="15">
      <c r="B144" s="998">
        <v>1</v>
      </c>
      <c r="C144" s="999">
        <v>98</v>
      </c>
      <c r="D144" s="2122" t="s">
        <v>2454</v>
      </c>
      <c r="E144" s="1000">
        <v>102</v>
      </c>
      <c r="F144" s="1006">
        <v>100</v>
      </c>
      <c r="G144" s="2122" t="s">
        <v>2454</v>
      </c>
      <c r="H144" s="1002">
        <v>105</v>
      </c>
      <c r="I144" s="2121" t="s">
        <v>2453</v>
      </c>
      <c r="J144" s="999">
        <v>18</v>
      </c>
      <c r="K144" s="1004">
        <f>ROUND(100+(J144-J140)*K139*100,1)</f>
        <v>103.2</v>
      </c>
    </row>
    <row r="145" spans="2:11" ht="15.75" thickBot="1">
      <c r="B145" s="2123" t="s">
        <v>2455</v>
      </c>
      <c r="C145" s="1007">
        <f>ROUND(MAX(C139:C144)/MIN(C139:C144)-1,3)</f>
        <v>7.2999999999999995E-2</v>
      </c>
      <c r="D145" s="1008"/>
      <c r="E145" s="1008"/>
      <c r="F145" s="2124" t="s">
        <v>2456</v>
      </c>
      <c r="G145" s="2125"/>
      <c r="H145" s="2126"/>
      <c r="I145" s="2127" t="s">
        <v>2453</v>
      </c>
      <c r="J145" s="1009">
        <v>8</v>
      </c>
      <c r="K145" s="1010">
        <f>ROUND(100+(J145-J140)*K139*100,1)</f>
        <v>99.2</v>
      </c>
    </row>
    <row r="147" spans="2:11">
      <c r="B147" s="2108" t="s">
        <v>2457</v>
      </c>
    </row>
    <row r="148" spans="2:11">
      <c r="B148" s="2108"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2459</v>
      </c>
      <c r="C1" s="1399" t="s">
        <v>2347</v>
      </c>
      <c r="D1" s="1386"/>
      <c r="E1" s="2536"/>
      <c r="F1" s="2058"/>
      <c r="G1" s="1396" t="s">
        <v>2460</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8" customFormat="1" ht="28.5" customHeight="1" thickTop="1">
      <c r="A2" s="1382" t="s">
        <v>2146</v>
      </c>
      <c r="B2" s="1320" t="e">
        <f ca="1">IF(C2="——",ROUND(C49*D3/10000,0),ROUND(C49*D3/10000,0)-D2)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2131"/>
      <c r="Q2" s="1037"/>
      <c r="R2" s="1037"/>
      <c r="S2" s="1037"/>
      <c r="T2" s="1037"/>
      <c r="U2" s="1037"/>
      <c r="V2" s="1037"/>
      <c r="W2" s="1037"/>
      <c r="X2" s="1037"/>
      <c r="Y2" s="1037"/>
      <c r="Z2" s="1037"/>
      <c r="AA2" s="1037"/>
      <c r="AB2" s="1037"/>
      <c r="AC2" s="2132"/>
    </row>
    <row r="3" spans="1:29" s="358" customFormat="1" ht="28.5" customHeight="1" thickBot="1">
      <c r="A3" s="209" t="s">
        <v>2148</v>
      </c>
      <c r="B3" s="566" t="e">
        <f ca="1">IF(C2="——",C49,ROUND(B2*10000/D3,0))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2131"/>
      <c r="Q3" s="1037"/>
      <c r="R3" s="1037"/>
      <c r="S3" s="1037"/>
      <c r="T3" s="1037"/>
      <c r="U3" s="1037"/>
      <c r="V3" s="1037"/>
      <c r="W3" s="1037"/>
      <c r="X3" s="1037"/>
      <c r="Y3" s="1037"/>
      <c r="Z3" s="1037"/>
      <c r="AA3" s="1037"/>
      <c r="AB3" s="1037"/>
      <c r="AC3" s="2133"/>
    </row>
    <row r="4" spans="1:29" ht="15">
      <c r="A4" s="361" t="s">
        <v>2462</v>
      </c>
      <c r="B4" s="362"/>
      <c r="C4" s="3324" t="s">
        <v>2463</v>
      </c>
      <c r="D4" s="3325"/>
      <c r="E4" s="3326" t="s">
        <v>2464</v>
      </c>
      <c r="F4" s="3327"/>
      <c r="G4" s="3324" t="s">
        <v>2465</v>
      </c>
      <c r="H4" s="3325"/>
      <c r="I4" s="3324" t="s">
        <v>2466</v>
      </c>
      <c r="J4" s="3325"/>
      <c r="K4" s="567" t="s">
        <v>2467</v>
      </c>
      <c r="L4" s="2934"/>
      <c r="M4" s="2935"/>
      <c r="N4" s="2935"/>
      <c r="O4" s="2935"/>
      <c r="P4" s="3328" t="s">
        <v>2468</v>
      </c>
      <c r="Q4" s="3329"/>
      <c r="R4" s="3311" t="s">
        <v>2464</v>
      </c>
      <c r="S4" s="3312"/>
      <c r="T4" s="3311" t="s">
        <v>2465</v>
      </c>
      <c r="U4" s="3312"/>
      <c r="V4" s="3336" t="s">
        <v>2466</v>
      </c>
      <c r="W4" s="3336"/>
      <c r="X4" s="1533"/>
      <c r="Y4" s="3311" t="s">
        <v>2468</v>
      </c>
      <c r="Z4" s="3312"/>
      <c r="AA4" s="3306" t="s">
        <v>2464</v>
      </c>
      <c r="AB4" s="3336" t="s">
        <v>2465</v>
      </c>
      <c r="AC4" s="3306" t="s">
        <v>2466</v>
      </c>
    </row>
    <row r="5" spans="1:29" ht="15">
      <c r="A5" s="364"/>
      <c r="B5" s="365"/>
      <c r="C5" s="3408" t="s">
        <v>2359</v>
      </c>
      <c r="D5" s="3409"/>
      <c r="E5" s="3406" t="s">
        <v>2360</v>
      </c>
      <c r="F5" s="3407"/>
      <c r="G5" s="3408" t="s">
        <v>2361</v>
      </c>
      <c r="H5" s="3409"/>
      <c r="I5" s="3408" t="s">
        <v>2362</v>
      </c>
      <c r="J5" s="3409"/>
      <c r="K5" s="567"/>
      <c r="L5" s="2934"/>
      <c r="M5" s="2935"/>
      <c r="N5" s="2935"/>
      <c r="O5" s="2935"/>
      <c r="P5" s="3330"/>
      <c r="Q5" s="3331"/>
      <c r="R5" s="3313"/>
      <c r="S5" s="3314"/>
      <c r="T5" s="3313"/>
      <c r="U5" s="3314"/>
      <c r="V5" s="3336"/>
      <c r="W5" s="3336"/>
      <c r="X5" s="1533"/>
      <c r="Y5" s="3313"/>
      <c r="Z5" s="3314"/>
      <c r="AA5" s="3307"/>
      <c r="AB5" s="3336"/>
      <c r="AC5" s="3307"/>
    </row>
    <row r="6" spans="1:29" ht="15.75" thickBot="1">
      <c r="A6" s="366"/>
      <c r="B6" s="367"/>
      <c r="C6" s="3410" t="s">
        <v>2363</v>
      </c>
      <c r="D6" s="3411"/>
      <c r="E6" s="3412" t="s">
        <v>2363</v>
      </c>
      <c r="F6" s="3413"/>
      <c r="G6" s="3410" t="s">
        <v>2363</v>
      </c>
      <c r="H6" s="3411"/>
      <c r="I6" s="3410" t="s">
        <v>2363</v>
      </c>
      <c r="J6" s="3411"/>
      <c r="K6" s="567" t="s">
        <v>2364</v>
      </c>
      <c r="L6" s="2934"/>
      <c r="M6" s="2935"/>
      <c r="N6" s="2935"/>
      <c r="O6" s="2935"/>
      <c r="P6" s="3332"/>
      <c r="Q6" s="3333"/>
      <c r="R6" s="3313"/>
      <c r="S6" s="3314"/>
      <c r="T6" s="3334"/>
      <c r="U6" s="3335"/>
      <c r="V6" s="3336"/>
      <c r="W6" s="3336"/>
      <c r="X6" s="1533"/>
      <c r="Y6" s="3334"/>
      <c r="Z6" s="3335"/>
      <c r="AA6" s="3308"/>
      <c r="AB6" s="3336"/>
      <c r="AC6" s="3308"/>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09" t="s">
        <v>2366</v>
      </c>
      <c r="Q7" s="3337"/>
      <c r="R7" s="710" t="s">
        <v>17</v>
      </c>
      <c r="S7" s="711">
        <f t="shared" ref="S7:S15" si="0">F7</f>
        <v>0</v>
      </c>
      <c r="T7" s="710" t="s">
        <v>17</v>
      </c>
      <c r="U7" s="711">
        <f t="shared" ref="U7:U15" si="1">H7</f>
        <v>0</v>
      </c>
      <c r="V7" s="710" t="s">
        <v>17</v>
      </c>
      <c r="W7" s="711">
        <f t="shared" ref="W7:W15" si="2">J7</f>
        <v>0</v>
      </c>
      <c r="X7" s="712"/>
      <c r="Y7" s="3309" t="s">
        <v>2366</v>
      </c>
      <c r="Z7" s="3310"/>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09" t="s">
        <v>2369</v>
      </c>
      <c r="Q8" s="3310"/>
      <c r="R8" s="710" t="s">
        <v>17</v>
      </c>
      <c r="S8" s="711">
        <f t="shared" si="0"/>
        <v>0</v>
      </c>
      <c r="T8" s="710" t="s">
        <v>17</v>
      </c>
      <c r="U8" s="711">
        <f t="shared" si="1"/>
        <v>0</v>
      </c>
      <c r="V8" s="710" t="s">
        <v>17</v>
      </c>
      <c r="W8" s="711">
        <f t="shared" si="2"/>
        <v>0</v>
      </c>
      <c r="X8" s="712"/>
      <c r="Y8" s="3309" t="s">
        <v>2369</v>
      </c>
      <c r="Z8" s="3310"/>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47" t="s">
        <v>2372</v>
      </c>
      <c r="Q9" s="1521" t="str">
        <f t="shared" ref="Q9:Q15" si="6">B9</f>
        <v>用途</v>
      </c>
      <c r="R9" s="710" t="s">
        <v>17</v>
      </c>
      <c r="S9" s="711">
        <f t="shared" si="0"/>
        <v>100</v>
      </c>
      <c r="T9" s="710" t="s">
        <v>17</v>
      </c>
      <c r="U9" s="711">
        <f t="shared" si="1"/>
        <v>100</v>
      </c>
      <c r="V9" s="710" t="s">
        <v>17</v>
      </c>
      <c r="W9" s="711">
        <f t="shared" si="2"/>
        <v>100</v>
      </c>
      <c r="X9" s="712"/>
      <c r="Y9" s="328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47"/>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47"/>
      <c r="Q11" s="1521" t="str">
        <f t="shared" si="6"/>
        <v>容积率</v>
      </c>
      <c r="R11" s="710" t="s">
        <v>17</v>
      </c>
      <c r="S11" s="711" t="e">
        <f t="shared" si="0"/>
        <v>#N/A</v>
      </c>
      <c r="T11" s="710" t="s">
        <v>17</v>
      </c>
      <c r="U11" s="711" t="e">
        <f t="shared" si="1"/>
        <v>#N/A</v>
      </c>
      <c r="V11" s="710" t="s">
        <v>17</v>
      </c>
      <c r="W11" s="711" t="e">
        <f t="shared" si="2"/>
        <v>#N/A</v>
      </c>
      <c r="X11" s="712"/>
      <c r="Y11" s="3282"/>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47"/>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47"/>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713">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47"/>
      <c r="Q14" s="1521">
        <f t="shared" si="6"/>
        <v>111</v>
      </c>
      <c r="R14" s="710" t="s">
        <v>17</v>
      </c>
      <c r="S14" s="711">
        <f t="shared" si="0"/>
        <v>100</v>
      </c>
      <c r="T14" s="710" t="s">
        <v>17</v>
      </c>
      <c r="U14" s="711">
        <f t="shared" si="1"/>
        <v>100</v>
      </c>
      <c r="V14" s="710" t="s">
        <v>17</v>
      </c>
      <c r="W14" s="711">
        <f t="shared" si="2"/>
        <v>100</v>
      </c>
      <c r="X14" s="712"/>
      <c r="Y14" s="3282"/>
      <c r="Z14" s="55">
        <f t="shared" si="7"/>
        <v>111</v>
      </c>
      <c r="AA14" s="713">
        <f t="shared" si="3"/>
        <v>1</v>
      </c>
      <c r="AB14" s="713">
        <f t="shared" si="4"/>
        <v>1</v>
      </c>
      <c r="AC14" s="713">
        <f t="shared" si="5"/>
        <v>1</v>
      </c>
    </row>
    <row r="15" spans="1:29" ht="114">
      <c r="A15" s="399" t="s">
        <v>2376</v>
      </c>
      <c r="B15" s="65" t="s">
        <v>2470</v>
      </c>
      <c r="C15" s="2075" t="str">
        <f>估价对象房地状况!C4</f>
        <v>估价对象位于花乡，周边商业氛围成熟度较好，2公里内有花乡奥莱村、万达广场等商业项目，人流量较大，商业繁华度较好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20" t="s">
        <v>2377</v>
      </c>
      <c r="Q15" s="1530" t="str">
        <f t="shared" si="6"/>
        <v>商业繁华度</v>
      </c>
      <c r="R15" s="714" t="s">
        <v>17</v>
      </c>
      <c r="S15" s="715">
        <f t="shared" si="0"/>
        <v>100</v>
      </c>
      <c r="T15" s="714" t="s">
        <v>17</v>
      </c>
      <c r="U15" s="715">
        <f t="shared" si="1"/>
        <v>100</v>
      </c>
      <c r="V15" s="714" t="s">
        <v>17</v>
      </c>
      <c r="W15" s="715">
        <f t="shared" si="2"/>
        <v>100</v>
      </c>
      <c r="X15" s="1533"/>
      <c r="Y15" s="3338"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1"/>
      <c r="M16" s="2935"/>
      <c r="N16" s="2935"/>
      <c r="O16" s="2935"/>
      <c r="P16" s="3421"/>
      <c r="Q16" s="1530"/>
      <c r="R16" s="714"/>
      <c r="S16" s="715"/>
      <c r="T16" s="714"/>
      <c r="U16" s="715"/>
      <c r="V16" s="714"/>
      <c r="W16" s="715"/>
      <c r="X16" s="1533"/>
      <c r="Y16" s="3339"/>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21"/>
      <c r="Q17" s="1530" t="str">
        <f>B17</f>
        <v>交通便捷度</v>
      </c>
      <c r="R17" s="714" t="s">
        <v>17</v>
      </c>
      <c r="S17" s="715">
        <f>F17</f>
        <v>100</v>
      </c>
      <c r="T17" s="714" t="s">
        <v>17</v>
      </c>
      <c r="U17" s="715">
        <f>H17</f>
        <v>100</v>
      </c>
      <c r="V17" s="714" t="s">
        <v>17</v>
      </c>
      <c r="W17" s="715">
        <f>J17</f>
        <v>100</v>
      </c>
      <c r="X17" s="1533"/>
      <c r="Y17" s="333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1"/>
      <c r="M18" s="2935"/>
      <c r="N18" s="2935"/>
      <c r="O18" s="2935"/>
      <c r="P18" s="3421"/>
      <c r="Q18" s="1530"/>
      <c r="R18" s="714"/>
      <c r="S18" s="715"/>
      <c r="T18" s="714"/>
      <c r="U18" s="715"/>
      <c r="V18" s="714"/>
      <c r="W18" s="715"/>
      <c r="X18" s="1533"/>
      <c r="Y18" s="3339"/>
      <c r="Z18" s="1534"/>
      <c r="AA18" s="1531">
        <v>1</v>
      </c>
      <c r="AB18" s="1531">
        <v>1</v>
      </c>
      <c r="AC18" s="1531">
        <v>1</v>
      </c>
    </row>
    <row r="19" spans="1:29" ht="42.75">
      <c r="A19" s="387"/>
      <c r="B19" s="410" t="s">
        <v>2471</v>
      </c>
      <c r="C19" s="2079"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21"/>
      <c r="Q19" s="1530" t="str">
        <f>B19</f>
        <v>公共配套设施</v>
      </c>
      <c r="R19" s="714" t="s">
        <v>17</v>
      </c>
      <c r="S19" s="715">
        <f>F19</f>
        <v>100</v>
      </c>
      <c r="T19" s="714" t="s">
        <v>17</v>
      </c>
      <c r="U19" s="715">
        <f>H19</f>
        <v>100</v>
      </c>
      <c r="V19" s="714" t="s">
        <v>17</v>
      </c>
      <c r="W19" s="715">
        <f>J19</f>
        <v>100</v>
      </c>
      <c r="X19" s="1533"/>
      <c r="Y19" s="333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1"/>
      <c r="M20" s="2935"/>
      <c r="N20" s="2935"/>
      <c r="O20" s="2935"/>
      <c r="P20" s="3421"/>
      <c r="Q20" s="1530"/>
      <c r="R20" s="714"/>
      <c r="S20" s="715"/>
      <c r="T20" s="714"/>
      <c r="U20" s="715"/>
      <c r="V20" s="714"/>
      <c r="W20" s="715"/>
      <c r="X20" s="1533"/>
      <c r="Y20" s="3339"/>
      <c r="Z20" s="1534"/>
      <c r="AA20" s="1531">
        <v>1</v>
      </c>
      <c r="AB20" s="1531">
        <v>1</v>
      </c>
      <c r="AC20" s="1531">
        <v>1</v>
      </c>
    </row>
    <row r="21" spans="1:29" ht="42.75">
      <c r="A21" s="387"/>
      <c r="B21" s="1287" t="s">
        <v>2472</v>
      </c>
      <c r="C21" s="2079"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21"/>
      <c r="Q21" s="1530" t="str">
        <f>B21</f>
        <v>基础设施水平</v>
      </c>
      <c r="R21" s="714" t="s">
        <v>17</v>
      </c>
      <c r="S21" s="715">
        <f>F21</f>
        <v>100</v>
      </c>
      <c r="T21" s="714" t="s">
        <v>17</v>
      </c>
      <c r="U21" s="715">
        <f>H21</f>
        <v>100</v>
      </c>
      <c r="V21" s="714" t="s">
        <v>17</v>
      </c>
      <c r="W21" s="715">
        <f>J21</f>
        <v>100</v>
      </c>
      <c r="X21" s="1533"/>
      <c r="Y21" s="333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1"/>
      <c r="M22" s="2935"/>
      <c r="N22" s="2935"/>
      <c r="O22" s="2935"/>
      <c r="P22" s="3421"/>
      <c r="Q22" s="1530"/>
      <c r="R22" s="714"/>
      <c r="S22" s="715"/>
      <c r="T22" s="714"/>
      <c r="U22" s="715"/>
      <c r="V22" s="714"/>
      <c r="W22" s="715"/>
      <c r="X22" s="1533"/>
      <c r="Y22" s="3339"/>
      <c r="Z22" s="1534"/>
      <c r="AA22" s="1531">
        <v>1</v>
      </c>
      <c r="AB22" s="1531">
        <v>1</v>
      </c>
      <c r="AC22" s="1531">
        <v>1</v>
      </c>
    </row>
    <row r="23" spans="1:29" ht="99.75">
      <c r="A23" s="387"/>
      <c r="B23" s="410" t="s">
        <v>1945</v>
      </c>
      <c r="C23" s="2134" t="str">
        <f>估价对象房地状况!C9</f>
        <v>区域自然环境：科丰公园、丰台科技生态公园；人文环境：汽车博物馆、首经贸大曦；综合评价环境状况较好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21"/>
      <c r="Q23" s="1530" t="str">
        <f>B23</f>
        <v>自然及人文环境</v>
      </c>
      <c r="R23" s="714" t="s">
        <v>17</v>
      </c>
      <c r="S23" s="715">
        <f>F23</f>
        <v>100</v>
      </c>
      <c r="T23" s="714" t="s">
        <v>17</v>
      </c>
      <c r="U23" s="715">
        <f>H23</f>
        <v>100</v>
      </c>
      <c r="V23" s="714" t="s">
        <v>17</v>
      </c>
      <c r="W23" s="715">
        <f>J23</f>
        <v>100</v>
      </c>
      <c r="X23" s="1533"/>
      <c r="Y23" s="3339"/>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1"/>
      <c r="M24" s="2935"/>
      <c r="N24" s="2935"/>
      <c r="O24" s="2935"/>
      <c r="P24" s="3421"/>
      <c r="Q24" s="1530"/>
      <c r="R24" s="714"/>
      <c r="S24" s="715"/>
      <c r="T24" s="714"/>
      <c r="U24" s="715"/>
      <c r="V24" s="714"/>
      <c r="W24" s="715"/>
      <c r="X24" s="1533"/>
      <c r="Y24" s="3339"/>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21"/>
      <c r="Q25" s="1530" t="str">
        <f t="shared" ref="Q25:Q46" si="11">B25</f>
        <v>临街状况</v>
      </c>
      <c r="R25" s="714" t="s">
        <v>17</v>
      </c>
      <c r="S25" s="715">
        <f>F25</f>
        <v>100</v>
      </c>
      <c r="T25" s="714" t="s">
        <v>17</v>
      </c>
      <c r="U25" s="715">
        <f>H25</f>
        <v>100</v>
      </c>
      <c r="V25" s="714" t="s">
        <v>17</v>
      </c>
      <c r="W25" s="715">
        <f>J25</f>
        <v>100</v>
      </c>
      <c r="X25" s="1533"/>
      <c r="Y25" s="3339"/>
      <c r="Z25" s="1534" t="str">
        <f>Q25</f>
        <v>临街状况</v>
      </c>
      <c r="AA25" s="1531">
        <f t="shared" si="3"/>
        <v>1</v>
      </c>
      <c r="AB25" s="1531">
        <f t="shared" si="4"/>
        <v>1</v>
      </c>
      <c r="AC25" s="1531">
        <f t="shared" si="5"/>
        <v>1</v>
      </c>
    </row>
    <row r="26" spans="1:29" ht="15">
      <c r="A26" s="387"/>
      <c r="B26" s="1289" t="s">
        <v>2474</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21"/>
      <c r="Q26" s="1530" t="str">
        <f t="shared" si="11"/>
        <v>平面位置/可视性</v>
      </c>
      <c r="R26" s="714" t="s">
        <v>17</v>
      </c>
      <c r="S26" s="715">
        <f>F26</f>
        <v>100</v>
      </c>
      <c r="T26" s="714" t="s">
        <v>17</v>
      </c>
      <c r="U26" s="715">
        <f>H26</f>
        <v>100</v>
      </c>
      <c r="V26" s="714" t="s">
        <v>17</v>
      </c>
      <c r="W26" s="715">
        <f>J26</f>
        <v>100</v>
      </c>
      <c r="X26" s="1533"/>
      <c r="Y26" s="3339"/>
      <c r="Z26" s="1534" t="str">
        <f>Q26</f>
        <v>平面位置/可视性</v>
      </c>
      <c r="AA26" s="1531">
        <f t="shared" si="3"/>
        <v>1</v>
      </c>
      <c r="AB26" s="1531">
        <f t="shared" si="4"/>
        <v>1</v>
      </c>
      <c r="AC26" s="1531">
        <f t="shared" si="5"/>
        <v>1</v>
      </c>
    </row>
    <row r="27" spans="1:29" s="113" customFormat="1" ht="15">
      <c r="A27" s="390"/>
      <c r="B27" s="410" t="s">
        <v>2475</v>
      </c>
      <c r="C27" s="2135"/>
      <c r="D27" s="421">
        <v>100</v>
      </c>
      <c r="E27" s="2135"/>
      <c r="F27" s="423">
        <f>SUMIF(90:90,E27,91:91)-SUMIF(90:90,C27,91:91)+100</f>
        <v>100</v>
      </c>
      <c r="G27" s="2135"/>
      <c r="H27" s="421">
        <f>SUMIF(90:90,G27,91:91)-SUMIF(90:90,C27,91:91)+100</f>
        <v>100</v>
      </c>
      <c r="I27" s="2135"/>
      <c r="J27" s="421">
        <f>SUMIF(90:90,I27,91:91)-SUMIF(90:90,C27,91:91)+100</f>
        <v>100</v>
      </c>
      <c r="K27" s="569"/>
      <c r="L27" s="2936"/>
      <c r="M27" s="2937"/>
      <c r="N27" s="2937"/>
      <c r="O27" s="2937"/>
      <c r="P27" s="3421"/>
      <c r="Q27" s="1521" t="str">
        <f t="shared" si="11"/>
        <v>人流量</v>
      </c>
      <c r="R27" s="710" t="s">
        <v>17</v>
      </c>
      <c r="S27" s="711">
        <f>F27</f>
        <v>100</v>
      </c>
      <c r="T27" s="710" t="s">
        <v>17</v>
      </c>
      <c r="U27" s="711">
        <f>H27</f>
        <v>100</v>
      </c>
      <c r="V27" s="710" t="s">
        <v>17</v>
      </c>
      <c r="W27" s="711">
        <f>J27</f>
        <v>100</v>
      </c>
      <c r="X27" s="712"/>
      <c r="Y27" s="3339"/>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21"/>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339"/>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21"/>
      <c r="Q29" s="1530">
        <f t="shared" si="11"/>
        <v>111</v>
      </c>
      <c r="R29" s="714" t="s">
        <v>17</v>
      </c>
      <c r="S29" s="715">
        <f t="shared" si="12"/>
        <v>100</v>
      </c>
      <c r="T29" s="714" t="s">
        <v>17</v>
      </c>
      <c r="U29" s="715">
        <f t="shared" si="13"/>
        <v>100</v>
      </c>
      <c r="V29" s="714" t="s">
        <v>17</v>
      </c>
      <c r="W29" s="715">
        <f t="shared" si="14"/>
        <v>100</v>
      </c>
      <c r="X29" s="1533"/>
      <c r="Y29" s="3339"/>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21"/>
      <c r="Q30" s="1530">
        <f t="shared" si="11"/>
        <v>111</v>
      </c>
      <c r="R30" s="714" t="s">
        <v>17</v>
      </c>
      <c r="S30" s="715">
        <f t="shared" si="12"/>
        <v>100</v>
      </c>
      <c r="T30" s="714" t="s">
        <v>17</v>
      </c>
      <c r="U30" s="715">
        <f t="shared" si="13"/>
        <v>100</v>
      </c>
      <c r="V30" s="714" t="s">
        <v>17</v>
      </c>
      <c r="W30" s="715">
        <f t="shared" si="14"/>
        <v>100</v>
      </c>
      <c r="X30" s="1533"/>
      <c r="Y30" s="3339"/>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21"/>
      <c r="Q31" s="1530">
        <f t="shared" si="11"/>
        <v>111</v>
      </c>
      <c r="R31" s="714" t="s">
        <v>17</v>
      </c>
      <c r="S31" s="715">
        <f t="shared" si="12"/>
        <v>100</v>
      </c>
      <c r="T31" s="714" t="s">
        <v>17</v>
      </c>
      <c r="U31" s="715">
        <f t="shared" si="13"/>
        <v>100</v>
      </c>
      <c r="V31" s="714" t="s">
        <v>17</v>
      </c>
      <c r="W31" s="715">
        <f t="shared" si="14"/>
        <v>100</v>
      </c>
      <c r="X31" s="1533"/>
      <c r="Y31" s="3339"/>
      <c r="Z31" s="1534">
        <f t="shared" si="15"/>
        <v>111</v>
      </c>
      <c r="AA31" s="1531">
        <f t="shared" si="3"/>
        <v>1</v>
      </c>
      <c r="AB31" s="1531">
        <f t="shared" si="4"/>
        <v>1</v>
      </c>
      <c r="AC31" s="1531">
        <f t="shared" si="5"/>
        <v>1</v>
      </c>
    </row>
    <row r="32" spans="1:29" ht="15">
      <c r="A32" s="399" t="s">
        <v>2380</v>
      </c>
      <c r="B32" s="67" t="s">
        <v>2477</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1"/>
      <c r="M32" s="2935"/>
      <c r="N32" s="2935"/>
      <c r="O32" s="2935"/>
      <c r="P32" s="3416" t="s">
        <v>2382</v>
      </c>
      <c r="Q32" s="1530" t="str">
        <f t="shared" si="11"/>
        <v>商业类型</v>
      </c>
      <c r="R32" s="714" t="s">
        <v>17</v>
      </c>
      <c r="S32" s="715">
        <f t="shared" si="12"/>
        <v>100</v>
      </c>
      <c r="T32" s="714" t="s">
        <v>17</v>
      </c>
      <c r="U32" s="715">
        <f t="shared" si="13"/>
        <v>100</v>
      </c>
      <c r="V32" s="714" t="s">
        <v>17</v>
      </c>
      <c r="W32" s="715">
        <f t="shared" si="14"/>
        <v>100</v>
      </c>
      <c r="X32" s="1533"/>
      <c r="Y32" s="3341"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417"/>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1" t="e">
        <f t="shared" si="3"/>
        <v>#N/A</v>
      </c>
      <c r="AB33" s="1531" t="e">
        <f t="shared" si="4"/>
        <v>#N/A</v>
      </c>
      <c r="AC33" s="1531" t="e">
        <f t="shared" si="5"/>
        <v>#N/A</v>
      </c>
    </row>
    <row r="34" spans="1:29" ht="15">
      <c r="A34" s="431"/>
      <c r="B34" s="381" t="s">
        <v>2384</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1"/>
      <c r="M34" s="2935"/>
      <c r="N34" s="2935"/>
      <c r="O34" s="2935"/>
      <c r="P34" s="3417"/>
      <c r="Q34" s="1530" t="str">
        <f t="shared" si="11"/>
        <v>建筑结构</v>
      </c>
      <c r="R34" s="714" t="s">
        <v>17</v>
      </c>
      <c r="S34" s="715">
        <f t="shared" si="12"/>
        <v>100</v>
      </c>
      <c r="T34" s="714" t="s">
        <v>17</v>
      </c>
      <c r="U34" s="715">
        <f t="shared" si="13"/>
        <v>100</v>
      </c>
      <c r="V34" s="714" t="s">
        <v>17</v>
      </c>
      <c r="W34" s="715">
        <f t="shared" si="14"/>
        <v>100</v>
      </c>
      <c r="X34" s="1533"/>
      <c r="Y34" s="3341"/>
      <c r="Z34" s="1534" t="str">
        <f t="shared" si="15"/>
        <v>建筑结构</v>
      </c>
      <c r="AA34" s="1531">
        <f t="shared" si="3"/>
        <v>1</v>
      </c>
      <c r="AB34" s="1531">
        <f t="shared" si="4"/>
        <v>1</v>
      </c>
      <c r="AC34" s="1531">
        <f t="shared" si="5"/>
        <v>1</v>
      </c>
    </row>
    <row r="35" spans="1:29" ht="15">
      <c r="A35" s="431"/>
      <c r="B35" s="381" t="s">
        <v>2478</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1"/>
      <c r="M35" s="2935"/>
      <c r="N35" s="2935"/>
      <c r="O35" s="2935"/>
      <c r="P35" s="3417"/>
      <c r="Q35" s="1530" t="str">
        <f t="shared" si="11"/>
        <v>公共部分装修</v>
      </c>
      <c r="R35" s="714" t="s">
        <v>17</v>
      </c>
      <c r="S35" s="715">
        <f t="shared" si="12"/>
        <v>100</v>
      </c>
      <c r="T35" s="714" t="s">
        <v>17</v>
      </c>
      <c r="U35" s="715">
        <f t="shared" si="13"/>
        <v>100</v>
      </c>
      <c r="V35" s="714" t="s">
        <v>17</v>
      </c>
      <c r="W35" s="715">
        <f t="shared" si="14"/>
        <v>100</v>
      </c>
      <c r="X35" s="1533"/>
      <c r="Y35" s="3341"/>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417"/>
      <c r="Q36" s="1530" t="str">
        <f t="shared" si="11"/>
        <v>成新度</v>
      </c>
      <c r="R36" s="714" t="s">
        <v>17</v>
      </c>
      <c r="S36" s="715" t="e">
        <f t="shared" si="12"/>
        <v>#N/A</v>
      </c>
      <c r="T36" s="714" t="s">
        <v>17</v>
      </c>
      <c r="U36" s="715" t="e">
        <f t="shared" si="13"/>
        <v>#N/A</v>
      </c>
      <c r="V36" s="714" t="s">
        <v>17</v>
      </c>
      <c r="W36" s="715" t="e">
        <f t="shared" si="14"/>
        <v>#N/A</v>
      </c>
      <c r="X36" s="1533"/>
      <c r="Y36" s="3341"/>
      <c r="Z36" s="1534" t="str">
        <f t="shared" si="15"/>
        <v>成新度</v>
      </c>
      <c r="AA36" s="1531" t="e">
        <f t="shared" si="3"/>
        <v>#N/A</v>
      </c>
      <c r="AB36" s="1531" t="e">
        <f t="shared" si="4"/>
        <v>#N/A</v>
      </c>
      <c r="AC36" s="1531" t="e">
        <f t="shared" si="5"/>
        <v>#N/A</v>
      </c>
    </row>
    <row r="37" spans="1:29" s="113" customFormat="1" ht="15">
      <c r="A37" s="432"/>
      <c r="B37" s="381" t="s">
        <v>2480</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6"/>
      <c r="M37" s="2937"/>
      <c r="N37" s="2937"/>
      <c r="O37" s="2937"/>
      <c r="P37" s="3417"/>
      <c r="Q37" s="1521"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2481</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1"/>
      <c r="M38" s="2935"/>
      <c r="N38" s="2935"/>
      <c r="O38" s="2935"/>
      <c r="P38" s="3417" t="s">
        <v>2382</v>
      </c>
      <c r="Q38" s="1530" t="str">
        <f t="shared" si="11"/>
        <v>业态</v>
      </c>
      <c r="R38" s="714" t="s">
        <v>17</v>
      </c>
      <c r="S38" s="715">
        <f t="shared" si="12"/>
        <v>100</v>
      </c>
      <c r="T38" s="714" t="s">
        <v>17</v>
      </c>
      <c r="U38" s="715">
        <f t="shared" si="13"/>
        <v>100</v>
      </c>
      <c r="V38" s="714" t="s">
        <v>17</v>
      </c>
      <c r="W38" s="715">
        <f t="shared" si="14"/>
        <v>100</v>
      </c>
      <c r="X38" s="1533"/>
      <c r="Y38" s="3341" t="s">
        <v>2382</v>
      </c>
      <c r="Z38" s="1534" t="str">
        <f t="shared" si="15"/>
        <v>业态</v>
      </c>
      <c r="AA38" s="1531">
        <f t="shared" si="3"/>
        <v>1</v>
      </c>
      <c r="AB38" s="1531">
        <f t="shared" si="4"/>
        <v>1</v>
      </c>
      <c r="AC38" s="1531">
        <f t="shared" si="5"/>
        <v>1</v>
      </c>
    </row>
    <row r="39" spans="1:29" ht="15">
      <c r="A39" s="431"/>
      <c r="B39" s="381" t="s">
        <v>2482</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1"/>
      <c r="M39" s="2935"/>
      <c r="N39" s="2935"/>
      <c r="O39" s="2935"/>
      <c r="P39" s="3417"/>
      <c r="Q39" s="1530" t="str">
        <f t="shared" si="11"/>
        <v>层高</v>
      </c>
      <c r="R39" s="714" t="s">
        <v>17</v>
      </c>
      <c r="S39" s="715">
        <f t="shared" si="12"/>
        <v>100</v>
      </c>
      <c r="T39" s="714" t="s">
        <v>17</v>
      </c>
      <c r="U39" s="715">
        <f t="shared" si="13"/>
        <v>100</v>
      </c>
      <c r="V39" s="714" t="s">
        <v>17</v>
      </c>
      <c r="W39" s="715">
        <f t="shared" si="14"/>
        <v>100</v>
      </c>
      <c r="X39" s="1533"/>
      <c r="Y39" s="3341"/>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417"/>
      <c r="Q40" s="1530" t="str">
        <f t="shared" si="11"/>
        <v>单套建筑面积</v>
      </c>
      <c r="R40" s="714" t="s">
        <v>17</v>
      </c>
      <c r="S40" s="715">
        <f t="shared" si="12"/>
        <v>100</v>
      </c>
      <c r="T40" s="714" t="s">
        <v>17</v>
      </c>
      <c r="U40" s="715">
        <f t="shared" si="13"/>
        <v>100</v>
      </c>
      <c r="V40" s="714" t="s">
        <v>17</v>
      </c>
      <c r="W40" s="715">
        <f t="shared" si="14"/>
        <v>100</v>
      </c>
      <c r="X40" s="1533"/>
      <c r="Y40" s="3341"/>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417"/>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1">
        <f t="shared" si="3"/>
        <v>1</v>
      </c>
      <c r="AB41" s="1531">
        <f t="shared" si="4"/>
        <v>1</v>
      </c>
      <c r="AC41" s="1531">
        <f t="shared" si="5"/>
        <v>1</v>
      </c>
    </row>
    <row r="42" spans="1:29" ht="15">
      <c r="A42" s="431"/>
      <c r="B42" s="381" t="s">
        <v>2485</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1"/>
      <c r="M42" s="2935"/>
      <c r="N42" s="2935"/>
      <c r="O42" s="2935"/>
      <c r="P42" s="3417"/>
      <c r="Q42" s="1530" t="str">
        <f t="shared" si="11"/>
        <v>内部装修</v>
      </c>
      <c r="R42" s="714" t="s">
        <v>17</v>
      </c>
      <c r="S42" s="715">
        <f t="shared" si="12"/>
        <v>100</v>
      </c>
      <c r="T42" s="714" t="s">
        <v>17</v>
      </c>
      <c r="U42" s="715">
        <f t="shared" si="13"/>
        <v>100</v>
      </c>
      <c r="V42" s="714" t="s">
        <v>17</v>
      </c>
      <c r="W42" s="715">
        <f t="shared" si="14"/>
        <v>100</v>
      </c>
      <c r="X42" s="1533"/>
      <c r="Y42" s="3341"/>
      <c r="Z42" s="1534" t="str">
        <f t="shared" si="15"/>
        <v>内部装修</v>
      </c>
      <c r="AA42" s="1531">
        <f t="shared" si="3"/>
        <v>1</v>
      </c>
      <c r="AB42" s="1531">
        <f t="shared" si="4"/>
        <v>1</v>
      </c>
      <c r="AC42" s="1531">
        <f t="shared" si="5"/>
        <v>1</v>
      </c>
    </row>
    <row r="43" spans="1:29" ht="15">
      <c r="A43" s="431"/>
      <c r="B43" s="381" t="s">
        <v>2393</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1"/>
      <c r="M43" s="2935"/>
      <c r="N43" s="2935"/>
      <c r="O43" s="2935"/>
      <c r="P43" s="3417"/>
      <c r="Q43" s="1530" t="str">
        <f t="shared" si="11"/>
        <v>内部装修维护情况</v>
      </c>
      <c r="R43" s="714" t="s">
        <v>17</v>
      </c>
      <c r="S43" s="715">
        <f t="shared" si="12"/>
        <v>100</v>
      </c>
      <c r="T43" s="714" t="s">
        <v>17</v>
      </c>
      <c r="U43" s="715">
        <f t="shared" si="13"/>
        <v>100</v>
      </c>
      <c r="V43" s="714" t="s">
        <v>17</v>
      </c>
      <c r="W43" s="715">
        <f t="shared" si="14"/>
        <v>100</v>
      </c>
      <c r="X43" s="1533"/>
      <c r="Y43" s="3341"/>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417"/>
      <c r="Q44" s="1521">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417"/>
      <c r="Q45" s="1530">
        <f t="shared" si="11"/>
        <v>111</v>
      </c>
      <c r="R45" s="714" t="s">
        <v>17</v>
      </c>
      <c r="S45" s="715">
        <f t="shared" si="12"/>
        <v>100</v>
      </c>
      <c r="T45" s="714" t="s">
        <v>17</v>
      </c>
      <c r="U45" s="715">
        <f t="shared" si="13"/>
        <v>100</v>
      </c>
      <c r="V45" s="714" t="s">
        <v>17</v>
      </c>
      <c r="W45" s="715">
        <f t="shared" si="14"/>
        <v>100</v>
      </c>
      <c r="X45" s="1533"/>
      <c r="Y45" s="3341"/>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18"/>
      <c r="Q46" s="1530">
        <f t="shared" si="11"/>
        <v>111</v>
      </c>
      <c r="R46" s="714" t="s">
        <v>17</v>
      </c>
      <c r="S46" s="715">
        <f t="shared" si="12"/>
        <v>100</v>
      </c>
      <c r="T46" s="714" t="s">
        <v>17</v>
      </c>
      <c r="U46" s="715">
        <f t="shared" si="13"/>
        <v>100</v>
      </c>
      <c r="V46" s="714" t="s">
        <v>17</v>
      </c>
      <c r="W46" s="715">
        <f t="shared" si="14"/>
        <v>100</v>
      </c>
      <c r="X46" s="1533"/>
      <c r="Y46" s="3419"/>
      <c r="Z46" s="1534">
        <f t="shared" si="15"/>
        <v>111</v>
      </c>
      <c r="AA46" s="1531">
        <f t="shared" si="3"/>
        <v>1</v>
      </c>
      <c r="AB46" s="1531">
        <f t="shared" si="4"/>
        <v>1</v>
      </c>
      <c r="AC46" s="1531">
        <f t="shared" si="5"/>
        <v>1</v>
      </c>
    </row>
    <row r="47" spans="1:29" ht="15">
      <c r="A47" s="438" t="s">
        <v>2394</v>
      </c>
      <c r="B47" s="439"/>
      <c r="C47" s="1310" t="s">
        <v>1</v>
      </c>
      <c r="D47" s="1311"/>
      <c r="E47" s="1312"/>
      <c r="F47" s="1313"/>
      <c r="G47" s="1314"/>
      <c r="H47" s="1315"/>
      <c r="I47" s="1312"/>
      <c r="J47" s="1315"/>
      <c r="K47" s="723"/>
      <c r="L47" s="2943"/>
      <c r="M47" s="2944"/>
      <c r="N47" s="2935"/>
      <c r="O47" s="2944"/>
      <c r="P47" s="3323" t="str">
        <f>A47</f>
        <v>成交单价（元/平方米）</v>
      </c>
      <c r="Q47" s="3323"/>
      <c r="R47" s="3336">
        <f>E47</f>
        <v>0</v>
      </c>
      <c r="S47" s="3336"/>
      <c r="T47" s="3336">
        <f>G47</f>
        <v>0</v>
      </c>
      <c r="U47" s="3336"/>
      <c r="V47" s="3336">
        <f>I47</f>
        <v>0</v>
      </c>
      <c r="W47" s="3336"/>
      <c r="X47" s="699"/>
      <c r="Y47" s="721"/>
      <c r="Z47" s="699"/>
      <c r="AA47" s="699"/>
      <c r="AB47" s="699"/>
      <c r="AC47" s="699"/>
    </row>
    <row r="48" spans="1:29" ht="15.75" thickBot="1">
      <c r="A48" s="445" t="s">
        <v>2486</v>
      </c>
      <c r="B48" s="446"/>
      <c r="C48" s="1316" t="e">
        <f>R49</f>
        <v>#DIV/0!</v>
      </c>
      <c r="D48" s="2531" t="s">
        <v>2876</v>
      </c>
      <c r="E48" s="1317" t="e">
        <f>R48</f>
        <v>#DIV/0!</v>
      </c>
      <c r="F48" s="2532"/>
      <c r="G48" s="1316" t="e">
        <f>T48</f>
        <v>#DIV/0!</v>
      </c>
      <c r="H48" s="2532"/>
      <c r="I48" s="1317" t="e">
        <f>V48</f>
        <v>#DIV/0!</v>
      </c>
      <c r="J48" s="2532"/>
      <c r="K48" s="2534">
        <f>F48+H48+J48</f>
        <v>0</v>
      </c>
      <c r="L48" s="2943"/>
      <c r="M48" s="2944"/>
      <c r="N48" s="2935"/>
      <c r="O48" s="2944"/>
      <c r="P48" s="3323" t="str">
        <f>A48</f>
        <v>比较价值（元/平方米）</v>
      </c>
      <c r="Q48" s="3323"/>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699"/>
      <c r="Y48" s="699"/>
      <c r="Z48" s="699"/>
      <c r="AA48" s="699"/>
      <c r="AB48" s="699"/>
      <c r="AC48" s="699"/>
    </row>
    <row r="49" spans="1:29" ht="15.75" thickBot="1">
      <c r="A49" s="449" t="s">
        <v>2487</v>
      </c>
      <c r="B49" s="450"/>
      <c r="C49" s="1319" t="e">
        <f>R49</f>
        <v>#DIV/0!</v>
      </c>
      <c r="D49" s="1319"/>
      <c r="E49" s="1319"/>
      <c r="F49" s="1319"/>
      <c r="G49" s="1319"/>
      <c r="H49" s="1319"/>
      <c r="I49" s="1319"/>
      <c r="J49" s="1319"/>
      <c r="K49" s="724"/>
      <c r="L49" s="2943"/>
      <c r="M49" s="2944"/>
      <c r="N49" s="2935"/>
      <c r="O49" s="2944"/>
      <c r="P49" s="3343" t="str">
        <f>A49</f>
        <v>估价对象XX用房的比较价值（楼面单价，元/平方米）</v>
      </c>
      <c r="Q49" s="3344"/>
      <c r="R49" s="3414" t="e">
        <f>IF(F1="售价",ROUND(IF(D48="简单平均",AVERAGE(R48:V48),R48*F48+T48*H48+V48*J48),0),ROUND(IF(D48="简单平均",AVERAGE(R48:V48),R48*F48+T48*H48+V48*J48),1))</f>
        <v>#DIV/0!</v>
      </c>
      <c r="S49" s="3414"/>
      <c r="T49" s="3414"/>
      <c r="U49" s="3414"/>
      <c r="V49" s="3414"/>
      <c r="W49" s="3414"/>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2491</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2365</v>
      </c>
      <c r="B58" s="463"/>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2402</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2367</v>
      </c>
      <c r="B61" s="467"/>
      <c r="C61" s="479" t="s">
        <v>2469</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2405</v>
      </c>
      <c r="B63" s="485" t="s">
        <v>2371</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2376</v>
      </c>
      <c r="B76" s="485" t="s">
        <v>2413</v>
      </c>
      <c r="C76" s="530" t="s">
        <v>2414</v>
      </c>
      <c r="D76" s="530" t="s">
        <v>2415</v>
      </c>
      <c r="E76" s="530" t="s">
        <v>2416</v>
      </c>
      <c r="F76" s="530" t="s">
        <v>2417</v>
      </c>
      <c r="G76" s="530" t="s">
        <v>2418</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2419</v>
      </c>
      <c r="C78" s="535" t="s">
        <v>2414</v>
      </c>
      <c r="D78" s="535" t="s">
        <v>2415</v>
      </c>
      <c r="E78" s="535" t="s">
        <v>2416</v>
      </c>
      <c r="F78" s="535" t="s">
        <v>2417</v>
      </c>
      <c r="G78" s="535" t="s">
        <v>2418</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2420</v>
      </c>
      <c r="C80" s="535" t="s">
        <v>2414</v>
      </c>
      <c r="D80" s="535" t="s">
        <v>2415</v>
      </c>
      <c r="E80" s="535" t="s">
        <v>2416</v>
      </c>
      <c r="F80" s="535" t="s">
        <v>2417</v>
      </c>
      <c r="G80" s="535" t="s">
        <v>2418</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2472</v>
      </c>
      <c r="C82" s="616" t="s">
        <v>2492</v>
      </c>
      <c r="D82" s="616" t="s">
        <v>2493</v>
      </c>
      <c r="E82" s="616" t="s">
        <v>2494</v>
      </c>
      <c r="F82" s="616" t="s">
        <v>2495</v>
      </c>
      <c r="G82" s="616" t="s">
        <v>2496</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2426</v>
      </c>
      <c r="C84" s="535" t="s">
        <v>2414</v>
      </c>
      <c r="D84" s="535" t="s">
        <v>2415</v>
      </c>
      <c r="E84" s="535" t="s">
        <v>2416</v>
      </c>
      <c r="F84" s="535" t="s">
        <v>2417</v>
      </c>
      <c r="G84" s="535" t="s">
        <v>2418</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2497</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6"/>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7"/>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2380</v>
      </c>
      <c r="B100" s="485" t="s">
        <v>2498</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2431</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2433</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2435</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2499</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2500</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2501</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2502</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2437</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2503</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IF(C2="——",ROUND(C50*D3/10000,0),ROUND(C50*D3/10000,0)-D2)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2462</v>
      </c>
      <c r="B4" s="362"/>
      <c r="C4" s="3324" t="s">
        <v>2463</v>
      </c>
      <c r="D4" s="3325"/>
      <c r="E4" s="3326" t="s">
        <v>2464</v>
      </c>
      <c r="F4" s="3327"/>
      <c r="G4" s="3324" t="s">
        <v>2465</v>
      </c>
      <c r="H4" s="3325"/>
      <c r="I4" s="3324" t="s">
        <v>2466</v>
      </c>
      <c r="J4" s="3325"/>
      <c r="K4" s="567" t="s">
        <v>2467</v>
      </c>
      <c r="L4" s="2934"/>
      <c r="M4" s="2935"/>
      <c r="N4" s="2935"/>
      <c r="O4" s="2935"/>
      <c r="P4" s="3428" t="s">
        <v>2468</v>
      </c>
      <c r="Q4" s="3429"/>
      <c r="R4" s="3423" t="s">
        <v>2464</v>
      </c>
      <c r="S4" s="3424"/>
      <c r="T4" s="3423" t="s">
        <v>2465</v>
      </c>
      <c r="U4" s="3424"/>
      <c r="V4" s="3432" t="s">
        <v>2466</v>
      </c>
      <c r="W4" s="3432"/>
      <c r="X4" s="2137"/>
      <c r="Y4" s="3423" t="s">
        <v>2468</v>
      </c>
      <c r="Z4" s="3424"/>
      <c r="AA4" s="3422" t="s">
        <v>2464</v>
      </c>
      <c r="AB4" s="3422" t="s">
        <v>2465</v>
      </c>
      <c r="AC4" s="3425" t="s">
        <v>2466</v>
      </c>
    </row>
    <row r="5" spans="1:29" ht="15">
      <c r="A5" s="364"/>
      <c r="B5" s="365"/>
      <c r="C5" s="3408" t="s">
        <v>2359</v>
      </c>
      <c r="D5" s="3409"/>
      <c r="E5" s="3406" t="s">
        <v>2360</v>
      </c>
      <c r="F5" s="3407"/>
      <c r="G5" s="3408" t="s">
        <v>2361</v>
      </c>
      <c r="H5" s="3409"/>
      <c r="I5" s="3408" t="s">
        <v>2362</v>
      </c>
      <c r="J5" s="3409"/>
      <c r="K5" s="567"/>
      <c r="L5" s="2934"/>
      <c r="M5" s="2935"/>
      <c r="N5" s="2935"/>
      <c r="O5" s="2935"/>
      <c r="P5" s="3430"/>
      <c r="Q5" s="3331"/>
      <c r="R5" s="3313"/>
      <c r="S5" s="3314"/>
      <c r="T5" s="3313"/>
      <c r="U5" s="3314"/>
      <c r="V5" s="3336"/>
      <c r="W5" s="3336"/>
      <c r="X5" s="1533"/>
      <c r="Y5" s="3313"/>
      <c r="Z5" s="3314"/>
      <c r="AA5" s="3307"/>
      <c r="AB5" s="3307"/>
      <c r="AC5" s="3426"/>
    </row>
    <row r="6" spans="1:29" ht="15.75" thickBot="1">
      <c r="A6" s="366"/>
      <c r="B6" s="367"/>
      <c r="C6" s="3410" t="s">
        <v>2363</v>
      </c>
      <c r="D6" s="3411"/>
      <c r="E6" s="3412" t="s">
        <v>2363</v>
      </c>
      <c r="F6" s="3413"/>
      <c r="G6" s="3410" t="s">
        <v>2363</v>
      </c>
      <c r="H6" s="3411"/>
      <c r="I6" s="3410" t="s">
        <v>2363</v>
      </c>
      <c r="J6" s="3411"/>
      <c r="K6" s="567" t="s">
        <v>2364</v>
      </c>
      <c r="L6" s="2934"/>
      <c r="M6" s="2935"/>
      <c r="N6" s="2935"/>
      <c r="O6" s="2935"/>
      <c r="P6" s="3431"/>
      <c r="Q6" s="3333"/>
      <c r="R6" s="3313"/>
      <c r="S6" s="3314"/>
      <c r="T6" s="3334"/>
      <c r="U6" s="3335"/>
      <c r="V6" s="3336"/>
      <c r="W6" s="3336"/>
      <c r="X6" s="1533"/>
      <c r="Y6" s="3334"/>
      <c r="Z6" s="3335"/>
      <c r="AA6" s="3308"/>
      <c r="AB6" s="3308"/>
      <c r="AC6" s="3427"/>
    </row>
    <row r="7" spans="1:29" s="113" customFormat="1" ht="15.75" thickBot="1">
      <c r="A7" s="368" t="s">
        <v>2365</v>
      </c>
      <c r="B7" s="369"/>
      <c r="C7" s="370">
        <f>'数据-取费表'!B2</f>
        <v>44299</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33" t="s">
        <v>2366</v>
      </c>
      <c r="Q7" s="3337"/>
      <c r="R7" s="710" t="s">
        <v>17</v>
      </c>
      <c r="S7" s="711">
        <f t="shared" ref="S7:S15" si="0">F7</f>
        <v>0</v>
      </c>
      <c r="T7" s="710" t="s">
        <v>17</v>
      </c>
      <c r="U7" s="711">
        <f t="shared" ref="U7:U15" si="1">H7</f>
        <v>0</v>
      </c>
      <c r="V7" s="710" t="s">
        <v>17</v>
      </c>
      <c r="W7" s="711">
        <f t="shared" ref="W7:W15" si="2">J7</f>
        <v>0</v>
      </c>
      <c r="X7" s="712"/>
      <c r="Y7" s="3309" t="s">
        <v>2366</v>
      </c>
      <c r="Z7" s="3310"/>
      <c r="AA7" s="713" t="e">
        <f>D7/F7</f>
        <v>#DIV/0!</v>
      </c>
      <c r="AB7" s="713" t="e">
        <f>D7/H7</f>
        <v>#DIV/0!</v>
      </c>
      <c r="AC7" s="2138"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33" t="s">
        <v>2369</v>
      </c>
      <c r="Q8" s="3310"/>
      <c r="R8" s="710" t="s">
        <v>17</v>
      </c>
      <c r="S8" s="711">
        <f t="shared" si="0"/>
        <v>0</v>
      </c>
      <c r="T8" s="710" t="s">
        <v>17</v>
      </c>
      <c r="U8" s="711">
        <f t="shared" si="1"/>
        <v>0</v>
      </c>
      <c r="V8" s="710" t="s">
        <v>17</v>
      </c>
      <c r="W8" s="711">
        <f t="shared" si="2"/>
        <v>0</v>
      </c>
      <c r="X8" s="712"/>
      <c r="Y8" s="3309" t="s">
        <v>2369</v>
      </c>
      <c r="Z8" s="3310"/>
      <c r="AA8" s="713" t="e">
        <f t="shared" ref="AA8:AA47" si="3">D8/F8</f>
        <v>#DIV/0!</v>
      </c>
      <c r="AB8" s="713" t="e">
        <f t="shared" ref="AB8:AB47" si="4">D8/H8</f>
        <v>#DIV/0!</v>
      </c>
      <c r="AC8" s="2138"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47" t="s">
        <v>2372</v>
      </c>
      <c r="Q9" s="1521" t="str">
        <f t="shared" ref="Q9:Q15" si="6">B9</f>
        <v>用途</v>
      </c>
      <c r="R9" s="710" t="s">
        <v>17</v>
      </c>
      <c r="S9" s="711">
        <f t="shared" si="0"/>
        <v>100</v>
      </c>
      <c r="T9" s="710" t="s">
        <v>17</v>
      </c>
      <c r="U9" s="711">
        <f t="shared" si="1"/>
        <v>100</v>
      </c>
      <c r="V9" s="710" t="s">
        <v>17</v>
      </c>
      <c r="W9" s="711">
        <f t="shared" si="2"/>
        <v>100</v>
      </c>
      <c r="X9" s="712"/>
      <c r="Y9" s="3282" t="s">
        <v>2373</v>
      </c>
      <c r="Z9" s="55" t="str">
        <f t="shared" ref="Z9:Z15" si="7">Q9</f>
        <v>用途</v>
      </c>
      <c r="AA9" s="713">
        <f t="shared" si="3"/>
        <v>1</v>
      </c>
      <c r="AB9" s="713">
        <f t="shared" si="4"/>
        <v>1</v>
      </c>
      <c r="AC9" s="2138">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47"/>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2138">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47"/>
      <c r="Q11" s="1521" t="str">
        <f t="shared" si="6"/>
        <v>容积率</v>
      </c>
      <c r="R11" s="710" t="s">
        <v>17</v>
      </c>
      <c r="S11" s="711" t="e">
        <f t="shared" si="0"/>
        <v>#N/A</v>
      </c>
      <c r="T11" s="710" t="s">
        <v>17</v>
      </c>
      <c r="U11" s="711" t="e">
        <f t="shared" si="1"/>
        <v>#N/A</v>
      </c>
      <c r="V11" s="710" t="s">
        <v>17</v>
      </c>
      <c r="W11" s="711" t="e">
        <f t="shared" si="2"/>
        <v>#N/A</v>
      </c>
      <c r="X11" s="712"/>
      <c r="Y11" s="3282"/>
      <c r="Z11" s="55" t="str">
        <f t="shared" si="7"/>
        <v>容积率</v>
      </c>
      <c r="AA11" s="713" t="e">
        <f t="shared" si="3"/>
        <v>#N/A</v>
      </c>
      <c r="AB11" s="713"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6"/>
      <c r="M12" s="2937"/>
      <c r="N12" s="2937"/>
      <c r="O12" s="2937"/>
      <c r="P12" s="3347"/>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1"/>
      <c r="M13" s="2935"/>
      <c r="N13" s="2935"/>
      <c r="O13" s="2935"/>
      <c r="P13" s="3347"/>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1"/>
      <c r="M14" s="2935"/>
      <c r="N14" s="2935"/>
      <c r="O14" s="2935"/>
      <c r="P14" s="3347"/>
      <c r="Q14" s="1521">
        <f t="shared" si="6"/>
        <v>111</v>
      </c>
      <c r="R14" s="710" t="s">
        <v>17</v>
      </c>
      <c r="S14" s="711">
        <f t="shared" si="0"/>
        <v>100</v>
      </c>
      <c r="T14" s="710" t="s">
        <v>17</v>
      </c>
      <c r="U14" s="711">
        <f t="shared" si="1"/>
        <v>100</v>
      </c>
      <c r="V14" s="710" t="s">
        <v>17</v>
      </c>
      <c r="W14" s="711">
        <f t="shared" si="2"/>
        <v>100</v>
      </c>
      <c r="X14" s="712"/>
      <c r="Y14" s="3282"/>
      <c r="Z14" s="55">
        <f t="shared" si="7"/>
        <v>111</v>
      </c>
      <c r="AA14" s="713">
        <f t="shared" si="3"/>
        <v>1</v>
      </c>
      <c r="AB14" s="713">
        <f t="shared" si="4"/>
        <v>1</v>
      </c>
      <c r="AC14" s="2138">
        <f t="shared" si="5"/>
        <v>1</v>
      </c>
    </row>
    <row r="15" spans="1:29" ht="99.75">
      <c r="A15" s="399" t="s">
        <v>2376</v>
      </c>
      <c r="B15" s="585" t="s">
        <v>2504</v>
      </c>
      <c r="C15" s="2140" t="str">
        <f>估价对象房地状况!C5</f>
        <v>估价对象位于花乡，周边办公楼项目较多，有诺德中心、东旭国际中心等项目，入驻率较高，办公集聚程度较好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20" t="s">
        <v>2377</v>
      </c>
      <c r="Q15" s="1530" t="str">
        <f t="shared" si="6"/>
        <v>办公集聚程度</v>
      </c>
      <c r="R15" s="714" t="s">
        <v>17</v>
      </c>
      <c r="S15" s="715">
        <f t="shared" si="0"/>
        <v>100</v>
      </c>
      <c r="T15" s="714" t="s">
        <v>17</v>
      </c>
      <c r="U15" s="715">
        <f t="shared" si="1"/>
        <v>100</v>
      </c>
      <c r="V15" s="714" t="s">
        <v>17</v>
      </c>
      <c r="W15" s="715">
        <f t="shared" si="2"/>
        <v>100</v>
      </c>
      <c r="X15" s="1533"/>
      <c r="Y15" s="3338" t="s">
        <v>2377</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1"/>
      <c r="M16" s="2935"/>
      <c r="N16" s="2935"/>
      <c r="O16" s="2935"/>
      <c r="P16" s="3421"/>
      <c r="Q16" s="1530"/>
      <c r="R16" s="714"/>
      <c r="S16" s="715"/>
      <c r="T16" s="714"/>
      <c r="U16" s="715"/>
      <c r="V16" s="714"/>
      <c r="W16" s="715"/>
      <c r="X16" s="1533"/>
      <c r="Y16" s="3339"/>
      <c r="Z16" s="1534"/>
      <c r="AA16" s="1531">
        <v>1</v>
      </c>
      <c r="AB16" s="1531">
        <v>1</v>
      </c>
      <c r="AC16" s="2141">
        <v>1</v>
      </c>
    </row>
    <row r="17" spans="1:29" ht="128.25">
      <c r="A17" s="387"/>
      <c r="B17" s="587" t="s">
        <v>1943</v>
      </c>
      <c r="C17" s="2142" t="str">
        <f>估价对象房地状况!C6</f>
        <v>估价对象周边道路状况较好、公共交通通达情况较好、有400、602、685等多路公交车经过，地铁9号线、房山线经过，停车便捷程度，综合评价交通便捷度较好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21"/>
      <c r="Q17" s="1530" t="str">
        <f>B17</f>
        <v>交通便捷度</v>
      </c>
      <c r="R17" s="714" t="s">
        <v>17</v>
      </c>
      <c r="S17" s="715">
        <f>F17</f>
        <v>100</v>
      </c>
      <c r="T17" s="714" t="s">
        <v>17</v>
      </c>
      <c r="U17" s="715">
        <f>H17</f>
        <v>100</v>
      </c>
      <c r="V17" s="714" t="s">
        <v>17</v>
      </c>
      <c r="W17" s="715">
        <f>J17</f>
        <v>100</v>
      </c>
      <c r="X17" s="1533"/>
      <c r="Y17" s="3339"/>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1"/>
      <c r="M18" s="2935"/>
      <c r="N18" s="2935"/>
      <c r="O18" s="2935"/>
      <c r="P18" s="3421"/>
      <c r="Q18" s="1530"/>
      <c r="R18" s="714"/>
      <c r="S18" s="715"/>
      <c r="T18" s="714"/>
      <c r="U18" s="715"/>
      <c r="V18" s="714"/>
      <c r="W18" s="715"/>
      <c r="X18" s="1533"/>
      <c r="Y18" s="3339"/>
      <c r="Z18" s="1534"/>
      <c r="AA18" s="1531">
        <v>1</v>
      </c>
      <c r="AB18" s="1531">
        <v>1</v>
      </c>
      <c r="AC18" s="2141">
        <v>1</v>
      </c>
    </row>
    <row r="19" spans="1:29" ht="42.75">
      <c r="A19" s="387"/>
      <c r="B19" s="587" t="s">
        <v>2505</v>
      </c>
      <c r="C19" s="2142"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21"/>
      <c r="Q19" s="1530" t="str">
        <f>B19</f>
        <v>公共配套设施</v>
      </c>
      <c r="R19" s="714" t="s">
        <v>17</v>
      </c>
      <c r="S19" s="715">
        <f>F19</f>
        <v>100</v>
      </c>
      <c r="T19" s="714" t="s">
        <v>17</v>
      </c>
      <c r="U19" s="715">
        <f>H19</f>
        <v>100</v>
      </c>
      <c r="V19" s="714" t="s">
        <v>17</v>
      </c>
      <c r="W19" s="715">
        <f>J19</f>
        <v>100</v>
      </c>
      <c r="X19" s="1533"/>
      <c r="Y19" s="3339"/>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1"/>
      <c r="M20" s="2935"/>
      <c r="N20" s="2935"/>
      <c r="O20" s="2935"/>
      <c r="P20" s="3421"/>
      <c r="Q20" s="1530"/>
      <c r="R20" s="714"/>
      <c r="S20" s="715"/>
      <c r="T20" s="714"/>
      <c r="U20" s="715"/>
      <c r="V20" s="714"/>
      <c r="W20" s="715"/>
      <c r="X20" s="1533"/>
      <c r="Y20" s="3339"/>
      <c r="Z20" s="1534"/>
      <c r="AA20" s="1531">
        <v>1</v>
      </c>
      <c r="AB20" s="1531">
        <v>1</v>
      </c>
      <c r="AC20" s="2141">
        <v>1</v>
      </c>
    </row>
    <row r="21" spans="1:29" ht="28.5">
      <c r="A21" s="387"/>
      <c r="B21" s="589" t="s">
        <v>2506</v>
      </c>
      <c r="C21" s="2142"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21"/>
      <c r="Q21" s="1530" t="str">
        <f>B21</f>
        <v>基础设施水平</v>
      </c>
      <c r="R21" s="714" t="s">
        <v>17</v>
      </c>
      <c r="S21" s="715">
        <f>F21</f>
        <v>100</v>
      </c>
      <c r="T21" s="714" t="s">
        <v>17</v>
      </c>
      <c r="U21" s="715">
        <f>H21</f>
        <v>100</v>
      </c>
      <c r="V21" s="714" t="s">
        <v>17</v>
      </c>
      <c r="W21" s="715">
        <f>J21</f>
        <v>100</v>
      </c>
      <c r="X21" s="1533"/>
      <c r="Y21" s="3339"/>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1"/>
      <c r="M22" s="2935"/>
      <c r="N22" s="2935"/>
      <c r="O22" s="2935"/>
      <c r="P22" s="3421"/>
      <c r="Q22" s="1530"/>
      <c r="R22" s="714"/>
      <c r="S22" s="715"/>
      <c r="T22" s="714"/>
      <c r="U22" s="715"/>
      <c r="V22" s="714"/>
      <c r="W22" s="715"/>
      <c r="X22" s="1533"/>
      <c r="Y22" s="3339"/>
      <c r="Z22" s="1534"/>
      <c r="AA22" s="1531">
        <v>1</v>
      </c>
      <c r="AB22" s="1531">
        <v>1</v>
      </c>
      <c r="AC22" s="2141">
        <v>1</v>
      </c>
    </row>
    <row r="23" spans="1:29" ht="85.5">
      <c r="A23" s="387"/>
      <c r="B23" s="587" t="s">
        <v>2507</v>
      </c>
      <c r="C23" s="2142" t="str">
        <f>估价对象房地状况!C9</f>
        <v>区域自然环境：科丰公园、丰台科技生态公园；人文环境：汽车博物馆、首经贸大曦；综合评价环境状况较好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21"/>
      <c r="Q23" s="1530" t="str">
        <f>B23</f>
        <v>环境质量</v>
      </c>
      <c r="R23" s="714" t="s">
        <v>17</v>
      </c>
      <c r="S23" s="715">
        <f>F23</f>
        <v>100</v>
      </c>
      <c r="T23" s="714" t="s">
        <v>17</v>
      </c>
      <c r="U23" s="715">
        <f>H23</f>
        <v>100</v>
      </c>
      <c r="V23" s="714" t="s">
        <v>17</v>
      </c>
      <c r="W23" s="715">
        <f>J23</f>
        <v>100</v>
      </c>
      <c r="X23" s="1533"/>
      <c r="Y23" s="3339"/>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1"/>
      <c r="M24" s="2935"/>
      <c r="N24" s="2935"/>
      <c r="O24" s="2935"/>
      <c r="P24" s="3421"/>
      <c r="Q24" s="1530"/>
      <c r="R24" s="714"/>
      <c r="S24" s="715"/>
      <c r="T24" s="714"/>
      <c r="U24" s="715"/>
      <c r="V24" s="714"/>
      <c r="W24" s="715"/>
      <c r="X24" s="1533"/>
      <c r="Y24" s="3339"/>
      <c r="Z24" s="1534"/>
      <c r="AA24" s="1531">
        <v>1</v>
      </c>
      <c r="AB24" s="1531">
        <v>1</v>
      </c>
      <c r="AC24" s="2141">
        <v>1</v>
      </c>
    </row>
    <row r="25" spans="1:29" ht="27">
      <c r="A25" s="364"/>
      <c r="B25" s="587" t="s">
        <v>2508</v>
      </c>
      <c r="C25" s="2087"/>
      <c r="D25" s="394">
        <v>100</v>
      </c>
      <c r="E25" s="393"/>
      <c r="F25" s="394">
        <f>SUMIF(87:87,E26,88:88)-SUMIF(87:87,C26,88:88)+100</f>
        <v>100</v>
      </c>
      <c r="G25" s="2087"/>
      <c r="H25" s="394">
        <f>SUMIF(87:87,G26,88:88)-SUMIF(87:87,C26,88:88)+100</f>
        <v>100</v>
      </c>
      <c r="I25" s="393"/>
      <c r="J25" s="394">
        <f>SUMIF(87:87,I26,88:88)-SUMIF(87:87,C26,88:88)+100</f>
        <v>100</v>
      </c>
      <c r="K25" s="571"/>
      <c r="L25" s="2941"/>
      <c r="M25" s="2935"/>
      <c r="N25" s="2935"/>
      <c r="O25" s="2935"/>
      <c r="P25" s="3421"/>
      <c r="Q25" s="1530" t="str">
        <f>B25</f>
        <v>毗邻道路的类型与等级</v>
      </c>
      <c r="R25" s="714" t="s">
        <v>17</v>
      </c>
      <c r="S25" s="715">
        <f>F25</f>
        <v>100</v>
      </c>
      <c r="T25" s="714" t="s">
        <v>17</v>
      </c>
      <c r="U25" s="715">
        <f>H25</f>
        <v>100</v>
      </c>
      <c r="V25" s="714" t="s">
        <v>17</v>
      </c>
      <c r="W25" s="715">
        <f>J25</f>
        <v>100</v>
      </c>
      <c r="X25" s="1533"/>
      <c r="Y25" s="3339"/>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1"/>
      <c r="M26" s="2935"/>
      <c r="N26" s="2935"/>
      <c r="O26" s="2935"/>
      <c r="P26" s="3421"/>
      <c r="Q26" s="1530"/>
      <c r="R26" s="714"/>
      <c r="S26" s="715"/>
      <c r="T26" s="714"/>
      <c r="U26" s="715"/>
      <c r="V26" s="714"/>
      <c r="W26" s="715"/>
      <c r="X26" s="1533"/>
      <c r="Y26" s="3339"/>
      <c r="Z26" s="1534"/>
      <c r="AA26" s="1531">
        <v>1</v>
      </c>
      <c r="AB26" s="1531">
        <v>1</v>
      </c>
      <c r="AC26" s="2141">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21"/>
      <c r="Q27" s="1530" t="str">
        <f t="shared" ref="Q27:Q47" si="11">B27</f>
        <v>楼层</v>
      </c>
      <c r="R27" s="714" t="s">
        <v>17</v>
      </c>
      <c r="S27" s="715">
        <f>F27</f>
        <v>100</v>
      </c>
      <c r="T27" s="714" t="s">
        <v>17</v>
      </c>
      <c r="U27" s="715">
        <f>H27</f>
        <v>100</v>
      </c>
      <c r="V27" s="714" t="s">
        <v>17</v>
      </c>
      <c r="W27" s="715">
        <f>J27</f>
        <v>100</v>
      </c>
      <c r="X27" s="1533"/>
      <c r="Y27" s="3339"/>
      <c r="Z27" s="1534" t="str">
        <f>Q27</f>
        <v>楼层</v>
      </c>
      <c r="AA27" s="1531">
        <f t="shared" si="3"/>
        <v>1</v>
      </c>
      <c r="AB27" s="1531">
        <f t="shared" si="4"/>
        <v>1</v>
      </c>
      <c r="AC27" s="2141">
        <f t="shared" si="5"/>
        <v>1</v>
      </c>
    </row>
    <row r="28" spans="1:29" s="113" customFormat="1" ht="15">
      <c r="A28" s="390"/>
      <c r="B28" s="587" t="s">
        <v>2509</v>
      </c>
      <c r="C28" s="2144"/>
      <c r="D28" s="421">
        <v>100</v>
      </c>
      <c r="E28" s="2135"/>
      <c r="F28" s="421">
        <f>SUMIF(91:91,E28,92:92)-SUMIF(91:91,C28,92:92)+100</f>
        <v>100</v>
      </c>
      <c r="G28" s="2144"/>
      <c r="H28" s="421">
        <f>SUMIF(91:91,G28,92:92)-SUMIF(91:91,C28,92:92)+100</f>
        <v>100</v>
      </c>
      <c r="I28" s="2135"/>
      <c r="J28" s="421">
        <f>SUMIF(91:91,I28,92:92)-SUMIF(91:91,C28,92:92)+100</f>
        <v>100</v>
      </c>
      <c r="K28" s="569"/>
      <c r="L28" s="2936"/>
      <c r="M28" s="2937"/>
      <c r="N28" s="2937"/>
      <c r="O28" s="2937"/>
      <c r="P28" s="3421"/>
      <c r="Q28" s="1521" t="str">
        <f t="shared" si="11"/>
        <v>朝向</v>
      </c>
      <c r="R28" s="710" t="s">
        <v>17</v>
      </c>
      <c r="S28" s="711">
        <f>F28</f>
        <v>100</v>
      </c>
      <c r="T28" s="710" t="s">
        <v>17</v>
      </c>
      <c r="U28" s="711">
        <f>H28</f>
        <v>100</v>
      </c>
      <c r="V28" s="710" t="s">
        <v>17</v>
      </c>
      <c r="W28" s="711">
        <f>J28</f>
        <v>100</v>
      </c>
      <c r="X28" s="712"/>
      <c r="Y28" s="3339"/>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1"/>
      <c r="M29" s="2935"/>
      <c r="N29" s="2935"/>
      <c r="O29" s="2935"/>
      <c r="P29" s="3421"/>
      <c r="Q29" s="1530">
        <f t="shared" si="11"/>
        <v>111</v>
      </c>
      <c r="R29" s="714" t="s">
        <v>17</v>
      </c>
      <c r="S29" s="715">
        <f t="shared" ref="S29:S47" si="12">F29</f>
        <v>100</v>
      </c>
      <c r="T29" s="714" t="s">
        <v>17</v>
      </c>
      <c r="U29" s="715">
        <f t="shared" ref="U29:U47" si="13">H29</f>
        <v>100</v>
      </c>
      <c r="V29" s="714" t="s">
        <v>17</v>
      </c>
      <c r="W29" s="715">
        <f t="shared" ref="W29:W47" si="14">J29</f>
        <v>100</v>
      </c>
      <c r="X29" s="1533"/>
      <c r="Y29" s="3339"/>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1"/>
      <c r="M30" s="2935"/>
      <c r="N30" s="2935"/>
      <c r="O30" s="2935"/>
      <c r="P30" s="3421"/>
      <c r="Q30" s="1530">
        <f t="shared" si="11"/>
        <v>111</v>
      </c>
      <c r="R30" s="714" t="s">
        <v>17</v>
      </c>
      <c r="S30" s="715">
        <f t="shared" si="12"/>
        <v>100</v>
      </c>
      <c r="T30" s="714" t="s">
        <v>17</v>
      </c>
      <c r="U30" s="715">
        <f t="shared" si="13"/>
        <v>100</v>
      </c>
      <c r="V30" s="714" t="s">
        <v>17</v>
      </c>
      <c r="W30" s="715">
        <f t="shared" si="14"/>
        <v>100</v>
      </c>
      <c r="X30" s="1533"/>
      <c r="Y30" s="3339"/>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1"/>
      <c r="M31" s="2935"/>
      <c r="N31" s="2935"/>
      <c r="O31" s="2935"/>
      <c r="P31" s="3421"/>
      <c r="Q31" s="1530">
        <f t="shared" si="11"/>
        <v>111</v>
      </c>
      <c r="R31" s="714" t="s">
        <v>17</v>
      </c>
      <c r="S31" s="715">
        <f t="shared" si="12"/>
        <v>100</v>
      </c>
      <c r="T31" s="714" t="s">
        <v>17</v>
      </c>
      <c r="U31" s="715">
        <f t="shared" si="13"/>
        <v>100</v>
      </c>
      <c r="V31" s="714" t="s">
        <v>17</v>
      </c>
      <c r="W31" s="715">
        <f t="shared" si="14"/>
        <v>100</v>
      </c>
      <c r="X31" s="1533"/>
      <c r="Y31" s="3339"/>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1"/>
      <c r="M32" s="2935"/>
      <c r="N32" s="2935"/>
      <c r="O32" s="2935"/>
      <c r="P32" s="3421"/>
      <c r="Q32" s="1530">
        <f t="shared" si="11"/>
        <v>111</v>
      </c>
      <c r="R32" s="714" t="s">
        <v>17</v>
      </c>
      <c r="S32" s="715">
        <f t="shared" si="12"/>
        <v>100</v>
      </c>
      <c r="T32" s="714" t="s">
        <v>17</v>
      </c>
      <c r="U32" s="715">
        <f t="shared" si="13"/>
        <v>100</v>
      </c>
      <c r="V32" s="714" t="s">
        <v>17</v>
      </c>
      <c r="W32" s="715">
        <f t="shared" si="14"/>
        <v>100</v>
      </c>
      <c r="X32" s="1533"/>
      <c r="Y32" s="3339"/>
      <c r="Z32" s="1534">
        <f t="shared" si="15"/>
        <v>111</v>
      </c>
      <c r="AA32" s="1531">
        <f t="shared" si="3"/>
        <v>1</v>
      </c>
      <c r="AB32" s="1531">
        <f t="shared" si="4"/>
        <v>1</v>
      </c>
      <c r="AC32" s="2141">
        <f t="shared" si="5"/>
        <v>1</v>
      </c>
    </row>
    <row r="33" spans="1:29" ht="15">
      <c r="A33" s="399" t="s">
        <v>2380</v>
      </c>
      <c r="B33" s="67" t="s">
        <v>2510</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1"/>
      <c r="M33" s="2935"/>
      <c r="N33" s="2935"/>
      <c r="O33" s="2935"/>
      <c r="P33" s="3416" t="s">
        <v>2382</v>
      </c>
      <c r="Q33" s="1530" t="str">
        <f t="shared" si="11"/>
        <v>建筑类型</v>
      </c>
      <c r="R33" s="714" t="s">
        <v>17</v>
      </c>
      <c r="S33" s="715">
        <f t="shared" si="12"/>
        <v>100</v>
      </c>
      <c r="T33" s="714" t="s">
        <v>17</v>
      </c>
      <c r="U33" s="715">
        <f t="shared" si="13"/>
        <v>100</v>
      </c>
      <c r="V33" s="714" t="s">
        <v>17</v>
      </c>
      <c r="W33" s="715">
        <f t="shared" si="14"/>
        <v>100</v>
      </c>
      <c r="X33" s="1533"/>
      <c r="Y33" s="3341" t="s">
        <v>2382</v>
      </c>
      <c r="Z33" s="1534" t="str">
        <f t="shared" si="15"/>
        <v>建筑类型</v>
      </c>
      <c r="AA33" s="1531">
        <f t="shared" si="3"/>
        <v>1</v>
      </c>
      <c r="AB33" s="1531">
        <f t="shared" si="4"/>
        <v>1</v>
      </c>
      <c r="AC33" s="2141">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417"/>
      <c r="Q34" s="716" t="str">
        <f t="shared" si="11"/>
        <v>项目建筑规模</v>
      </c>
      <c r="R34" s="717" t="s">
        <v>17</v>
      </c>
      <c r="S34" s="718" t="e">
        <f t="shared" si="12"/>
        <v>#N/A</v>
      </c>
      <c r="T34" s="717" t="s">
        <v>17</v>
      </c>
      <c r="U34" s="718" t="e">
        <f t="shared" si="13"/>
        <v>#N/A</v>
      </c>
      <c r="V34" s="717" t="s">
        <v>17</v>
      </c>
      <c r="W34" s="718" t="e">
        <f t="shared" si="14"/>
        <v>#N/A</v>
      </c>
      <c r="X34" s="719"/>
      <c r="Y34" s="3341"/>
      <c r="Z34" s="720" t="str">
        <f t="shared" si="15"/>
        <v>项目建筑规模</v>
      </c>
      <c r="AA34" s="1531" t="e">
        <f t="shared" si="3"/>
        <v>#N/A</v>
      </c>
      <c r="AB34" s="1531" t="e">
        <f t="shared" si="4"/>
        <v>#N/A</v>
      </c>
      <c r="AC34" s="2141"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417"/>
      <c r="Q35" s="1530" t="str">
        <f t="shared" si="11"/>
        <v>建筑结构</v>
      </c>
      <c r="R35" s="714" t="s">
        <v>17</v>
      </c>
      <c r="S35" s="715">
        <f t="shared" si="12"/>
        <v>100</v>
      </c>
      <c r="T35" s="714" t="s">
        <v>17</v>
      </c>
      <c r="U35" s="715">
        <f t="shared" si="13"/>
        <v>100</v>
      </c>
      <c r="V35" s="714" t="s">
        <v>17</v>
      </c>
      <c r="W35" s="715">
        <f t="shared" si="14"/>
        <v>100</v>
      </c>
      <c r="X35" s="1533"/>
      <c r="Y35" s="3341"/>
      <c r="Z35" s="1534" t="str">
        <f t="shared" si="15"/>
        <v>建筑结构</v>
      </c>
      <c r="AA35" s="1531">
        <f t="shared" si="3"/>
        <v>1</v>
      </c>
      <c r="AB35" s="1531">
        <f t="shared" si="4"/>
        <v>1</v>
      </c>
      <c r="AC35" s="2141">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417"/>
      <c r="Q36" s="1530" t="str">
        <f t="shared" si="11"/>
        <v>公共部分装修</v>
      </c>
      <c r="R36" s="714" t="s">
        <v>17</v>
      </c>
      <c r="S36" s="715">
        <f t="shared" si="12"/>
        <v>100</v>
      </c>
      <c r="T36" s="714" t="s">
        <v>17</v>
      </c>
      <c r="U36" s="715">
        <f t="shared" si="13"/>
        <v>100</v>
      </c>
      <c r="V36" s="714" t="s">
        <v>17</v>
      </c>
      <c r="W36" s="715">
        <f t="shared" si="14"/>
        <v>100</v>
      </c>
      <c r="X36" s="1533"/>
      <c r="Y36" s="3341"/>
      <c r="Z36" s="1534" t="str">
        <f t="shared" si="15"/>
        <v>公共部分装修</v>
      </c>
      <c r="AA36" s="1531">
        <f t="shared" si="3"/>
        <v>1</v>
      </c>
      <c r="AB36" s="1531">
        <f t="shared" si="4"/>
        <v>1</v>
      </c>
      <c r="AC36" s="2141">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417"/>
      <c r="Q37" s="1530" t="str">
        <f t="shared" si="11"/>
        <v>成新度</v>
      </c>
      <c r="R37" s="714" t="s">
        <v>17</v>
      </c>
      <c r="S37" s="715" t="e">
        <f t="shared" si="12"/>
        <v>#N/A</v>
      </c>
      <c r="T37" s="714" t="s">
        <v>17</v>
      </c>
      <c r="U37" s="715" t="e">
        <f t="shared" si="13"/>
        <v>#N/A</v>
      </c>
      <c r="V37" s="714" t="s">
        <v>17</v>
      </c>
      <c r="W37" s="715" t="e">
        <f t="shared" si="14"/>
        <v>#N/A</v>
      </c>
      <c r="X37" s="1533"/>
      <c r="Y37" s="3341"/>
      <c r="Z37" s="1534" t="str">
        <f t="shared" si="15"/>
        <v>成新度</v>
      </c>
      <c r="AA37" s="1531" t="e">
        <f t="shared" si="3"/>
        <v>#N/A</v>
      </c>
      <c r="AB37" s="1531" t="e">
        <f t="shared" si="4"/>
        <v>#N/A</v>
      </c>
      <c r="AC37" s="2141"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417"/>
      <c r="Q38" s="1521"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38">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417" t="s">
        <v>2382</v>
      </c>
      <c r="Q39" s="1530" t="str">
        <f t="shared" si="11"/>
        <v>物业管理</v>
      </c>
      <c r="R39" s="714" t="s">
        <v>17</v>
      </c>
      <c r="S39" s="715">
        <f t="shared" si="12"/>
        <v>100</v>
      </c>
      <c r="T39" s="714" t="s">
        <v>17</v>
      </c>
      <c r="U39" s="715">
        <f t="shared" si="13"/>
        <v>100</v>
      </c>
      <c r="V39" s="714" t="s">
        <v>17</v>
      </c>
      <c r="W39" s="715">
        <f t="shared" si="14"/>
        <v>100</v>
      </c>
      <c r="X39" s="1533"/>
      <c r="Y39" s="3341" t="s">
        <v>2382</v>
      </c>
      <c r="Z39" s="1534" t="str">
        <f t="shared" si="15"/>
        <v>物业管理</v>
      </c>
      <c r="AA39" s="1531">
        <f t="shared" si="3"/>
        <v>1</v>
      </c>
      <c r="AB39" s="1531">
        <f t="shared" si="4"/>
        <v>1</v>
      </c>
      <c r="AC39" s="2141">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417"/>
      <c r="Q40" s="1530" t="str">
        <f t="shared" si="11"/>
        <v>市政基础设施</v>
      </c>
      <c r="R40" s="714" t="s">
        <v>17</v>
      </c>
      <c r="S40" s="715">
        <f t="shared" si="12"/>
        <v>100</v>
      </c>
      <c r="T40" s="714" t="s">
        <v>17</v>
      </c>
      <c r="U40" s="715">
        <f t="shared" si="13"/>
        <v>100</v>
      </c>
      <c r="V40" s="714" t="s">
        <v>17</v>
      </c>
      <c r="W40" s="715">
        <f t="shared" si="14"/>
        <v>100</v>
      </c>
      <c r="X40" s="1533"/>
      <c r="Y40" s="3341"/>
      <c r="Z40" s="1534" t="str">
        <f t="shared" si="15"/>
        <v>市政基础设施</v>
      </c>
      <c r="AA40" s="1531">
        <f t="shared" si="3"/>
        <v>1</v>
      </c>
      <c r="AB40" s="1531">
        <f t="shared" si="4"/>
        <v>1</v>
      </c>
      <c r="AC40" s="2141">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417"/>
      <c r="Q41" s="1530" t="str">
        <f t="shared" si="11"/>
        <v>层高</v>
      </c>
      <c r="R41" s="714" t="s">
        <v>17</v>
      </c>
      <c r="S41" s="715">
        <f t="shared" si="12"/>
        <v>100</v>
      </c>
      <c r="T41" s="714" t="s">
        <v>17</v>
      </c>
      <c r="U41" s="715">
        <f t="shared" si="13"/>
        <v>100</v>
      </c>
      <c r="V41" s="714" t="s">
        <v>17</v>
      </c>
      <c r="W41" s="715">
        <f t="shared" si="14"/>
        <v>100</v>
      </c>
      <c r="X41" s="1533"/>
      <c r="Y41" s="3341"/>
      <c r="Z41" s="1534" t="str">
        <f t="shared" si="15"/>
        <v>层高</v>
      </c>
      <c r="AA41" s="1531">
        <f t="shared" si="3"/>
        <v>1</v>
      </c>
      <c r="AB41" s="1531">
        <f t="shared" si="4"/>
        <v>1</v>
      </c>
      <c r="AC41" s="2141">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417"/>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1">
        <f t="shared" si="3"/>
        <v>1</v>
      </c>
      <c r="AB42" s="1531">
        <f t="shared" si="4"/>
        <v>1</v>
      </c>
      <c r="AC42" s="2141">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417"/>
      <c r="Q43" s="1530" t="str">
        <f t="shared" si="11"/>
        <v>内部装修</v>
      </c>
      <c r="R43" s="714" t="s">
        <v>17</v>
      </c>
      <c r="S43" s="715">
        <f t="shared" si="12"/>
        <v>100</v>
      </c>
      <c r="T43" s="714" t="s">
        <v>17</v>
      </c>
      <c r="U43" s="715">
        <f t="shared" si="13"/>
        <v>100</v>
      </c>
      <c r="V43" s="714" t="s">
        <v>17</v>
      </c>
      <c r="W43" s="715">
        <f t="shared" si="14"/>
        <v>100</v>
      </c>
      <c r="X43" s="1533"/>
      <c r="Y43" s="3341"/>
      <c r="Z43" s="1534" t="str">
        <f t="shared" si="15"/>
        <v>内部装修</v>
      </c>
      <c r="AA43" s="1531">
        <f t="shared" si="3"/>
        <v>1</v>
      </c>
      <c r="AB43" s="1531">
        <f t="shared" si="4"/>
        <v>1</v>
      </c>
      <c r="AC43" s="2141">
        <f t="shared" si="5"/>
        <v>1</v>
      </c>
    </row>
    <row r="44" spans="1:29" ht="15">
      <c r="A44" s="431"/>
      <c r="B44" s="381" t="s">
        <v>2393</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1"/>
      <c r="M44" s="2935"/>
      <c r="N44" s="2935"/>
      <c r="O44" s="2935"/>
      <c r="P44" s="3417"/>
      <c r="Q44" s="1530" t="str">
        <f t="shared" si="11"/>
        <v>内部装修维护情况</v>
      </c>
      <c r="R44" s="714" t="s">
        <v>17</v>
      </c>
      <c r="S44" s="715">
        <f t="shared" si="12"/>
        <v>100</v>
      </c>
      <c r="T44" s="714" t="s">
        <v>17</v>
      </c>
      <c r="U44" s="715">
        <f t="shared" si="13"/>
        <v>100</v>
      </c>
      <c r="V44" s="714" t="s">
        <v>17</v>
      </c>
      <c r="W44" s="715">
        <f t="shared" si="14"/>
        <v>100</v>
      </c>
      <c r="X44" s="1533"/>
      <c r="Y44" s="3341"/>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417"/>
      <c r="Q45" s="1521">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417"/>
      <c r="Q46" s="1530">
        <f t="shared" si="11"/>
        <v>111</v>
      </c>
      <c r="R46" s="714" t="s">
        <v>17</v>
      </c>
      <c r="S46" s="715">
        <f t="shared" si="12"/>
        <v>100</v>
      </c>
      <c r="T46" s="714" t="s">
        <v>17</v>
      </c>
      <c r="U46" s="715">
        <f t="shared" si="13"/>
        <v>100</v>
      </c>
      <c r="V46" s="714" t="s">
        <v>17</v>
      </c>
      <c r="W46" s="715">
        <f t="shared" si="14"/>
        <v>100</v>
      </c>
      <c r="X46" s="1533"/>
      <c r="Y46" s="3341"/>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18"/>
      <c r="Q47" s="1530">
        <f t="shared" si="11"/>
        <v>111</v>
      </c>
      <c r="R47" s="714" t="s">
        <v>17</v>
      </c>
      <c r="S47" s="715">
        <f t="shared" si="12"/>
        <v>100</v>
      </c>
      <c r="T47" s="714" t="s">
        <v>17</v>
      </c>
      <c r="U47" s="715">
        <f t="shared" si="13"/>
        <v>100</v>
      </c>
      <c r="V47" s="714" t="s">
        <v>17</v>
      </c>
      <c r="W47" s="715">
        <f t="shared" si="14"/>
        <v>100</v>
      </c>
      <c r="X47" s="1533"/>
      <c r="Y47" s="3419"/>
      <c r="Z47" s="1534">
        <f t="shared" si="15"/>
        <v>111</v>
      </c>
      <c r="AA47" s="1531">
        <f t="shared" si="3"/>
        <v>1</v>
      </c>
      <c r="AB47" s="1531">
        <f t="shared" si="4"/>
        <v>1</v>
      </c>
      <c r="AC47" s="2141">
        <f t="shared" si="5"/>
        <v>1</v>
      </c>
    </row>
    <row r="48" spans="1:29" ht="15">
      <c r="A48" s="438" t="s">
        <v>2394</v>
      </c>
      <c r="B48" s="439"/>
      <c r="C48" s="1310" t="s">
        <v>1</v>
      </c>
      <c r="D48" s="1311"/>
      <c r="E48" s="1312"/>
      <c r="F48" s="1313"/>
      <c r="G48" s="1314"/>
      <c r="H48" s="1315"/>
      <c r="I48" s="1312"/>
      <c r="J48" s="444"/>
      <c r="K48" s="723"/>
      <c r="L48" s="2943"/>
      <c r="M48" s="2935"/>
      <c r="N48" s="2935"/>
      <c r="O48" s="2935"/>
      <c r="P48" s="3347" t="str">
        <f>A48</f>
        <v>成交单价（元/平方米）</v>
      </c>
      <c r="Q48" s="3323"/>
      <c r="R48" s="3415">
        <f>E48</f>
        <v>0</v>
      </c>
      <c r="S48" s="3415"/>
      <c r="T48" s="3415">
        <f>G48</f>
        <v>0</v>
      </c>
      <c r="U48" s="3415"/>
      <c r="V48" s="3415">
        <f>I48</f>
        <v>0</v>
      </c>
      <c r="W48" s="3415"/>
      <c r="X48" s="405"/>
      <c r="Y48" s="721"/>
      <c r="Z48" s="405"/>
      <c r="AA48" s="405"/>
      <c r="AB48" s="405"/>
      <c r="AC48" s="586"/>
    </row>
    <row r="49" spans="1:29" ht="15.75" thickBot="1">
      <c r="A49" s="445" t="s">
        <v>2486</v>
      </c>
      <c r="B49" s="446"/>
      <c r="C49" s="1316" t="e">
        <f>R50</f>
        <v>#DIV/0!</v>
      </c>
      <c r="D49" s="2531" t="s">
        <v>2876</v>
      </c>
      <c r="E49" s="1317" t="e">
        <f>R49</f>
        <v>#DIV/0!</v>
      </c>
      <c r="F49" s="2532"/>
      <c r="G49" s="1316" t="e">
        <f>T49</f>
        <v>#DIV/0!</v>
      </c>
      <c r="H49" s="2532"/>
      <c r="I49" s="1317" t="e">
        <f>V49</f>
        <v>#DIV/0!</v>
      </c>
      <c r="J49" s="2532"/>
      <c r="K49" s="2534">
        <f>F49+H49+J49</f>
        <v>0</v>
      </c>
      <c r="L49" s="2943"/>
      <c r="M49" s="2935"/>
      <c r="N49" s="2935"/>
      <c r="O49" s="2935"/>
      <c r="P49" s="3347" t="str">
        <f>A49</f>
        <v>比较价值（元/平方米）</v>
      </c>
      <c r="Q49" s="3323"/>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405"/>
      <c r="Y49" s="405"/>
      <c r="Z49" s="405"/>
      <c r="AA49" s="405"/>
      <c r="AB49" s="405"/>
      <c r="AC49" s="586"/>
    </row>
    <row r="50" spans="1:29" ht="15.75" thickBot="1">
      <c r="A50" s="449" t="s">
        <v>2487</v>
      </c>
      <c r="B50" s="450"/>
      <c r="C50" s="1319" t="e">
        <f>R50</f>
        <v>#DIV/0!</v>
      </c>
      <c r="D50" s="1319"/>
      <c r="E50" s="1319"/>
      <c r="F50" s="1319"/>
      <c r="G50" s="1319"/>
      <c r="H50" s="1319"/>
      <c r="I50" s="1319"/>
      <c r="J50" s="451"/>
      <c r="K50" s="724"/>
      <c r="L50" s="2943"/>
      <c r="M50" s="2935"/>
      <c r="N50" s="2935"/>
      <c r="O50" s="293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2491</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2365</v>
      </c>
      <c r="B59" s="463"/>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2402</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2367</v>
      </c>
      <c r="B62" s="467"/>
      <c r="C62" s="479" t="s">
        <v>2469</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2405</v>
      </c>
      <c r="B64" s="485" t="s">
        <v>2371</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2376</v>
      </c>
      <c r="B77" s="485" t="s">
        <v>2514</v>
      </c>
      <c r="C77" s="530" t="s">
        <v>2414</v>
      </c>
      <c r="D77" s="530" t="s">
        <v>2415</v>
      </c>
      <c r="E77" s="530" t="s">
        <v>2416</v>
      </c>
      <c r="F77" s="530" t="s">
        <v>2417</v>
      </c>
      <c r="G77" s="530" t="s">
        <v>2418</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2419</v>
      </c>
      <c r="C79" s="535" t="s">
        <v>2414</v>
      </c>
      <c r="D79" s="535" t="s">
        <v>2415</v>
      </c>
      <c r="E79" s="535" t="s">
        <v>2416</v>
      </c>
      <c r="F79" s="535" t="s">
        <v>2417</v>
      </c>
      <c r="G79" s="535" t="s">
        <v>2418</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2420</v>
      </c>
      <c r="C81" s="535" t="s">
        <v>2414</v>
      </c>
      <c r="D81" s="535" t="s">
        <v>2415</v>
      </c>
      <c r="E81" s="535" t="s">
        <v>2416</v>
      </c>
      <c r="F81" s="535" t="s">
        <v>2417</v>
      </c>
      <c r="G81" s="535" t="s">
        <v>2418</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2506</v>
      </c>
      <c r="C83" s="616" t="s">
        <v>2492</v>
      </c>
      <c r="D83" s="616" t="s">
        <v>2493</v>
      </c>
      <c r="E83" s="616" t="s">
        <v>2494</v>
      </c>
      <c r="F83" s="616" t="s">
        <v>2495</v>
      </c>
      <c r="G83" s="616" t="s">
        <v>2496</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2515</v>
      </c>
      <c r="C85" s="535" t="s">
        <v>2414</v>
      </c>
      <c r="D85" s="535" t="s">
        <v>2415</v>
      </c>
      <c r="E85" s="535" t="s">
        <v>2416</v>
      </c>
      <c r="F85" s="535" t="s">
        <v>2417</v>
      </c>
      <c r="G85" s="535" t="s">
        <v>2418</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2516</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6"/>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7"/>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2380</v>
      </c>
      <c r="B101" s="485" t="s">
        <v>2429</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2431</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2433</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2517</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2434</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2435</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2518</v>
      </c>
      <c r="C119" s="540"/>
      <c r="D119" s="540"/>
      <c r="E119" s="540"/>
      <c r="F119" s="540"/>
      <c r="G119" s="540"/>
      <c r="H119" s="540"/>
      <c r="I119" s="540"/>
      <c r="J119" s="540"/>
      <c r="K119" s="540"/>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2501</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2437</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2519</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IF(C2="——",ROUND(C43*D3/10000,0),ROUND(C43*D3/10000,0)-D2)</f>
        <v>#DIV/0!</v>
      </c>
      <c r="C2" s="2060"/>
      <c r="D2" s="1032" t="e">
        <f ca="1">SUMIF(INDIRECT("'"&amp;F2&amp;"'"&amp;"!A:A"),"承租人权益价值",INDIRECT("'"&amp;F2&amp;"'"&amp;"!c:c"))</f>
        <v>#REF!</v>
      </c>
      <c r="E2" s="2061" t="s">
        <v>2147</v>
      </c>
      <c r="F2" s="2062"/>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2461</v>
      </c>
      <c r="D3" s="359">
        <f>IF(D1="",'数据-汇总表'!E3,SUMIF('数据-汇总表'!$C19:$C33,D1,'数据-汇总表'!$E19:$E33))</f>
        <v>108441.15</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2462</v>
      </c>
      <c r="B4" s="362"/>
      <c r="C4" s="3324" t="s">
        <v>2463</v>
      </c>
      <c r="D4" s="3325"/>
      <c r="E4" s="3326" t="s">
        <v>2464</v>
      </c>
      <c r="F4" s="3327"/>
      <c r="G4" s="3324" t="s">
        <v>2465</v>
      </c>
      <c r="H4" s="3325"/>
      <c r="I4" s="3324" t="s">
        <v>2466</v>
      </c>
      <c r="J4" s="3325"/>
      <c r="K4" s="567" t="s">
        <v>2467</v>
      </c>
      <c r="L4" s="1038"/>
      <c r="M4" s="1039"/>
      <c r="N4" s="1039"/>
      <c r="O4" s="1039"/>
      <c r="P4" s="3328" t="s">
        <v>2468</v>
      </c>
      <c r="Q4" s="3329"/>
      <c r="R4" s="3311" t="s">
        <v>2464</v>
      </c>
      <c r="S4" s="3312"/>
      <c r="T4" s="3311" t="s">
        <v>2465</v>
      </c>
      <c r="U4" s="3312"/>
      <c r="V4" s="3336" t="s">
        <v>2466</v>
      </c>
      <c r="W4" s="3336"/>
      <c r="X4" s="1533"/>
      <c r="Y4" s="3311" t="s">
        <v>2468</v>
      </c>
      <c r="Z4" s="3312"/>
      <c r="AA4" s="3306" t="s">
        <v>2464</v>
      </c>
      <c r="AB4" s="3307" t="s">
        <v>2465</v>
      </c>
      <c r="AC4" s="3306" t="s">
        <v>2466</v>
      </c>
    </row>
    <row r="5" spans="1:29" ht="15">
      <c r="A5" s="364"/>
      <c r="B5" s="365"/>
      <c r="C5" s="3408" t="s">
        <v>2359</v>
      </c>
      <c r="D5" s="3409"/>
      <c r="E5" s="3406" t="s">
        <v>2360</v>
      </c>
      <c r="F5" s="3407"/>
      <c r="G5" s="3408" t="s">
        <v>2361</v>
      </c>
      <c r="H5" s="3409"/>
      <c r="I5" s="3408" t="s">
        <v>2362</v>
      </c>
      <c r="J5" s="3409"/>
      <c r="K5" s="567"/>
      <c r="L5" s="1038"/>
      <c r="M5" s="1039"/>
      <c r="N5" s="1039"/>
      <c r="O5" s="1039"/>
      <c r="P5" s="3330"/>
      <c r="Q5" s="3331"/>
      <c r="R5" s="3313"/>
      <c r="S5" s="3314"/>
      <c r="T5" s="3313"/>
      <c r="U5" s="3314"/>
      <c r="V5" s="3336"/>
      <c r="W5" s="3336"/>
      <c r="X5" s="1533"/>
      <c r="Y5" s="3313"/>
      <c r="Z5" s="3314"/>
      <c r="AA5" s="3307"/>
      <c r="AB5" s="3307"/>
      <c r="AC5" s="3307"/>
    </row>
    <row r="6" spans="1:29" ht="15.75" thickBot="1">
      <c r="A6" s="366"/>
      <c r="B6" s="367"/>
      <c r="C6" s="3410" t="s">
        <v>2363</v>
      </c>
      <c r="D6" s="3411"/>
      <c r="E6" s="3412" t="s">
        <v>2363</v>
      </c>
      <c r="F6" s="3413"/>
      <c r="G6" s="3410" t="s">
        <v>2363</v>
      </c>
      <c r="H6" s="3411"/>
      <c r="I6" s="3410" t="s">
        <v>2363</v>
      </c>
      <c r="J6" s="3411"/>
      <c r="K6" s="567" t="s">
        <v>2364</v>
      </c>
      <c r="L6" s="1038"/>
      <c r="M6" s="1039"/>
      <c r="N6" s="1039"/>
      <c r="O6" s="1039"/>
      <c r="P6" s="3332"/>
      <c r="Q6" s="3333"/>
      <c r="R6" s="3313"/>
      <c r="S6" s="3314"/>
      <c r="T6" s="3334"/>
      <c r="U6" s="3335"/>
      <c r="V6" s="3336"/>
      <c r="W6" s="3336"/>
      <c r="X6" s="1533"/>
      <c r="Y6" s="3334"/>
      <c r="Z6" s="3335"/>
      <c r="AA6" s="3308"/>
      <c r="AB6" s="3308"/>
      <c r="AC6" s="3308"/>
    </row>
    <row r="7" spans="1:29" s="113" customFormat="1" ht="15.75" thickBot="1">
      <c r="A7" s="368" t="s">
        <v>2365</v>
      </c>
      <c r="B7" s="369"/>
      <c r="C7" s="370">
        <f>'数据-取费表'!B2</f>
        <v>44299</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09" t="s">
        <v>2366</v>
      </c>
      <c r="Q7" s="3337"/>
      <c r="R7" s="710" t="s">
        <v>17</v>
      </c>
      <c r="S7" s="711">
        <f t="shared" ref="S7:S15" si="0">F7</f>
        <v>0</v>
      </c>
      <c r="T7" s="710" t="s">
        <v>17</v>
      </c>
      <c r="U7" s="711">
        <f t="shared" ref="U7:U15" si="1">H7</f>
        <v>0</v>
      </c>
      <c r="V7" s="710" t="s">
        <v>17</v>
      </c>
      <c r="W7" s="711">
        <f t="shared" ref="W7:W15" si="2">J7</f>
        <v>0</v>
      </c>
      <c r="X7" s="712"/>
      <c r="Y7" s="3309" t="s">
        <v>2366</v>
      </c>
      <c r="Z7" s="3310"/>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09" t="s">
        <v>2369</v>
      </c>
      <c r="Q8" s="3310"/>
      <c r="R8" s="710" t="s">
        <v>17</v>
      </c>
      <c r="S8" s="711">
        <f t="shared" si="0"/>
        <v>0</v>
      </c>
      <c r="T8" s="710" t="s">
        <v>17</v>
      </c>
      <c r="U8" s="711">
        <f t="shared" si="1"/>
        <v>0</v>
      </c>
      <c r="V8" s="710" t="s">
        <v>17</v>
      </c>
      <c r="W8" s="711">
        <f t="shared" si="2"/>
        <v>0</v>
      </c>
      <c r="X8" s="712"/>
      <c r="Y8" s="3309" t="s">
        <v>2369</v>
      </c>
      <c r="Z8" s="3310"/>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23" t="s">
        <v>2372</v>
      </c>
      <c r="Q9" s="1521" t="str">
        <f t="shared" ref="Q9:Q15" si="6">B9</f>
        <v>用途</v>
      </c>
      <c r="R9" s="710" t="s">
        <v>17</v>
      </c>
      <c r="S9" s="711">
        <f t="shared" si="0"/>
        <v>100</v>
      </c>
      <c r="T9" s="710" t="s">
        <v>17</v>
      </c>
      <c r="U9" s="711">
        <f t="shared" si="1"/>
        <v>100</v>
      </c>
      <c r="V9" s="710" t="s">
        <v>17</v>
      </c>
      <c r="W9" s="711">
        <f t="shared" si="2"/>
        <v>100</v>
      </c>
      <c r="X9" s="712"/>
      <c r="Y9" s="328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23"/>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23"/>
      <c r="Q11" s="1521" t="str">
        <f t="shared" si="6"/>
        <v>容积率</v>
      </c>
      <c r="R11" s="710" t="s">
        <v>17</v>
      </c>
      <c r="S11" s="711" t="e">
        <f t="shared" si="0"/>
        <v>#N/A</v>
      </c>
      <c r="T11" s="710" t="s">
        <v>17</v>
      </c>
      <c r="U11" s="711" t="e">
        <f t="shared" si="1"/>
        <v>#N/A</v>
      </c>
      <c r="V11" s="710" t="s">
        <v>17</v>
      </c>
      <c r="W11" s="711" t="e">
        <f t="shared" si="2"/>
        <v>#N/A</v>
      </c>
      <c r="X11" s="712"/>
      <c r="Y11" s="3282"/>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323"/>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713">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323"/>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713">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323"/>
      <c r="Q14" s="1521">
        <f t="shared" si="6"/>
        <v>111</v>
      </c>
      <c r="R14" s="710" t="s">
        <v>17</v>
      </c>
      <c r="S14" s="711">
        <f t="shared" si="0"/>
        <v>100</v>
      </c>
      <c r="T14" s="710" t="s">
        <v>17</v>
      </c>
      <c r="U14" s="711">
        <f t="shared" si="1"/>
        <v>100</v>
      </c>
      <c r="V14" s="710" t="s">
        <v>17</v>
      </c>
      <c r="W14" s="711">
        <f t="shared" si="2"/>
        <v>100</v>
      </c>
      <c r="X14" s="712"/>
      <c r="Y14" s="3282"/>
      <c r="Z14" s="55">
        <f t="shared" si="7"/>
        <v>111</v>
      </c>
      <c r="AA14" s="713">
        <f t="shared" si="3"/>
        <v>1</v>
      </c>
      <c r="AB14" s="713">
        <f t="shared" si="4"/>
        <v>1</v>
      </c>
      <c r="AC14" s="713">
        <f t="shared" si="5"/>
        <v>1</v>
      </c>
    </row>
    <row r="15" spans="1:29" ht="57">
      <c r="A15" s="399" t="s">
        <v>2376</v>
      </c>
      <c r="B15" s="65" t="s">
        <v>2520</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38" t="s">
        <v>2377</v>
      </c>
      <c r="Q15" s="1530" t="str">
        <f t="shared" si="6"/>
        <v>产业集聚程度</v>
      </c>
      <c r="R15" s="714" t="s">
        <v>17</v>
      </c>
      <c r="S15" s="715">
        <f t="shared" si="0"/>
        <v>100</v>
      </c>
      <c r="T15" s="714" t="s">
        <v>17</v>
      </c>
      <c r="U15" s="715">
        <f t="shared" si="1"/>
        <v>100</v>
      </c>
      <c r="V15" s="714" t="s">
        <v>17</v>
      </c>
      <c r="W15" s="715">
        <f t="shared" si="2"/>
        <v>100</v>
      </c>
      <c r="X15" s="1533"/>
      <c r="Y15" s="3338"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339"/>
      <c r="Q16" s="1530"/>
      <c r="R16" s="714"/>
      <c r="S16" s="715"/>
      <c r="T16" s="714"/>
      <c r="U16" s="715"/>
      <c r="V16" s="714"/>
      <c r="W16" s="715"/>
      <c r="X16" s="1533"/>
      <c r="Y16" s="3339"/>
      <c r="Z16" s="1534"/>
      <c r="AA16" s="1531">
        <v>1</v>
      </c>
      <c r="AB16" s="1531">
        <v>1</v>
      </c>
      <c r="AC16" s="1531">
        <v>1</v>
      </c>
    </row>
    <row r="17" spans="1:29" ht="85.5">
      <c r="A17" s="387"/>
      <c r="B17" s="410" t="s">
        <v>1943</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39"/>
      <c r="Q17" s="1530" t="str">
        <f>B17</f>
        <v>交通便捷度</v>
      </c>
      <c r="R17" s="714" t="s">
        <v>17</v>
      </c>
      <c r="S17" s="715">
        <f>F17</f>
        <v>100</v>
      </c>
      <c r="T17" s="714" t="s">
        <v>17</v>
      </c>
      <c r="U17" s="715">
        <f>H17</f>
        <v>100</v>
      </c>
      <c r="V17" s="714" t="s">
        <v>17</v>
      </c>
      <c r="W17" s="715">
        <f>J17</f>
        <v>100</v>
      </c>
      <c r="X17" s="1533"/>
      <c r="Y17" s="333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339"/>
      <c r="Q18" s="1530"/>
      <c r="R18" s="714"/>
      <c r="S18" s="715"/>
      <c r="T18" s="714"/>
      <c r="U18" s="715"/>
      <c r="V18" s="714"/>
      <c r="W18" s="715"/>
      <c r="X18" s="1533"/>
      <c r="Y18" s="3339"/>
      <c r="Z18" s="1534"/>
      <c r="AA18" s="1531">
        <v>1</v>
      </c>
      <c r="AB18" s="1531">
        <v>1</v>
      </c>
      <c r="AC18" s="1531">
        <v>1</v>
      </c>
    </row>
    <row r="19" spans="1:29" ht="42.75">
      <c r="A19" s="387"/>
      <c r="B19" s="410" t="s">
        <v>2505</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39"/>
      <c r="Q19" s="1530" t="str">
        <f>B19</f>
        <v>公共配套设施</v>
      </c>
      <c r="R19" s="714" t="s">
        <v>17</v>
      </c>
      <c r="S19" s="715">
        <f>F19</f>
        <v>100</v>
      </c>
      <c r="T19" s="714" t="s">
        <v>17</v>
      </c>
      <c r="U19" s="715">
        <f>H19</f>
        <v>100</v>
      </c>
      <c r="V19" s="714" t="s">
        <v>17</v>
      </c>
      <c r="W19" s="715">
        <f>J19</f>
        <v>100</v>
      </c>
      <c r="X19" s="1533"/>
      <c r="Y19" s="333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339"/>
      <c r="Q20" s="1530"/>
      <c r="R20" s="714"/>
      <c r="S20" s="715"/>
      <c r="T20" s="714"/>
      <c r="U20" s="715"/>
      <c r="V20" s="714"/>
      <c r="W20" s="715"/>
      <c r="X20" s="1533"/>
      <c r="Y20" s="3339"/>
      <c r="Z20" s="1534"/>
      <c r="AA20" s="1531">
        <v>1</v>
      </c>
      <c r="AB20" s="1531">
        <v>1</v>
      </c>
      <c r="AC20" s="1531">
        <v>1</v>
      </c>
    </row>
    <row r="21" spans="1:29" ht="28.5">
      <c r="A21" s="387"/>
      <c r="B21" s="1287" t="s">
        <v>2506</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39"/>
      <c r="Q21" s="1530" t="str">
        <f>B21</f>
        <v>基础设施水平</v>
      </c>
      <c r="R21" s="714" t="s">
        <v>17</v>
      </c>
      <c r="S21" s="715">
        <f>F21</f>
        <v>100</v>
      </c>
      <c r="T21" s="714" t="s">
        <v>17</v>
      </c>
      <c r="U21" s="715">
        <f>H21</f>
        <v>100</v>
      </c>
      <c r="V21" s="714" t="s">
        <v>17</v>
      </c>
      <c r="W21" s="715">
        <f>J21</f>
        <v>100</v>
      </c>
      <c r="X21" s="1533"/>
      <c r="Y21" s="333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339"/>
      <c r="Q22" s="1530"/>
      <c r="R22" s="714"/>
      <c r="S22" s="715"/>
      <c r="T22" s="714"/>
      <c r="U22" s="715"/>
      <c r="V22" s="714"/>
      <c r="W22" s="715"/>
      <c r="X22" s="1533"/>
      <c r="Y22" s="3339"/>
      <c r="Z22" s="1534"/>
      <c r="AA22" s="1531">
        <v>1</v>
      </c>
      <c r="AB22" s="1531">
        <v>1</v>
      </c>
      <c r="AC22" s="1531">
        <v>1</v>
      </c>
    </row>
    <row r="23" spans="1:29" ht="71.25">
      <c r="A23" s="387"/>
      <c r="B23" s="410" t="s">
        <v>2507</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39"/>
      <c r="Q23" s="1530" t="str">
        <f>B23</f>
        <v>环境质量</v>
      </c>
      <c r="R23" s="714" t="s">
        <v>17</v>
      </c>
      <c r="S23" s="715">
        <f>F23</f>
        <v>100</v>
      </c>
      <c r="T23" s="714" t="s">
        <v>17</v>
      </c>
      <c r="U23" s="715">
        <f>H23</f>
        <v>100</v>
      </c>
      <c r="V23" s="714" t="s">
        <v>17</v>
      </c>
      <c r="W23" s="715">
        <f>J23</f>
        <v>100</v>
      </c>
      <c r="X23" s="1533"/>
      <c r="Y23" s="3339"/>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339"/>
      <c r="Q24" s="1530"/>
      <c r="R24" s="714"/>
      <c r="S24" s="715"/>
      <c r="T24" s="714"/>
      <c r="U24" s="715"/>
      <c r="V24" s="714"/>
      <c r="W24" s="715"/>
      <c r="X24" s="1533"/>
      <c r="Y24" s="3339"/>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39"/>
      <c r="Q25" s="1530">
        <f>B25</f>
        <v>111</v>
      </c>
      <c r="R25" s="714" t="s">
        <v>17</v>
      </c>
      <c r="S25" s="715">
        <f>F25</f>
        <v>100</v>
      </c>
      <c r="T25" s="714" t="s">
        <v>17</v>
      </c>
      <c r="U25" s="715">
        <f>H25</f>
        <v>100</v>
      </c>
      <c r="V25" s="714" t="s">
        <v>17</v>
      </c>
      <c r="W25" s="715">
        <f>J25</f>
        <v>100</v>
      </c>
      <c r="X25" s="1533"/>
      <c r="Y25" s="3339"/>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39"/>
      <c r="Q26" s="1530">
        <f t="shared" ref="Q26:Q40" si="11">B26</f>
        <v>111</v>
      </c>
      <c r="R26" s="714" t="s">
        <v>17</v>
      </c>
      <c r="S26" s="715">
        <f>F26</f>
        <v>100</v>
      </c>
      <c r="T26" s="714" t="s">
        <v>17</v>
      </c>
      <c r="U26" s="715">
        <f>H26</f>
        <v>100</v>
      </c>
      <c r="V26" s="714" t="s">
        <v>17</v>
      </c>
      <c r="W26" s="715">
        <f>J26</f>
        <v>100</v>
      </c>
      <c r="X26" s="1533"/>
      <c r="Y26" s="3339"/>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39"/>
      <c r="Q27" s="1521">
        <f t="shared" si="11"/>
        <v>111</v>
      </c>
      <c r="R27" s="710" t="s">
        <v>17</v>
      </c>
      <c r="S27" s="711">
        <f>F27</f>
        <v>100</v>
      </c>
      <c r="T27" s="710" t="s">
        <v>17</v>
      </c>
      <c r="U27" s="711">
        <f>H27</f>
        <v>100</v>
      </c>
      <c r="V27" s="710" t="s">
        <v>17</v>
      </c>
      <c r="W27" s="711">
        <f>J27</f>
        <v>100</v>
      </c>
      <c r="X27" s="712"/>
      <c r="Y27" s="3339"/>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39"/>
      <c r="Q28" s="1530">
        <f t="shared" si="11"/>
        <v>111</v>
      </c>
      <c r="R28" s="714" t="s">
        <v>17</v>
      </c>
      <c r="S28" s="715">
        <f t="shared" ref="S28:S40" si="12">F28</f>
        <v>100</v>
      </c>
      <c r="T28" s="714" t="s">
        <v>17</v>
      </c>
      <c r="U28" s="715">
        <f t="shared" ref="U28:U40" si="13">H28</f>
        <v>100</v>
      </c>
      <c r="V28" s="714" t="s">
        <v>17</v>
      </c>
      <c r="W28" s="715">
        <f t="shared" ref="W28:W40" si="14">J28</f>
        <v>100</v>
      </c>
      <c r="X28" s="1533"/>
      <c r="Y28" s="3339"/>
      <c r="Z28" s="1534">
        <f t="shared" ref="Z28:Z40" si="15">Q28</f>
        <v>111</v>
      </c>
      <c r="AA28" s="1531">
        <f t="shared" si="3"/>
        <v>1</v>
      </c>
      <c r="AB28" s="1531">
        <f t="shared" si="4"/>
        <v>1</v>
      </c>
      <c r="AC28" s="1531">
        <f t="shared" si="5"/>
        <v>1</v>
      </c>
    </row>
    <row r="29" spans="1:29" ht="28.5">
      <c r="A29" s="425" t="s">
        <v>2380</v>
      </c>
      <c r="B29" s="67" t="s">
        <v>2510</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340" t="s">
        <v>2382</v>
      </c>
      <c r="Q29" s="1530" t="str">
        <f t="shared" si="11"/>
        <v>建筑类型</v>
      </c>
      <c r="R29" s="714" t="s">
        <v>17</v>
      </c>
      <c r="S29" s="715">
        <f t="shared" si="12"/>
        <v>100</v>
      </c>
      <c r="T29" s="714" t="s">
        <v>17</v>
      </c>
      <c r="U29" s="715">
        <f t="shared" si="13"/>
        <v>100</v>
      </c>
      <c r="V29" s="714" t="s">
        <v>17</v>
      </c>
      <c r="W29" s="715">
        <f t="shared" si="14"/>
        <v>100</v>
      </c>
      <c r="X29" s="1533"/>
      <c r="Y29" s="3341"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41"/>
      <c r="Q31" s="1530" t="str">
        <f t="shared" si="11"/>
        <v>建筑结构</v>
      </c>
      <c r="R31" s="714" t="s">
        <v>17</v>
      </c>
      <c r="S31" s="715">
        <f t="shared" si="12"/>
        <v>100</v>
      </c>
      <c r="T31" s="714" t="s">
        <v>17</v>
      </c>
      <c r="U31" s="715">
        <f t="shared" si="13"/>
        <v>100</v>
      </c>
      <c r="V31" s="714" t="s">
        <v>17</v>
      </c>
      <c r="W31" s="715">
        <f t="shared" si="14"/>
        <v>100</v>
      </c>
      <c r="X31" s="1533"/>
      <c r="Y31" s="3341"/>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41"/>
      <c r="Q32" s="1530" t="str">
        <f t="shared" si="11"/>
        <v>公共部分装修</v>
      </c>
      <c r="R32" s="714" t="s">
        <v>17</v>
      </c>
      <c r="S32" s="715">
        <f t="shared" si="12"/>
        <v>100</v>
      </c>
      <c r="T32" s="714" t="s">
        <v>17</v>
      </c>
      <c r="U32" s="715">
        <f t="shared" si="13"/>
        <v>100</v>
      </c>
      <c r="V32" s="714" t="s">
        <v>17</v>
      </c>
      <c r="W32" s="715">
        <f t="shared" si="14"/>
        <v>100</v>
      </c>
      <c r="X32" s="1533"/>
      <c r="Y32" s="3341"/>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41"/>
      <c r="Q33" s="1530" t="str">
        <f t="shared" si="11"/>
        <v>成新度</v>
      </c>
      <c r="R33" s="714" t="s">
        <v>17</v>
      </c>
      <c r="S33" s="715" t="e">
        <f t="shared" si="12"/>
        <v>#N/A</v>
      </c>
      <c r="T33" s="714" t="s">
        <v>17</v>
      </c>
      <c r="U33" s="715" t="e">
        <f t="shared" si="13"/>
        <v>#N/A</v>
      </c>
      <c r="V33" s="714" t="s">
        <v>17</v>
      </c>
      <c r="W33" s="715" t="e">
        <f t="shared" si="14"/>
        <v>#N/A</v>
      </c>
      <c r="X33" s="1533"/>
      <c r="Y33" s="3341"/>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41"/>
      <c r="Q34" s="1521"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41" t="s">
        <v>2382</v>
      </c>
      <c r="Q35" s="1530" t="str">
        <f t="shared" si="11"/>
        <v>市政基础设施</v>
      </c>
      <c r="R35" s="714" t="s">
        <v>17</v>
      </c>
      <c r="S35" s="715">
        <f t="shared" si="12"/>
        <v>100</v>
      </c>
      <c r="T35" s="714" t="s">
        <v>17</v>
      </c>
      <c r="U35" s="715">
        <f t="shared" si="13"/>
        <v>100</v>
      </c>
      <c r="V35" s="714" t="s">
        <v>17</v>
      </c>
      <c r="W35" s="715">
        <f t="shared" si="14"/>
        <v>100</v>
      </c>
      <c r="X35" s="1533"/>
      <c r="Y35" s="3341"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41"/>
      <c r="Q36" s="1530" t="str">
        <f t="shared" si="11"/>
        <v>内部装修</v>
      </c>
      <c r="R36" s="714" t="s">
        <v>17</v>
      </c>
      <c r="S36" s="715">
        <f t="shared" si="12"/>
        <v>100</v>
      </c>
      <c r="T36" s="714" t="s">
        <v>17</v>
      </c>
      <c r="U36" s="715">
        <f t="shared" si="13"/>
        <v>100</v>
      </c>
      <c r="V36" s="714" t="s">
        <v>17</v>
      </c>
      <c r="W36" s="715">
        <f t="shared" si="14"/>
        <v>100</v>
      </c>
      <c r="X36" s="1533"/>
      <c r="Y36" s="3341"/>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41"/>
      <c r="Q37" s="1530" t="str">
        <f t="shared" si="11"/>
        <v>内部装修状况</v>
      </c>
      <c r="R37" s="714" t="s">
        <v>17</v>
      </c>
      <c r="S37" s="715">
        <f t="shared" si="12"/>
        <v>100</v>
      </c>
      <c r="T37" s="714" t="s">
        <v>17</v>
      </c>
      <c r="U37" s="715">
        <f t="shared" si="13"/>
        <v>100</v>
      </c>
      <c r="V37" s="714" t="s">
        <v>17</v>
      </c>
      <c r="W37" s="715">
        <f t="shared" si="14"/>
        <v>100</v>
      </c>
      <c r="X37" s="1533"/>
      <c r="Y37" s="3341"/>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41"/>
      <c r="Q39" s="1530">
        <f t="shared" si="11"/>
        <v>111</v>
      </c>
      <c r="R39" s="714" t="s">
        <v>17</v>
      </c>
      <c r="S39" s="715">
        <f t="shared" si="12"/>
        <v>100</v>
      </c>
      <c r="T39" s="714" t="s">
        <v>17</v>
      </c>
      <c r="U39" s="715">
        <f t="shared" si="13"/>
        <v>100</v>
      </c>
      <c r="V39" s="714" t="s">
        <v>17</v>
      </c>
      <c r="W39" s="715">
        <f t="shared" si="14"/>
        <v>100</v>
      </c>
      <c r="X39" s="1533"/>
      <c r="Y39" s="3341"/>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19"/>
      <c r="Q40" s="1530">
        <f t="shared" si="11"/>
        <v>111</v>
      </c>
      <c r="R40" s="714" t="s">
        <v>17</v>
      </c>
      <c r="S40" s="715">
        <f t="shared" si="12"/>
        <v>100</v>
      </c>
      <c r="T40" s="714" t="s">
        <v>17</v>
      </c>
      <c r="U40" s="715">
        <f t="shared" si="13"/>
        <v>100</v>
      </c>
      <c r="V40" s="714" t="s">
        <v>17</v>
      </c>
      <c r="W40" s="715">
        <f t="shared" si="14"/>
        <v>100</v>
      </c>
      <c r="X40" s="1533"/>
      <c r="Y40" s="3419"/>
      <c r="Z40" s="1534">
        <f t="shared" si="15"/>
        <v>111</v>
      </c>
      <c r="AA40" s="1531">
        <f t="shared" si="3"/>
        <v>1</v>
      </c>
      <c r="AB40" s="1531">
        <f t="shared" si="4"/>
        <v>1</v>
      </c>
      <c r="AC40" s="1531">
        <f t="shared" si="5"/>
        <v>1</v>
      </c>
    </row>
    <row r="41" spans="1:29" ht="15">
      <c r="A41" s="438" t="s">
        <v>2394</v>
      </c>
      <c r="B41" s="439"/>
      <c r="C41" s="1310" t="s">
        <v>1</v>
      </c>
      <c r="D41" s="1311"/>
      <c r="E41" s="1312"/>
      <c r="F41" s="1313"/>
      <c r="G41" s="1314"/>
      <c r="H41" s="1315"/>
      <c r="I41" s="1312"/>
      <c r="J41" s="1315"/>
      <c r="K41" s="723"/>
      <c r="L41" s="1051"/>
      <c r="M41" s="1052"/>
      <c r="N41" s="1039"/>
      <c r="O41" s="1052"/>
      <c r="P41" s="3323" t="str">
        <f>A41</f>
        <v>成交单价（元/平方米）</v>
      </c>
      <c r="Q41" s="3323"/>
      <c r="R41" s="3415">
        <f>E41</f>
        <v>0</v>
      </c>
      <c r="S41" s="3415"/>
      <c r="T41" s="3415">
        <f>G41</f>
        <v>0</v>
      </c>
      <c r="U41" s="3415"/>
      <c r="V41" s="3415">
        <f>I41</f>
        <v>0</v>
      </c>
      <c r="W41" s="3415"/>
      <c r="X41" s="699"/>
      <c r="Y41" s="721"/>
      <c r="Z41" s="699"/>
      <c r="AA41" s="699"/>
      <c r="AB41" s="699"/>
      <c r="AC41" s="699"/>
    </row>
    <row r="42" spans="1:29" ht="15.75" thickBot="1">
      <c r="A42" s="445" t="s">
        <v>2486</v>
      </c>
      <c r="B42" s="446"/>
      <c r="C42" s="1316" t="e">
        <f>R43</f>
        <v>#DIV/0!</v>
      </c>
      <c r="D42" s="2531" t="s">
        <v>2876</v>
      </c>
      <c r="E42" s="1317" t="e">
        <f>R42</f>
        <v>#DIV/0!</v>
      </c>
      <c r="F42" s="2532"/>
      <c r="G42" s="1316" t="e">
        <f>T42</f>
        <v>#DIV/0!</v>
      </c>
      <c r="H42" s="2532"/>
      <c r="I42" s="1317" t="e">
        <f>V42</f>
        <v>#DIV/0!</v>
      </c>
      <c r="J42" s="2532"/>
      <c r="K42" s="2534">
        <f>F42+H42+J42</f>
        <v>0</v>
      </c>
      <c r="L42" s="1051"/>
      <c r="M42" s="1052"/>
      <c r="N42" s="1039"/>
      <c r="O42" s="1052"/>
      <c r="P42" s="3323" t="str">
        <f>A42</f>
        <v>比较价值（元/平方米）</v>
      </c>
      <c r="Q42" s="3323"/>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699"/>
      <c r="Y42" s="699"/>
      <c r="Z42" s="699"/>
      <c r="AA42" s="699"/>
      <c r="AB42" s="699"/>
      <c r="AC42" s="699"/>
    </row>
    <row r="43" spans="1:29" ht="15.75" thickBot="1">
      <c r="A43" s="449" t="s">
        <v>2487</v>
      </c>
      <c r="B43" s="450"/>
      <c r="C43" s="1319" t="e">
        <f>R43</f>
        <v>#DIV/0!</v>
      </c>
      <c r="D43" s="1319"/>
      <c r="E43" s="1319"/>
      <c r="F43" s="1319"/>
      <c r="G43" s="1319"/>
      <c r="H43" s="1319"/>
      <c r="I43" s="1319"/>
      <c r="J43" s="1319"/>
      <c r="K43" s="724"/>
      <c r="L43" s="1051"/>
      <c r="M43" s="1052"/>
      <c r="N43" s="1052"/>
      <c r="O43" s="1052"/>
      <c r="P43" s="3343" t="str">
        <f>A43</f>
        <v>估价对象XX用房的比较价值（楼面单价，元/平方米）</v>
      </c>
      <c r="Q43" s="3344"/>
      <c r="R43" s="3414" t="e">
        <f>IF(F1="售价",ROUND(IF(D42="简单平均",AVERAGE(R42:V42),R42*F42+T42*H42+V42*J42),0),ROUND(IF(D42="简单平均",AVERAGE(R42:V42),R42*F42+T42*H42+V42*J42),1))</f>
        <v>#DIV/0!</v>
      </c>
      <c r="S43" s="3414"/>
      <c r="T43" s="3414"/>
      <c r="U43" s="3414"/>
      <c r="V43" s="3414"/>
      <c r="W43" s="3414"/>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2491</v>
      </c>
      <c r="B51" s="699"/>
      <c r="C51" s="704"/>
      <c r="D51" s="704"/>
      <c r="E51" s="704"/>
      <c r="F51" s="705"/>
      <c r="G51" s="705"/>
      <c r="H51" s="704"/>
      <c r="I51" s="704"/>
      <c r="J51" s="704"/>
      <c r="K51" s="1066"/>
      <c r="L51" s="1067"/>
      <c r="M51" s="1065"/>
      <c r="N51" s="1065"/>
      <c r="O51" s="1065"/>
      <c r="P51" s="460"/>
      <c r="Q51" s="461"/>
    </row>
    <row r="52" spans="1:17" s="465" customFormat="1" ht="15">
      <c r="A52" s="462" t="s">
        <v>2365</v>
      </c>
      <c r="B52" s="463"/>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9"/>
      <c r="O54" s="2990"/>
      <c r="P54" s="461"/>
      <c r="Q54" s="461"/>
    </row>
    <row r="55" spans="1:17" s="113" customFormat="1" ht="15">
      <c r="A55" s="478" t="s">
        <v>2367</v>
      </c>
      <c r="B55" s="467"/>
      <c r="C55" s="479" t="s">
        <v>2469</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2405</v>
      </c>
      <c r="B57" s="485" t="s">
        <v>2371</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2380</v>
      </c>
      <c r="B88" s="485" t="s">
        <v>2429</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2431</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2433</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2434</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2435</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2437</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87"/>
      <c r="F1" s="2058"/>
      <c r="G1" s="1388" t="s">
        <v>2460</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2146</v>
      </c>
      <c r="B2" s="1320" t="e">
        <f ca="1">IF(C2="——",IF(B37="元/平方米",ROUND(C39*D3/10000,0),ROUND(F3*C39/10000,0)),IF(B37="元/平方米",ROUND(C39*D3/10000,0),ROUND(F3*C39/10000,0))-D2)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2461</v>
      </c>
      <c r="D3" s="359">
        <f>SUMIF('数据-汇总表'!$C19:$C33,D1,'数据-汇总表'!$E19:$E33)</f>
        <v>0</v>
      </c>
      <c r="E3" s="360" t="s">
        <v>2525</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2462</v>
      </c>
      <c r="B4" s="362"/>
      <c r="C4" s="3324" t="s">
        <v>2463</v>
      </c>
      <c r="D4" s="3325"/>
      <c r="E4" s="3326" t="s">
        <v>2464</v>
      </c>
      <c r="F4" s="3327"/>
      <c r="G4" s="3324" t="s">
        <v>2465</v>
      </c>
      <c r="H4" s="3325"/>
      <c r="I4" s="3324" t="s">
        <v>2466</v>
      </c>
      <c r="J4" s="3325"/>
      <c r="K4" s="567" t="s">
        <v>2467</v>
      </c>
      <c r="L4" s="2934"/>
      <c r="M4" s="2935"/>
      <c r="N4" s="2935"/>
      <c r="O4" s="2935"/>
      <c r="P4" s="3328" t="s">
        <v>2468</v>
      </c>
      <c r="Q4" s="3329"/>
      <c r="R4" s="3311" t="s">
        <v>2464</v>
      </c>
      <c r="S4" s="3312"/>
      <c r="T4" s="3311" t="s">
        <v>2465</v>
      </c>
      <c r="U4" s="3312"/>
      <c r="V4" s="3336" t="s">
        <v>2466</v>
      </c>
      <c r="W4" s="3336"/>
      <c r="X4" s="1533"/>
      <c r="Y4" s="3311" t="s">
        <v>2468</v>
      </c>
      <c r="Z4" s="3312"/>
      <c r="AA4" s="3306" t="s">
        <v>2464</v>
      </c>
      <c r="AB4" s="3307" t="s">
        <v>2465</v>
      </c>
      <c r="AC4" s="3306" t="s">
        <v>2466</v>
      </c>
    </row>
    <row r="5" spans="1:29" ht="15">
      <c r="A5" s="364"/>
      <c r="B5" s="365"/>
      <c r="C5" s="3408" t="s">
        <v>2359</v>
      </c>
      <c r="D5" s="3409"/>
      <c r="E5" s="3406" t="s">
        <v>2360</v>
      </c>
      <c r="F5" s="3407"/>
      <c r="G5" s="3408" t="s">
        <v>2361</v>
      </c>
      <c r="H5" s="3409"/>
      <c r="I5" s="3408" t="s">
        <v>2362</v>
      </c>
      <c r="J5" s="3409"/>
      <c r="K5" s="567"/>
      <c r="L5" s="2934"/>
      <c r="M5" s="2935"/>
      <c r="N5" s="2935"/>
      <c r="O5" s="2935"/>
      <c r="P5" s="3330"/>
      <c r="Q5" s="3331"/>
      <c r="R5" s="3313"/>
      <c r="S5" s="3314"/>
      <c r="T5" s="3313"/>
      <c r="U5" s="3314"/>
      <c r="V5" s="3336"/>
      <c r="W5" s="3336"/>
      <c r="X5" s="1533"/>
      <c r="Y5" s="3313"/>
      <c r="Z5" s="3314"/>
      <c r="AA5" s="3307"/>
      <c r="AB5" s="3307"/>
      <c r="AC5" s="3307"/>
    </row>
    <row r="6" spans="1:29" ht="15.75" thickBot="1">
      <c r="A6" s="366"/>
      <c r="B6" s="367"/>
      <c r="C6" s="3410" t="s">
        <v>2363</v>
      </c>
      <c r="D6" s="3411"/>
      <c r="E6" s="3412" t="s">
        <v>2363</v>
      </c>
      <c r="F6" s="3413"/>
      <c r="G6" s="3410" t="s">
        <v>2363</v>
      </c>
      <c r="H6" s="3411"/>
      <c r="I6" s="3410" t="s">
        <v>2363</v>
      </c>
      <c r="J6" s="3411"/>
      <c r="K6" s="567" t="s">
        <v>2364</v>
      </c>
      <c r="L6" s="2934"/>
      <c r="M6" s="2935"/>
      <c r="N6" s="2935"/>
      <c r="O6" s="2935"/>
      <c r="P6" s="3332"/>
      <c r="Q6" s="3333"/>
      <c r="R6" s="3313"/>
      <c r="S6" s="3314"/>
      <c r="T6" s="3334"/>
      <c r="U6" s="3335"/>
      <c r="V6" s="3336"/>
      <c r="W6" s="3336"/>
      <c r="X6" s="1533"/>
      <c r="Y6" s="3334"/>
      <c r="Z6" s="3335"/>
      <c r="AA6" s="3308"/>
      <c r="AB6" s="3308"/>
      <c r="AC6" s="3308"/>
    </row>
    <row r="7" spans="1:29" s="113" customFormat="1" ht="15.75" thickBot="1">
      <c r="A7" s="368" t="s">
        <v>2365</v>
      </c>
      <c r="B7" s="369"/>
      <c r="C7" s="370">
        <f>'数据-取费表'!B2</f>
        <v>44299</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09" t="s">
        <v>2366</v>
      </c>
      <c r="Q7" s="3337"/>
      <c r="R7" s="710" t="s">
        <v>17</v>
      </c>
      <c r="S7" s="711">
        <f t="shared" ref="S7:S14" si="0">F7</f>
        <v>0</v>
      </c>
      <c r="T7" s="710" t="s">
        <v>17</v>
      </c>
      <c r="U7" s="711">
        <f t="shared" ref="U7:U14" si="1">H7</f>
        <v>0</v>
      </c>
      <c r="V7" s="710" t="s">
        <v>17</v>
      </c>
      <c r="W7" s="711">
        <f t="shared" ref="W7:W14" si="2">J7</f>
        <v>0</v>
      </c>
      <c r="X7" s="712"/>
      <c r="Y7" s="3309" t="s">
        <v>2366</v>
      </c>
      <c r="Z7" s="3310"/>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09" t="s">
        <v>2369</v>
      </c>
      <c r="Q8" s="3310"/>
      <c r="R8" s="710" t="s">
        <v>17</v>
      </c>
      <c r="S8" s="711">
        <f t="shared" si="0"/>
        <v>0</v>
      </c>
      <c r="T8" s="710" t="s">
        <v>17</v>
      </c>
      <c r="U8" s="711">
        <f t="shared" si="1"/>
        <v>0</v>
      </c>
      <c r="V8" s="710" t="s">
        <v>17</v>
      </c>
      <c r="W8" s="711">
        <f t="shared" si="2"/>
        <v>0</v>
      </c>
      <c r="X8" s="712"/>
      <c r="Y8" s="3309" t="s">
        <v>2369</v>
      </c>
      <c r="Z8" s="3310"/>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323" t="s">
        <v>2372</v>
      </c>
      <c r="Q9" s="1521" t="str">
        <f t="shared" ref="Q9:Q14" si="6">B9</f>
        <v>用途</v>
      </c>
      <c r="R9" s="710" t="s">
        <v>17</v>
      </c>
      <c r="S9" s="711">
        <f t="shared" si="0"/>
        <v>100</v>
      </c>
      <c r="T9" s="710" t="s">
        <v>17</v>
      </c>
      <c r="U9" s="711">
        <f t="shared" si="1"/>
        <v>100</v>
      </c>
      <c r="V9" s="710" t="s">
        <v>17</v>
      </c>
      <c r="W9" s="711">
        <f t="shared" si="2"/>
        <v>100</v>
      </c>
      <c r="X9" s="712"/>
      <c r="Y9" s="328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323"/>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323"/>
      <c r="Q11" s="1521">
        <f t="shared" si="6"/>
        <v>111</v>
      </c>
      <c r="R11" s="710" t="s">
        <v>17</v>
      </c>
      <c r="S11" s="711">
        <f t="shared" si="0"/>
        <v>100</v>
      </c>
      <c r="T11" s="710" t="s">
        <v>17</v>
      </c>
      <c r="U11" s="711">
        <f t="shared" si="1"/>
        <v>100</v>
      </c>
      <c r="V11" s="710" t="s">
        <v>17</v>
      </c>
      <c r="W11" s="711">
        <f t="shared" si="2"/>
        <v>100</v>
      </c>
      <c r="X11" s="712"/>
      <c r="Y11" s="328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323"/>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323"/>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713">
        <f t="shared" si="5"/>
        <v>1</v>
      </c>
    </row>
    <row r="14" spans="1:29" ht="156.75">
      <c r="A14" s="361" t="s">
        <v>2376</v>
      </c>
      <c r="B14" s="58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38" t="s">
        <v>2377</v>
      </c>
      <c r="Q14" s="1530" t="str">
        <f t="shared" si="6"/>
        <v>交通便捷度</v>
      </c>
      <c r="R14" s="714" t="s">
        <v>17</v>
      </c>
      <c r="S14" s="715">
        <f t="shared" si="0"/>
        <v>100</v>
      </c>
      <c r="T14" s="714" t="s">
        <v>17</v>
      </c>
      <c r="U14" s="715">
        <f t="shared" si="1"/>
        <v>100</v>
      </c>
      <c r="V14" s="714" t="s">
        <v>17</v>
      </c>
      <c r="W14" s="715">
        <f t="shared" si="2"/>
        <v>100</v>
      </c>
      <c r="X14" s="1533"/>
      <c r="Y14" s="3338"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1"/>
      <c r="M15" s="2935"/>
      <c r="N15" s="2935"/>
      <c r="O15" s="2935"/>
      <c r="P15" s="3339"/>
      <c r="Q15" s="1530"/>
      <c r="R15" s="714"/>
      <c r="S15" s="715"/>
      <c r="T15" s="714"/>
      <c r="U15" s="715"/>
      <c r="V15" s="714"/>
      <c r="W15" s="715"/>
      <c r="X15" s="1533"/>
      <c r="Y15" s="3339"/>
      <c r="Z15" s="1534"/>
      <c r="AA15" s="1531">
        <v>1</v>
      </c>
      <c r="AB15" s="1531">
        <v>1</v>
      </c>
      <c r="AC15" s="1531">
        <v>1</v>
      </c>
    </row>
    <row r="16" spans="1:29" ht="42.75">
      <c r="A16" s="364"/>
      <c r="B16" s="587" t="s">
        <v>2505</v>
      </c>
      <c r="C16" s="2079"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39"/>
      <c r="Q16" s="1530" t="str">
        <f>B16</f>
        <v>公共配套设施</v>
      </c>
      <c r="R16" s="714" t="s">
        <v>17</v>
      </c>
      <c r="S16" s="715">
        <f>F16</f>
        <v>100</v>
      </c>
      <c r="T16" s="714" t="s">
        <v>17</v>
      </c>
      <c r="U16" s="715">
        <f>H16</f>
        <v>100</v>
      </c>
      <c r="V16" s="714" t="s">
        <v>17</v>
      </c>
      <c r="W16" s="715">
        <f>J16</f>
        <v>100</v>
      </c>
      <c r="X16" s="1533"/>
      <c r="Y16" s="3339"/>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1"/>
      <c r="M17" s="2935"/>
      <c r="N17" s="2935"/>
      <c r="O17" s="2935"/>
      <c r="P17" s="3339"/>
      <c r="Q17" s="1530"/>
      <c r="R17" s="714"/>
      <c r="S17" s="715"/>
      <c r="T17" s="714"/>
      <c r="U17" s="715"/>
      <c r="V17" s="714"/>
      <c r="W17" s="715"/>
      <c r="X17" s="1533"/>
      <c r="Y17" s="3339"/>
      <c r="Z17" s="1534"/>
      <c r="AA17" s="1531">
        <v>1</v>
      </c>
      <c r="AB17" s="1531">
        <v>1</v>
      </c>
      <c r="AC17" s="1531">
        <v>1</v>
      </c>
    </row>
    <row r="18" spans="1:29" ht="42.75">
      <c r="A18" s="364"/>
      <c r="B18" s="589" t="s">
        <v>2506</v>
      </c>
      <c r="C18" s="2079"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39"/>
      <c r="Q18" s="1530" t="str">
        <f>B18</f>
        <v>基础设施水平</v>
      </c>
      <c r="R18" s="714" t="s">
        <v>17</v>
      </c>
      <c r="S18" s="715">
        <f>F18</f>
        <v>100</v>
      </c>
      <c r="T18" s="714" t="s">
        <v>17</v>
      </c>
      <c r="U18" s="715">
        <f>H18</f>
        <v>100</v>
      </c>
      <c r="V18" s="714" t="s">
        <v>17</v>
      </c>
      <c r="W18" s="715">
        <f>J18</f>
        <v>100</v>
      </c>
      <c r="X18" s="1533"/>
      <c r="Y18" s="3339"/>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1"/>
      <c r="M19" s="2935"/>
      <c r="N19" s="2935"/>
      <c r="O19" s="2935"/>
      <c r="P19" s="3339"/>
      <c r="Q19" s="1530"/>
      <c r="R19" s="714"/>
      <c r="S19" s="715"/>
      <c r="T19" s="714"/>
      <c r="U19" s="715"/>
      <c r="V19" s="714"/>
      <c r="W19" s="715"/>
      <c r="X19" s="1533"/>
      <c r="Y19" s="3339"/>
      <c r="Z19" s="1534"/>
      <c r="AA19" s="1531">
        <v>1</v>
      </c>
      <c r="AB19" s="1531">
        <v>1</v>
      </c>
      <c r="AC19" s="1531">
        <v>1</v>
      </c>
    </row>
    <row r="20" spans="1:29" ht="99.75">
      <c r="A20" s="364"/>
      <c r="B20" s="587" t="s">
        <v>2527</v>
      </c>
      <c r="C20" s="2079" t="str">
        <f>IF(B1="工业",估价对象房地状况!G7,估价对象房地状况!C9)</f>
        <v>区域自然环境：科丰公园、丰台科技生态公园；人文环境：汽车博物馆、首经贸大曦；综合评价环境状况较好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39"/>
      <c r="Q20" s="1530" t="str">
        <f>B20</f>
        <v>自然及人文环境</v>
      </c>
      <c r="R20" s="714" t="s">
        <v>17</v>
      </c>
      <c r="S20" s="715">
        <f>F20</f>
        <v>100</v>
      </c>
      <c r="T20" s="714" t="s">
        <v>17</v>
      </c>
      <c r="U20" s="715">
        <f>H20</f>
        <v>100</v>
      </c>
      <c r="V20" s="714" t="s">
        <v>17</v>
      </c>
      <c r="W20" s="715">
        <f>J20</f>
        <v>100</v>
      </c>
      <c r="X20" s="1533"/>
      <c r="Y20" s="3339"/>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1"/>
      <c r="M21" s="2935"/>
      <c r="N21" s="2935"/>
      <c r="O21" s="2935"/>
      <c r="P21" s="3339"/>
      <c r="Q21" s="1530"/>
      <c r="R21" s="714"/>
      <c r="S21" s="715"/>
      <c r="T21" s="714"/>
      <c r="U21" s="715"/>
      <c r="V21" s="714"/>
      <c r="W21" s="715"/>
      <c r="X21" s="1533"/>
      <c r="Y21" s="3339"/>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39"/>
      <c r="Q22" s="1530" t="str">
        <f>B22</f>
        <v>楼层</v>
      </c>
      <c r="R22" s="714" t="s">
        <v>17</v>
      </c>
      <c r="S22" s="715">
        <f>F22</f>
        <v>100</v>
      </c>
      <c r="T22" s="714" t="s">
        <v>17</v>
      </c>
      <c r="U22" s="715">
        <f>H22</f>
        <v>100</v>
      </c>
      <c r="V22" s="714" t="s">
        <v>17</v>
      </c>
      <c r="W22" s="715">
        <f>J22</f>
        <v>100</v>
      </c>
      <c r="X22" s="1533"/>
      <c r="Y22" s="3339"/>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39"/>
      <c r="Q23" s="1530">
        <f>B23</f>
        <v>111</v>
      </c>
      <c r="R23" s="714" t="s">
        <v>17</v>
      </c>
      <c r="S23" s="715">
        <f>F23</f>
        <v>100</v>
      </c>
      <c r="T23" s="714" t="s">
        <v>17</v>
      </c>
      <c r="U23" s="715">
        <f>H23</f>
        <v>100</v>
      </c>
      <c r="V23" s="714" t="s">
        <v>17</v>
      </c>
      <c r="W23" s="715">
        <f>J23</f>
        <v>100</v>
      </c>
      <c r="X23" s="1533"/>
      <c r="Y23" s="3339"/>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39"/>
      <c r="Q24" s="1530">
        <f t="shared" ref="Q24:Q36" si="11">B24</f>
        <v>111</v>
      </c>
      <c r="R24" s="714" t="s">
        <v>17</v>
      </c>
      <c r="S24" s="715">
        <f>F24</f>
        <v>100</v>
      </c>
      <c r="T24" s="714" t="s">
        <v>17</v>
      </c>
      <c r="U24" s="715">
        <f>H24</f>
        <v>100</v>
      </c>
      <c r="V24" s="714" t="s">
        <v>17</v>
      </c>
      <c r="W24" s="715">
        <f>J24</f>
        <v>100</v>
      </c>
      <c r="X24" s="1533"/>
      <c r="Y24" s="3339"/>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39"/>
      <c r="Q25" s="1521">
        <f t="shared" si="11"/>
        <v>111</v>
      </c>
      <c r="R25" s="710" t="s">
        <v>17</v>
      </c>
      <c r="S25" s="711">
        <f>F25</f>
        <v>100</v>
      </c>
      <c r="T25" s="710" t="s">
        <v>17</v>
      </c>
      <c r="U25" s="711">
        <f>H25</f>
        <v>100</v>
      </c>
      <c r="V25" s="710" t="s">
        <v>17</v>
      </c>
      <c r="W25" s="711">
        <f>J25</f>
        <v>100</v>
      </c>
      <c r="X25" s="712"/>
      <c r="Y25" s="3339"/>
      <c r="Z25" s="55">
        <f>Q25</f>
        <v>111</v>
      </c>
      <c r="AA25" s="1531">
        <f>D25/F25</f>
        <v>1</v>
      </c>
      <c r="AB25" s="1531">
        <f>D25/H25</f>
        <v>1</v>
      </c>
      <c r="AC25" s="1531">
        <f>D25/J25</f>
        <v>1</v>
      </c>
    </row>
    <row r="26" spans="1:29" ht="28.5">
      <c r="A26" s="608" t="s">
        <v>2380</v>
      </c>
      <c r="B26" s="66" t="s">
        <v>2529</v>
      </c>
      <c r="C26" s="2151">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340"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341"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341"/>
      <c r="Q28" s="1530" t="str">
        <f t="shared" si="11"/>
        <v>公共部分装修</v>
      </c>
      <c r="R28" s="714" t="s">
        <v>17</v>
      </c>
      <c r="S28" s="715">
        <f t="shared" si="12"/>
        <v>100</v>
      </c>
      <c r="T28" s="714" t="s">
        <v>17</v>
      </c>
      <c r="U28" s="715">
        <f t="shared" si="13"/>
        <v>100</v>
      </c>
      <c r="V28" s="714" t="s">
        <v>17</v>
      </c>
      <c r="W28" s="715">
        <f t="shared" si="14"/>
        <v>100</v>
      </c>
      <c r="X28" s="1533"/>
      <c r="Y28" s="3341"/>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341"/>
      <c r="Q29" s="1530" t="str">
        <f t="shared" si="11"/>
        <v>成新率</v>
      </c>
      <c r="R29" s="714" t="s">
        <v>17</v>
      </c>
      <c r="S29" s="715" t="e">
        <f t="shared" si="12"/>
        <v>#N/A</v>
      </c>
      <c r="T29" s="714" t="s">
        <v>17</v>
      </c>
      <c r="U29" s="715" t="e">
        <f t="shared" si="13"/>
        <v>#N/A</v>
      </c>
      <c r="V29" s="714" t="s">
        <v>17</v>
      </c>
      <c r="W29" s="715" t="e">
        <f t="shared" si="14"/>
        <v>#N/A</v>
      </c>
      <c r="X29" s="1533"/>
      <c r="Y29" s="3341"/>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341"/>
      <c r="Q30" s="1530" t="str">
        <f t="shared" si="11"/>
        <v>物业等级</v>
      </c>
      <c r="R30" s="714" t="s">
        <v>17</v>
      </c>
      <c r="S30" s="715">
        <f t="shared" si="12"/>
        <v>100</v>
      </c>
      <c r="T30" s="714" t="s">
        <v>17</v>
      </c>
      <c r="U30" s="715">
        <f t="shared" si="13"/>
        <v>100</v>
      </c>
      <c r="V30" s="714" t="s">
        <v>17</v>
      </c>
      <c r="W30" s="715">
        <f t="shared" si="14"/>
        <v>100</v>
      </c>
      <c r="X30" s="1533"/>
      <c r="Y30" s="3341"/>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341"/>
      <c r="Q31" s="1521"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341" t="s">
        <v>2382</v>
      </c>
      <c r="Q32" s="1530" t="str">
        <f t="shared" si="11"/>
        <v>车位类型</v>
      </c>
      <c r="R32" s="714" t="s">
        <v>17</v>
      </c>
      <c r="S32" s="715">
        <f t="shared" si="12"/>
        <v>100</v>
      </c>
      <c r="T32" s="714" t="s">
        <v>17</v>
      </c>
      <c r="U32" s="715">
        <f t="shared" si="13"/>
        <v>100</v>
      </c>
      <c r="V32" s="714" t="s">
        <v>17</v>
      </c>
      <c r="W32" s="715">
        <f t="shared" si="14"/>
        <v>100</v>
      </c>
      <c r="X32" s="1533"/>
      <c r="Y32" s="3341"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341"/>
      <c r="Q33" s="1530" t="str">
        <f t="shared" si="11"/>
        <v>是否直接入户</v>
      </c>
      <c r="R33" s="714" t="s">
        <v>17</v>
      </c>
      <c r="S33" s="715">
        <f t="shared" si="12"/>
        <v>100</v>
      </c>
      <c r="T33" s="714" t="s">
        <v>17</v>
      </c>
      <c r="U33" s="715">
        <f t="shared" si="13"/>
        <v>100</v>
      </c>
      <c r="V33" s="714" t="s">
        <v>17</v>
      </c>
      <c r="W33" s="715">
        <f t="shared" si="14"/>
        <v>100</v>
      </c>
      <c r="X33" s="1533"/>
      <c r="Y33" s="3341"/>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341"/>
      <c r="Q34" s="1530">
        <f t="shared" si="11"/>
        <v>111</v>
      </c>
      <c r="R34" s="714" t="s">
        <v>17</v>
      </c>
      <c r="S34" s="715">
        <f t="shared" si="12"/>
        <v>100</v>
      </c>
      <c r="T34" s="714" t="s">
        <v>17</v>
      </c>
      <c r="U34" s="715">
        <f t="shared" si="13"/>
        <v>100</v>
      </c>
      <c r="V34" s="714" t="s">
        <v>17</v>
      </c>
      <c r="W34" s="715">
        <f t="shared" si="14"/>
        <v>100</v>
      </c>
      <c r="X34" s="1533"/>
      <c r="Y34" s="3341"/>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341"/>
      <c r="Q36" s="1530">
        <f t="shared" si="11"/>
        <v>111</v>
      </c>
      <c r="R36" s="714" t="s">
        <v>17</v>
      </c>
      <c r="S36" s="715">
        <f t="shared" si="12"/>
        <v>100</v>
      </c>
      <c r="T36" s="714" t="s">
        <v>17</v>
      </c>
      <c r="U36" s="715">
        <f t="shared" si="13"/>
        <v>100</v>
      </c>
      <c r="V36" s="714" t="s">
        <v>17</v>
      </c>
      <c r="W36" s="715">
        <f t="shared" si="14"/>
        <v>100</v>
      </c>
      <c r="X36" s="1533"/>
      <c r="Y36" s="3341"/>
      <c r="Z36" s="1534">
        <f t="shared" si="15"/>
        <v>111</v>
      </c>
      <c r="AA36" s="1531">
        <f t="shared" si="3"/>
        <v>1</v>
      </c>
      <c r="AB36" s="1531">
        <f t="shared" si="4"/>
        <v>1</v>
      </c>
      <c r="AC36" s="1531">
        <f t="shared" si="5"/>
        <v>1</v>
      </c>
    </row>
    <row r="37" spans="1:29" ht="15">
      <c r="A37" s="438" t="s">
        <v>2537</v>
      </c>
      <c r="B37" s="2152" t="s">
        <v>2538</v>
      </c>
      <c r="C37" s="1310" t="s">
        <v>1</v>
      </c>
      <c r="D37" s="1311"/>
      <c r="E37" s="1312"/>
      <c r="F37" s="1313"/>
      <c r="G37" s="1314"/>
      <c r="H37" s="1315"/>
      <c r="I37" s="1312"/>
      <c r="J37" s="1315"/>
      <c r="K37" s="576"/>
      <c r="L37" s="2943"/>
      <c r="M37" s="2944"/>
      <c r="N37" s="2935"/>
      <c r="O37" s="2944"/>
      <c r="P37" s="3323" t="str">
        <f>A37</f>
        <v>成交单价</v>
      </c>
      <c r="Q37" s="3323"/>
      <c r="R37" s="3415">
        <f>E37</f>
        <v>0</v>
      </c>
      <c r="S37" s="3415"/>
      <c r="T37" s="3415">
        <f>G37</f>
        <v>0</v>
      </c>
      <c r="U37" s="3415"/>
      <c r="V37" s="3415">
        <f>I37</f>
        <v>0</v>
      </c>
      <c r="W37" s="3415"/>
      <c r="X37" s="699"/>
      <c r="Y37" s="721"/>
      <c r="Z37" s="699"/>
      <c r="AA37" s="699"/>
      <c r="AB37" s="699"/>
      <c r="AC37" s="699"/>
    </row>
    <row r="38" spans="1:29" ht="15.75" thickBot="1">
      <c r="A38" s="445" t="s">
        <v>2539</v>
      </c>
      <c r="B38" s="446" t="str">
        <f>B37</f>
        <v>元/车位</v>
      </c>
      <c r="C38" s="1316" t="e">
        <f>R39</f>
        <v>#DIV/0!</v>
      </c>
      <c r="D38" s="2531" t="s">
        <v>2876</v>
      </c>
      <c r="E38" s="1317" t="e">
        <f>R38</f>
        <v>#DIV/0!</v>
      </c>
      <c r="F38" s="2532"/>
      <c r="G38" s="1316" t="e">
        <f>T38</f>
        <v>#DIV/0!</v>
      </c>
      <c r="H38" s="2532"/>
      <c r="I38" s="1317" t="e">
        <f>V38</f>
        <v>#DIV/0!</v>
      </c>
      <c r="J38" s="2532"/>
      <c r="K38" s="2534">
        <f>F38+H38+J38</f>
        <v>0</v>
      </c>
      <c r="L38" s="2943"/>
      <c r="M38" s="2944"/>
      <c r="N38" s="2944"/>
      <c r="O38" s="2944"/>
      <c r="P38" s="3323" t="str">
        <f>A38</f>
        <v>比较价值（元/平方米）</v>
      </c>
      <c r="Q38" s="3323"/>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699"/>
      <c r="Y38" s="699"/>
      <c r="Z38" s="699"/>
      <c r="AA38" s="699"/>
      <c r="AB38" s="699"/>
      <c r="AC38" s="699"/>
    </row>
    <row r="39" spans="1:29" ht="15.75" thickBot="1">
      <c r="A39" s="449" t="s">
        <v>2540</v>
      </c>
      <c r="B39" s="450"/>
      <c r="C39" s="1319" t="e">
        <f>R39</f>
        <v>#DIV/0!</v>
      </c>
      <c r="D39" s="1319"/>
      <c r="E39" s="1319"/>
      <c r="F39" s="1319"/>
      <c r="G39" s="1319"/>
      <c r="H39" s="1319"/>
      <c r="I39" s="1319"/>
      <c r="J39" s="1319"/>
      <c r="K39" s="577"/>
      <c r="L39" s="2943"/>
      <c r="M39" s="2944"/>
      <c r="N39" s="2944"/>
      <c r="O39" s="2944"/>
      <c r="P39" s="3343" t="str">
        <f>A39</f>
        <v>估价对象XX用房的比较价值（楼面单价，元/平方米）</v>
      </c>
      <c r="Q39" s="3344"/>
      <c r="R39" s="3437" t="e">
        <f>IF(F1="售价",ROUND(IF(D38="简单平均",AVERAGE(R38:W38),R38*F38+T38*H38+V38*J38),0),ROUND(IF(D38="简单平均",AVERAGE(R38:V38),R38*F38+T38*H38+V38*J38),1))</f>
        <v>#DIV/0!</v>
      </c>
      <c r="S39" s="3437"/>
      <c r="T39" s="3437"/>
      <c r="U39" s="3437"/>
      <c r="V39" s="3437"/>
      <c r="W39" s="3437"/>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2544</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2545</v>
      </c>
      <c r="B48" s="463"/>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2402</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2367</v>
      </c>
      <c r="B51" s="467"/>
      <c r="C51" s="479" t="s">
        <v>2469</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2405</v>
      </c>
      <c r="B53" s="485" t="s">
        <v>2371</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2420</v>
      </c>
      <c r="C65" s="535" t="s">
        <v>2414</v>
      </c>
      <c r="D65" s="535" t="s">
        <v>2415</v>
      </c>
      <c r="E65" s="535" t="s">
        <v>2416</v>
      </c>
      <c r="F65" s="535" t="s">
        <v>2417</v>
      </c>
      <c r="G65" s="535" t="s">
        <v>2418</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2506</v>
      </c>
      <c r="C67" s="616" t="s">
        <v>2492</v>
      </c>
      <c r="D67" s="616" t="s">
        <v>2493</v>
      </c>
      <c r="E67" s="616" t="s">
        <v>2494</v>
      </c>
      <c r="F67" s="616" t="s">
        <v>2495</v>
      </c>
      <c r="G67" s="616" t="s">
        <v>2496</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2426</v>
      </c>
      <c r="C69" s="535" t="s">
        <v>2414</v>
      </c>
      <c r="D69" s="535" t="s">
        <v>2415</v>
      </c>
      <c r="E69" s="535" t="s">
        <v>2416</v>
      </c>
      <c r="F69" s="535" t="s">
        <v>2417</v>
      </c>
      <c r="G69" s="535" t="s">
        <v>2418</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2546</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2380</v>
      </c>
      <c r="B79" s="485" t="s">
        <v>2547</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2548</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2433</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2550</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2552</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2553</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IF(C2="——",ROUND(C37*D3/10000,0),ROUND(C37*D3/10000,0)-D2)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2461</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324" t="s">
        <v>2463</v>
      </c>
      <c r="D4" s="3325"/>
      <c r="E4" s="3326" t="s">
        <v>2464</v>
      </c>
      <c r="F4" s="3327"/>
      <c r="G4" s="3324" t="s">
        <v>2465</v>
      </c>
      <c r="H4" s="3325"/>
      <c r="I4" s="3324" t="s">
        <v>2466</v>
      </c>
      <c r="J4" s="3325"/>
      <c r="K4" s="567" t="s">
        <v>2467</v>
      </c>
      <c r="L4" s="2934"/>
      <c r="M4" s="2935"/>
      <c r="N4" s="2935"/>
      <c r="O4" s="2935"/>
      <c r="P4" s="3328" t="s">
        <v>2468</v>
      </c>
      <c r="Q4" s="3329"/>
      <c r="R4" s="3311" t="s">
        <v>2464</v>
      </c>
      <c r="S4" s="3312"/>
      <c r="T4" s="3311" t="s">
        <v>2465</v>
      </c>
      <c r="U4" s="3312"/>
      <c r="V4" s="3336" t="s">
        <v>2466</v>
      </c>
      <c r="W4" s="3336"/>
      <c r="X4" s="1533"/>
      <c r="Y4" s="3311" t="s">
        <v>2468</v>
      </c>
      <c r="Z4" s="3312"/>
      <c r="AA4" s="3306" t="s">
        <v>2464</v>
      </c>
      <c r="AB4" s="3307" t="s">
        <v>2465</v>
      </c>
      <c r="AC4" s="3306" t="s">
        <v>2466</v>
      </c>
    </row>
    <row r="5" spans="1:29" ht="15">
      <c r="A5" s="364"/>
      <c r="B5" s="365"/>
      <c r="C5" s="3408" t="s">
        <v>2359</v>
      </c>
      <c r="D5" s="3409"/>
      <c r="E5" s="3406" t="s">
        <v>2360</v>
      </c>
      <c r="F5" s="3407"/>
      <c r="G5" s="3408" t="s">
        <v>2361</v>
      </c>
      <c r="H5" s="3409"/>
      <c r="I5" s="3408" t="s">
        <v>2362</v>
      </c>
      <c r="J5" s="3409"/>
      <c r="K5" s="567"/>
      <c r="L5" s="2934"/>
      <c r="M5" s="2935"/>
      <c r="N5" s="2935"/>
      <c r="O5" s="2935"/>
      <c r="P5" s="3330"/>
      <c r="Q5" s="3331"/>
      <c r="R5" s="3313"/>
      <c r="S5" s="3314"/>
      <c r="T5" s="3313"/>
      <c r="U5" s="3314"/>
      <c r="V5" s="3336"/>
      <c r="W5" s="3336"/>
      <c r="X5" s="1533"/>
      <c r="Y5" s="3313"/>
      <c r="Z5" s="3314"/>
      <c r="AA5" s="3307"/>
      <c r="AB5" s="3307"/>
      <c r="AC5" s="3307"/>
    </row>
    <row r="6" spans="1:29" ht="15.75" thickBot="1">
      <c r="A6" s="366"/>
      <c r="B6" s="367"/>
      <c r="C6" s="3410" t="s">
        <v>2363</v>
      </c>
      <c r="D6" s="3411"/>
      <c r="E6" s="3412" t="s">
        <v>2363</v>
      </c>
      <c r="F6" s="3413"/>
      <c r="G6" s="3410" t="s">
        <v>2363</v>
      </c>
      <c r="H6" s="3411"/>
      <c r="I6" s="3410" t="s">
        <v>2363</v>
      </c>
      <c r="J6" s="3411"/>
      <c r="K6" s="567" t="s">
        <v>2364</v>
      </c>
      <c r="L6" s="2934"/>
      <c r="M6" s="2935"/>
      <c r="N6" s="2935"/>
      <c r="O6" s="2935"/>
      <c r="P6" s="3332"/>
      <c r="Q6" s="3333"/>
      <c r="R6" s="3313"/>
      <c r="S6" s="3314"/>
      <c r="T6" s="3334"/>
      <c r="U6" s="3335"/>
      <c r="V6" s="3336"/>
      <c r="W6" s="3336"/>
      <c r="X6" s="1533"/>
      <c r="Y6" s="3334"/>
      <c r="Z6" s="3335"/>
      <c r="AA6" s="3308"/>
      <c r="AB6" s="3308"/>
      <c r="AC6" s="3308"/>
    </row>
    <row r="7" spans="1:29" s="113" customFormat="1" ht="15.75" thickBot="1">
      <c r="A7" s="368" t="s">
        <v>2365</v>
      </c>
      <c r="B7" s="369"/>
      <c r="C7" s="370">
        <f>'数据-取费表'!B2</f>
        <v>44299</v>
      </c>
      <c r="D7" s="371">
        <v>100</v>
      </c>
      <c r="E7" s="372"/>
      <c r="F7" s="373">
        <f>SUMIF(46:46,YEAR(E7)&amp;"-"&amp;MONTH(E7),47:47)</f>
        <v>0</v>
      </c>
      <c r="G7" s="2153"/>
      <c r="H7" s="371">
        <f>SUMIF(46:46,YEAR(G7)&amp;"-"&amp;MONTH(G7),47:47)</f>
        <v>0</v>
      </c>
      <c r="I7" s="372"/>
      <c r="J7" s="371">
        <f>SUMIF(46:46,YEAR(I7)&amp;"-"&amp;MONTH(I7),47:47)</f>
        <v>0</v>
      </c>
      <c r="K7" s="568"/>
      <c r="L7" s="2936"/>
      <c r="M7" s="2937"/>
      <c r="N7" s="2937"/>
      <c r="O7" s="2937"/>
      <c r="P7" s="3309" t="s">
        <v>2366</v>
      </c>
      <c r="Q7" s="3337"/>
      <c r="R7" s="710" t="s">
        <v>17</v>
      </c>
      <c r="S7" s="711">
        <f t="shared" ref="S7:S14" si="0">F7</f>
        <v>0</v>
      </c>
      <c r="T7" s="710" t="s">
        <v>17</v>
      </c>
      <c r="U7" s="711">
        <f t="shared" ref="U7:U14" si="1">H7</f>
        <v>0</v>
      </c>
      <c r="V7" s="710" t="s">
        <v>17</v>
      </c>
      <c r="W7" s="711">
        <f t="shared" ref="W7:W14" si="2">J7</f>
        <v>0</v>
      </c>
      <c r="X7" s="712"/>
      <c r="Y7" s="3309" t="s">
        <v>2366</v>
      </c>
      <c r="Z7" s="3310"/>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09" t="s">
        <v>2369</v>
      </c>
      <c r="Q8" s="3310"/>
      <c r="R8" s="710" t="s">
        <v>17</v>
      </c>
      <c r="S8" s="711">
        <f t="shared" si="0"/>
        <v>0</v>
      </c>
      <c r="T8" s="710" t="s">
        <v>17</v>
      </c>
      <c r="U8" s="711">
        <f t="shared" si="1"/>
        <v>0</v>
      </c>
      <c r="V8" s="710" t="s">
        <v>17</v>
      </c>
      <c r="W8" s="711">
        <f t="shared" si="2"/>
        <v>0</v>
      </c>
      <c r="X8" s="712"/>
      <c r="Y8" s="3309" t="s">
        <v>2369</v>
      </c>
      <c r="Z8" s="3310"/>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323" t="s">
        <v>2372</v>
      </c>
      <c r="Q9" s="1521" t="str">
        <f t="shared" ref="Q9:Q14" si="6">B9</f>
        <v>用途</v>
      </c>
      <c r="R9" s="710" t="s">
        <v>17</v>
      </c>
      <c r="S9" s="711">
        <f t="shared" si="0"/>
        <v>100</v>
      </c>
      <c r="T9" s="710" t="s">
        <v>17</v>
      </c>
      <c r="U9" s="711">
        <f t="shared" si="1"/>
        <v>100</v>
      </c>
      <c r="V9" s="710" t="s">
        <v>17</v>
      </c>
      <c r="W9" s="711">
        <f t="shared" si="2"/>
        <v>100</v>
      </c>
      <c r="X9" s="712"/>
      <c r="Y9" s="328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323"/>
      <c r="Q10" s="1521" t="str">
        <f t="shared" si="6"/>
        <v>土地使用年限（年）</v>
      </c>
      <c r="R10" s="710" t="s">
        <v>17</v>
      </c>
      <c r="S10" s="711">
        <f t="shared" si="0"/>
        <v>100</v>
      </c>
      <c r="T10" s="710" t="s">
        <v>17</v>
      </c>
      <c r="U10" s="711">
        <f t="shared" si="1"/>
        <v>100</v>
      </c>
      <c r="V10" s="710" t="s">
        <v>17</v>
      </c>
      <c r="W10" s="711">
        <f t="shared" si="2"/>
        <v>100</v>
      </c>
      <c r="X10" s="712"/>
      <c r="Y10" s="3282"/>
      <c r="Z10" s="55" t="str">
        <f t="shared" si="7"/>
        <v>土地使用年限（年）</v>
      </c>
      <c r="AA10" s="713">
        <f t="shared" si="3"/>
        <v>1</v>
      </c>
      <c r="AB10" s="713">
        <f t="shared" si="4"/>
        <v>1</v>
      </c>
      <c r="AC10" s="713">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323"/>
      <c r="Q11" s="1521">
        <f t="shared" si="6"/>
        <v>111</v>
      </c>
      <c r="R11" s="710" t="s">
        <v>17</v>
      </c>
      <c r="S11" s="711">
        <f t="shared" si="0"/>
        <v>100</v>
      </c>
      <c r="T11" s="710" t="s">
        <v>17</v>
      </c>
      <c r="U11" s="711">
        <f t="shared" si="1"/>
        <v>100</v>
      </c>
      <c r="V11" s="710" t="s">
        <v>17</v>
      </c>
      <c r="W11" s="711">
        <f t="shared" si="2"/>
        <v>100</v>
      </c>
      <c r="X11" s="712"/>
      <c r="Y11" s="3282"/>
      <c r="Z11" s="55">
        <f t="shared" si="7"/>
        <v>111</v>
      </c>
      <c r="AA11" s="713">
        <f t="shared" si="3"/>
        <v>1</v>
      </c>
      <c r="AB11" s="713">
        <f t="shared" si="4"/>
        <v>1</v>
      </c>
      <c r="AC11" s="713">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323"/>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713">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1"/>
      <c r="M13" s="2935"/>
      <c r="N13" s="2935"/>
      <c r="O13" s="2993"/>
      <c r="P13" s="3323"/>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713">
        <f t="shared" si="5"/>
        <v>1</v>
      </c>
    </row>
    <row r="14" spans="1:29" ht="156.75">
      <c r="A14" s="399" t="s">
        <v>2376</v>
      </c>
      <c r="B14" s="6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38" t="s">
        <v>2377</v>
      </c>
      <c r="Q14" s="1530" t="str">
        <f t="shared" si="6"/>
        <v>交通便捷度</v>
      </c>
      <c r="R14" s="714" t="s">
        <v>17</v>
      </c>
      <c r="S14" s="715">
        <f t="shared" si="0"/>
        <v>100</v>
      </c>
      <c r="T14" s="714" t="s">
        <v>17</v>
      </c>
      <c r="U14" s="715">
        <f t="shared" si="1"/>
        <v>100</v>
      </c>
      <c r="V14" s="714" t="s">
        <v>17</v>
      </c>
      <c r="W14" s="715">
        <f t="shared" si="2"/>
        <v>100</v>
      </c>
      <c r="X14" s="1533"/>
      <c r="Y14" s="3338"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1"/>
      <c r="M15" s="2935"/>
      <c r="N15" s="2935"/>
      <c r="O15" s="2993"/>
      <c r="P15" s="3339"/>
      <c r="Q15" s="1530"/>
      <c r="R15" s="714"/>
      <c r="S15" s="715"/>
      <c r="T15" s="714"/>
      <c r="U15" s="715"/>
      <c r="V15" s="714"/>
      <c r="W15" s="715"/>
      <c r="X15" s="1533"/>
      <c r="Y15" s="3339"/>
      <c r="Z15" s="1534"/>
      <c r="AA15" s="1531">
        <v>1</v>
      </c>
      <c r="AB15" s="1531">
        <v>1</v>
      </c>
      <c r="AC15" s="1531">
        <v>1</v>
      </c>
    </row>
    <row r="16" spans="1:29" ht="42.75">
      <c r="A16" s="387"/>
      <c r="B16" s="410" t="s">
        <v>2505</v>
      </c>
      <c r="C16" s="2079"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39"/>
      <c r="Q16" s="1530" t="str">
        <f>B16</f>
        <v>公共配套设施</v>
      </c>
      <c r="R16" s="714" t="s">
        <v>17</v>
      </c>
      <c r="S16" s="715">
        <f>F16</f>
        <v>100</v>
      </c>
      <c r="T16" s="714" t="s">
        <v>17</v>
      </c>
      <c r="U16" s="715">
        <f>H16</f>
        <v>100</v>
      </c>
      <c r="V16" s="714" t="s">
        <v>17</v>
      </c>
      <c r="W16" s="715">
        <f>J16</f>
        <v>100</v>
      </c>
      <c r="X16" s="1533"/>
      <c r="Y16" s="3339"/>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1"/>
      <c r="M17" s="2935"/>
      <c r="N17" s="2935"/>
      <c r="O17" s="2993"/>
      <c r="P17" s="3339"/>
      <c r="Q17" s="1530"/>
      <c r="R17" s="714"/>
      <c r="S17" s="715"/>
      <c r="T17" s="714"/>
      <c r="U17" s="715"/>
      <c r="V17" s="714"/>
      <c r="W17" s="715"/>
      <c r="X17" s="1533"/>
      <c r="Y17" s="3339"/>
      <c r="Z17" s="1534"/>
      <c r="AA17" s="1531">
        <v>1</v>
      </c>
      <c r="AB17" s="1531">
        <v>1</v>
      </c>
      <c r="AC17" s="1531">
        <v>1</v>
      </c>
    </row>
    <row r="18" spans="1:29" ht="42.75">
      <c r="A18" s="387"/>
      <c r="B18" s="1287" t="s">
        <v>2506</v>
      </c>
      <c r="C18" s="2079"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39"/>
      <c r="Q18" s="1530" t="str">
        <f>B18</f>
        <v>基础设施水平</v>
      </c>
      <c r="R18" s="714" t="s">
        <v>17</v>
      </c>
      <c r="S18" s="715">
        <f>F18</f>
        <v>100</v>
      </c>
      <c r="T18" s="714" t="s">
        <v>17</v>
      </c>
      <c r="U18" s="715">
        <f>H18</f>
        <v>100</v>
      </c>
      <c r="V18" s="714" t="s">
        <v>17</v>
      </c>
      <c r="W18" s="715">
        <f>J18</f>
        <v>100</v>
      </c>
      <c r="X18" s="1533"/>
      <c r="Y18" s="3339"/>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1"/>
      <c r="M19" s="2935"/>
      <c r="N19" s="2935"/>
      <c r="O19" s="2993"/>
      <c r="P19" s="3339"/>
      <c r="Q19" s="1530"/>
      <c r="R19" s="714"/>
      <c r="S19" s="715"/>
      <c r="T19" s="714"/>
      <c r="U19" s="715"/>
      <c r="V19" s="714"/>
      <c r="W19" s="715"/>
      <c r="X19" s="1533"/>
      <c r="Y19" s="3339"/>
      <c r="Z19" s="1534"/>
      <c r="AA19" s="1531">
        <v>1</v>
      </c>
      <c r="AB19" s="1531">
        <v>1</v>
      </c>
      <c r="AC19" s="1531">
        <v>1</v>
      </c>
    </row>
    <row r="20" spans="1:29" ht="99.75">
      <c r="A20" s="387"/>
      <c r="B20" s="410" t="s">
        <v>2527</v>
      </c>
      <c r="C20" s="2079" t="str">
        <f>IF(B1="工业",估价对象房地状况!G7,估价对象房地状况!C9)</f>
        <v>区域自然环境：科丰公园、丰台科技生态公园；人文环境：汽车博物馆、首经贸大曦；综合评价环境状况较好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39"/>
      <c r="Q20" s="1530" t="str">
        <f>B20</f>
        <v>自然及人文环境</v>
      </c>
      <c r="R20" s="714" t="s">
        <v>17</v>
      </c>
      <c r="S20" s="715">
        <f>F20</f>
        <v>100</v>
      </c>
      <c r="T20" s="714" t="s">
        <v>17</v>
      </c>
      <c r="U20" s="715">
        <f>H20</f>
        <v>100</v>
      </c>
      <c r="V20" s="714" t="s">
        <v>17</v>
      </c>
      <c r="W20" s="715">
        <f>J20</f>
        <v>100</v>
      </c>
      <c r="X20" s="1533"/>
      <c r="Y20" s="3339"/>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1"/>
      <c r="M21" s="2935"/>
      <c r="N21" s="2935"/>
      <c r="O21" s="2993"/>
      <c r="P21" s="3339"/>
      <c r="Q21" s="1530"/>
      <c r="R21" s="714"/>
      <c r="S21" s="715"/>
      <c r="T21" s="714"/>
      <c r="U21" s="715"/>
      <c r="V21" s="714"/>
      <c r="W21" s="715"/>
      <c r="X21" s="1533"/>
      <c r="Y21" s="3339"/>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39"/>
      <c r="Q22" s="1530" t="str">
        <f>B22</f>
        <v>楼层</v>
      </c>
      <c r="R22" s="714" t="s">
        <v>17</v>
      </c>
      <c r="S22" s="715">
        <f>F22</f>
        <v>100</v>
      </c>
      <c r="T22" s="714" t="s">
        <v>17</v>
      </c>
      <c r="U22" s="715">
        <f>H22</f>
        <v>100</v>
      </c>
      <c r="V22" s="714" t="s">
        <v>17</v>
      </c>
      <c r="W22" s="715">
        <f>J22</f>
        <v>100</v>
      </c>
      <c r="X22" s="1533"/>
      <c r="Y22" s="3339"/>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39"/>
      <c r="Q23" s="1530">
        <f>B23</f>
        <v>111</v>
      </c>
      <c r="R23" s="714" t="s">
        <v>17</v>
      </c>
      <c r="S23" s="715">
        <f>F23</f>
        <v>100</v>
      </c>
      <c r="T23" s="714" t="s">
        <v>17</v>
      </c>
      <c r="U23" s="715">
        <f>H23</f>
        <v>100</v>
      </c>
      <c r="V23" s="714" t="s">
        <v>17</v>
      </c>
      <c r="W23" s="715">
        <f>J23</f>
        <v>100</v>
      </c>
      <c r="X23" s="1533"/>
      <c r="Y23" s="3339"/>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39"/>
      <c r="Q24" s="1530">
        <f t="shared" ref="Q24:Q34" si="11">B24</f>
        <v>111</v>
      </c>
      <c r="R24" s="714" t="s">
        <v>17</v>
      </c>
      <c r="S24" s="715">
        <f>F24</f>
        <v>100</v>
      </c>
      <c r="T24" s="714" t="s">
        <v>17</v>
      </c>
      <c r="U24" s="715">
        <f>H24</f>
        <v>100</v>
      </c>
      <c r="V24" s="714" t="s">
        <v>17</v>
      </c>
      <c r="W24" s="715">
        <f>J24</f>
        <v>100</v>
      </c>
      <c r="X24" s="1533"/>
      <c r="Y24" s="3339"/>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6"/>
      <c r="M25" s="2937"/>
      <c r="N25" s="2937"/>
      <c r="O25" s="2991"/>
      <c r="P25" s="3339"/>
      <c r="Q25" s="1521">
        <f t="shared" si="11"/>
        <v>111</v>
      </c>
      <c r="R25" s="710" t="s">
        <v>17</v>
      </c>
      <c r="S25" s="711">
        <f>F25</f>
        <v>100</v>
      </c>
      <c r="T25" s="710" t="s">
        <v>17</v>
      </c>
      <c r="U25" s="711">
        <f>H25</f>
        <v>100</v>
      </c>
      <c r="V25" s="710" t="s">
        <v>17</v>
      </c>
      <c r="W25" s="711">
        <f>J25</f>
        <v>100</v>
      </c>
      <c r="X25" s="712"/>
      <c r="Y25" s="3339"/>
      <c r="Z25" s="55">
        <f>Q25</f>
        <v>111</v>
      </c>
      <c r="AA25" s="1531">
        <f>D25/F25</f>
        <v>1</v>
      </c>
      <c r="AB25" s="1531">
        <f>D25/H25</f>
        <v>1</v>
      </c>
      <c r="AC25" s="1531">
        <f>D25/J25</f>
        <v>1</v>
      </c>
    </row>
    <row r="26" spans="1:29" ht="28.5">
      <c r="A26" s="425" t="s">
        <v>2380</v>
      </c>
      <c r="B26" s="67" t="s">
        <v>2531</v>
      </c>
      <c r="C26" s="2146"/>
      <c r="D26" s="426">
        <v>100</v>
      </c>
      <c r="E26" s="2146"/>
      <c r="F26" s="623">
        <f>SUMIF(77:77,E26,78:78)-SUMIF(77:77,C26,78:78)+100</f>
        <v>100</v>
      </c>
      <c r="G26" s="2146"/>
      <c r="H26" s="426">
        <f>SUMIF(77:77,G26,78:78)-SUMIF(77:77,C26,78:78)+100</f>
        <v>100</v>
      </c>
      <c r="I26" s="2146"/>
      <c r="J26" s="426">
        <f>SUMIF(77:77,I26,78:78)-SUMIF(77:77,C26,78:78)+100</f>
        <v>100</v>
      </c>
      <c r="K26" s="569"/>
      <c r="L26" s="2941"/>
      <c r="M26" s="2935"/>
      <c r="N26" s="2935"/>
      <c r="O26" s="2993"/>
      <c r="P26" s="3340"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341"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341"/>
      <c r="Q28" s="1530" t="str">
        <f t="shared" si="11"/>
        <v>物业等级</v>
      </c>
      <c r="R28" s="714" t="s">
        <v>17</v>
      </c>
      <c r="S28" s="715">
        <f t="shared" si="12"/>
        <v>100</v>
      </c>
      <c r="T28" s="714" t="s">
        <v>17</v>
      </c>
      <c r="U28" s="715">
        <f t="shared" si="13"/>
        <v>100</v>
      </c>
      <c r="V28" s="714" t="s">
        <v>17</v>
      </c>
      <c r="W28" s="715">
        <f t="shared" si="14"/>
        <v>100</v>
      </c>
      <c r="X28" s="1533"/>
      <c r="Y28" s="3341"/>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341"/>
      <c r="Q29" s="1530" t="str">
        <f t="shared" si="11"/>
        <v>有无电梯</v>
      </c>
      <c r="R29" s="714" t="s">
        <v>17</v>
      </c>
      <c r="S29" s="715">
        <f t="shared" si="12"/>
        <v>100</v>
      </c>
      <c r="T29" s="714" t="s">
        <v>17</v>
      </c>
      <c r="U29" s="715">
        <f t="shared" si="13"/>
        <v>100</v>
      </c>
      <c r="V29" s="714" t="s">
        <v>17</v>
      </c>
      <c r="W29" s="715">
        <f t="shared" si="14"/>
        <v>100</v>
      </c>
      <c r="X29" s="1533"/>
      <c r="Y29" s="3341"/>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341"/>
      <c r="Q30" s="1530" t="str">
        <f t="shared" si="11"/>
        <v>建筑面积</v>
      </c>
      <c r="R30" s="714" t="s">
        <v>17</v>
      </c>
      <c r="S30" s="715" t="e">
        <f t="shared" si="12"/>
        <v>#N/A</v>
      </c>
      <c r="T30" s="714" t="s">
        <v>17</v>
      </c>
      <c r="U30" s="715" t="e">
        <f t="shared" si="13"/>
        <v>#N/A</v>
      </c>
      <c r="V30" s="714" t="s">
        <v>17</v>
      </c>
      <c r="W30" s="715" t="e">
        <f t="shared" si="14"/>
        <v>#N/A</v>
      </c>
      <c r="X30" s="1533"/>
      <c r="Y30" s="3341"/>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341"/>
      <c r="Q31" s="1521"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341" t="s">
        <v>2382</v>
      </c>
      <c r="Q32" s="1530">
        <f t="shared" si="11"/>
        <v>111</v>
      </c>
      <c r="R32" s="714" t="s">
        <v>17</v>
      </c>
      <c r="S32" s="715">
        <f t="shared" si="12"/>
        <v>100</v>
      </c>
      <c r="T32" s="714" t="s">
        <v>17</v>
      </c>
      <c r="U32" s="715">
        <f t="shared" si="13"/>
        <v>100</v>
      </c>
      <c r="V32" s="714" t="s">
        <v>17</v>
      </c>
      <c r="W32" s="715">
        <f t="shared" si="14"/>
        <v>100</v>
      </c>
      <c r="X32" s="1533"/>
      <c r="Y32" s="3341" t="s">
        <v>2382</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341"/>
      <c r="Q33" s="1530">
        <f t="shared" si="11"/>
        <v>111</v>
      </c>
      <c r="R33" s="714" t="s">
        <v>17</v>
      </c>
      <c r="S33" s="715">
        <f t="shared" si="12"/>
        <v>100</v>
      </c>
      <c r="T33" s="714" t="s">
        <v>17</v>
      </c>
      <c r="U33" s="715">
        <f t="shared" si="13"/>
        <v>100</v>
      </c>
      <c r="V33" s="714" t="s">
        <v>17</v>
      </c>
      <c r="W33" s="715">
        <f t="shared" si="14"/>
        <v>100</v>
      </c>
      <c r="X33" s="1533"/>
      <c r="Y33" s="3341"/>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1"/>
      <c r="M34" s="2935"/>
      <c r="N34" s="2935"/>
      <c r="O34" s="2993"/>
      <c r="P34" s="3341"/>
      <c r="Q34" s="1530">
        <f t="shared" si="11"/>
        <v>111</v>
      </c>
      <c r="R34" s="714" t="s">
        <v>17</v>
      </c>
      <c r="S34" s="715">
        <f t="shared" si="12"/>
        <v>100</v>
      </c>
      <c r="T34" s="714" t="s">
        <v>17</v>
      </c>
      <c r="U34" s="715">
        <f t="shared" si="13"/>
        <v>100</v>
      </c>
      <c r="V34" s="714" t="s">
        <v>17</v>
      </c>
      <c r="W34" s="715">
        <f t="shared" si="14"/>
        <v>100</v>
      </c>
      <c r="X34" s="1533"/>
      <c r="Y34" s="3341"/>
      <c r="Z34" s="1534">
        <f t="shared" si="15"/>
        <v>111</v>
      </c>
      <c r="AA34" s="1531">
        <f t="shared" si="3"/>
        <v>1</v>
      </c>
      <c r="AB34" s="1531">
        <f t="shared" si="4"/>
        <v>1</v>
      </c>
      <c r="AC34" s="1531">
        <f t="shared" si="5"/>
        <v>1</v>
      </c>
    </row>
    <row r="35" spans="1:30" ht="15">
      <c r="A35" s="438" t="s">
        <v>2394</v>
      </c>
      <c r="B35" s="439"/>
      <c r="C35" s="1310" t="s">
        <v>1</v>
      </c>
      <c r="D35" s="1311"/>
      <c r="E35" s="1312"/>
      <c r="F35" s="1313"/>
      <c r="G35" s="1314"/>
      <c r="H35" s="1315"/>
      <c r="I35" s="1312"/>
      <c r="J35" s="1315"/>
      <c r="K35" s="723"/>
      <c r="L35" s="2943"/>
      <c r="M35" s="2944"/>
      <c r="N35" s="2935"/>
      <c r="O35" s="2944"/>
      <c r="P35" s="3323" t="str">
        <f>A35</f>
        <v>成交单价（元/平方米）</v>
      </c>
      <c r="Q35" s="3323"/>
      <c r="R35" s="3415">
        <f>E35</f>
        <v>0</v>
      </c>
      <c r="S35" s="3415"/>
      <c r="T35" s="3415">
        <f>G35</f>
        <v>0</v>
      </c>
      <c r="U35" s="3415"/>
      <c r="V35" s="3415">
        <f>I35</f>
        <v>0</v>
      </c>
      <c r="W35" s="3415"/>
      <c r="X35" s="699"/>
      <c r="Y35" s="721"/>
      <c r="Z35" s="699"/>
      <c r="AA35" s="699"/>
      <c r="AB35" s="699"/>
      <c r="AC35" s="699"/>
    </row>
    <row r="36" spans="1:30" ht="15.75" thickBot="1">
      <c r="A36" s="445" t="s">
        <v>2486</v>
      </c>
      <c r="B36" s="446"/>
      <c r="C36" s="1316" t="e">
        <f>R37</f>
        <v>#DIV/0!</v>
      </c>
      <c r="D36" s="2531" t="s">
        <v>2876</v>
      </c>
      <c r="E36" s="1317" t="e">
        <f>R36</f>
        <v>#DIV/0!</v>
      </c>
      <c r="F36" s="2532"/>
      <c r="G36" s="1316" t="e">
        <f>T36</f>
        <v>#DIV/0!</v>
      </c>
      <c r="H36" s="2532"/>
      <c r="I36" s="1317" t="e">
        <f>V36</f>
        <v>#DIV/0!</v>
      </c>
      <c r="J36" s="2532"/>
      <c r="K36" s="2534">
        <f>F36+H36+J36</f>
        <v>0</v>
      </c>
      <c r="L36" s="2943"/>
      <c r="M36" s="2944"/>
      <c r="N36" s="2935"/>
      <c r="O36" s="2944"/>
      <c r="P36" s="3323" t="str">
        <f>A36</f>
        <v>比较价值（元/平方米）</v>
      </c>
      <c r="Q36" s="3323"/>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699"/>
      <c r="Y36" s="699"/>
      <c r="Z36" s="699"/>
      <c r="AA36" s="699"/>
      <c r="AB36" s="699"/>
      <c r="AC36" s="699"/>
    </row>
    <row r="37" spans="1:30" ht="15.75" thickBot="1">
      <c r="A37" s="449" t="s">
        <v>2487</v>
      </c>
      <c r="B37" s="450"/>
      <c r="C37" s="1319" t="e">
        <f>R37</f>
        <v>#DIV/0!</v>
      </c>
      <c r="D37" s="1319"/>
      <c r="E37" s="1319"/>
      <c r="F37" s="1319"/>
      <c r="G37" s="1319"/>
      <c r="H37" s="1319"/>
      <c r="I37" s="1319"/>
      <c r="J37" s="1319"/>
      <c r="K37" s="724"/>
      <c r="L37" s="2943"/>
      <c r="M37" s="2944"/>
      <c r="N37" s="2944"/>
      <c r="O37" s="2944"/>
      <c r="P37" s="3343" t="str">
        <f>A37</f>
        <v>估价对象XX用房的比较价值（楼面单价，元/平方米）</v>
      </c>
      <c r="Q37" s="3344"/>
      <c r="R37" s="3437" t="e">
        <f>IF(F1="售价",ROUND(IF(D36="简单平均",AVERAGE(R36:W36),R36*F36+T36*H36+V36*J36),0),ROUND(IF(D36="简单平均",AVERAGE(R36:V36),R36*F36+T36*H36+V36*J36),1))</f>
        <v>#DIV/0!</v>
      </c>
      <c r="S37" s="3437"/>
      <c r="T37" s="3437"/>
      <c r="U37" s="3437"/>
      <c r="V37" s="3437"/>
      <c r="W37" s="3437"/>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2491</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2365</v>
      </c>
      <c r="B46" s="463"/>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2402</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2367</v>
      </c>
      <c r="B49" s="467"/>
      <c r="C49" s="479" t="s">
        <v>2469</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2405</v>
      </c>
      <c r="B51" s="485" t="s">
        <v>2371</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2557</v>
      </c>
      <c r="C63" s="535" t="s">
        <v>2414</v>
      </c>
      <c r="D63" s="535" t="s">
        <v>2415</v>
      </c>
      <c r="E63" s="535" t="s">
        <v>2416</v>
      </c>
      <c r="F63" s="535" t="s">
        <v>2417</v>
      </c>
      <c r="G63" s="535" t="s">
        <v>2418</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2506</v>
      </c>
      <c r="C65" s="616" t="s">
        <v>2492</v>
      </c>
      <c r="D65" s="616" t="s">
        <v>2493</v>
      </c>
      <c r="E65" s="616" t="s">
        <v>2494</v>
      </c>
      <c r="F65" s="616" t="s">
        <v>2495</v>
      </c>
      <c r="G65" s="616" t="s">
        <v>2496</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2426</v>
      </c>
      <c r="C67" s="535" t="s">
        <v>2414</v>
      </c>
      <c r="D67" s="535" t="s">
        <v>2415</v>
      </c>
      <c r="E67" s="535" t="s">
        <v>2416</v>
      </c>
      <c r="F67" s="535" t="s">
        <v>2417</v>
      </c>
      <c r="G67" s="535" t="s">
        <v>2418</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2546</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2380</v>
      </c>
      <c r="B77" s="485" t="s">
        <v>2433</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2550</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2558</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2560</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324" t="s">
        <v>2463</v>
      </c>
      <c r="D4" s="3325"/>
      <c r="E4" s="3326" t="s">
        <v>2464</v>
      </c>
      <c r="F4" s="3327"/>
      <c r="G4" s="3324" t="s">
        <v>2465</v>
      </c>
      <c r="H4" s="3325"/>
      <c r="I4" s="3324" t="s">
        <v>2466</v>
      </c>
      <c r="J4" s="3325"/>
      <c r="K4" s="567" t="s">
        <v>2467</v>
      </c>
      <c r="L4" s="2934"/>
      <c r="M4" s="2935"/>
      <c r="N4" s="2935"/>
      <c r="O4" s="2935"/>
      <c r="P4" s="3328" t="s">
        <v>2468</v>
      </c>
      <c r="Q4" s="3329"/>
      <c r="R4" s="3311" t="s">
        <v>2464</v>
      </c>
      <c r="S4" s="3312"/>
      <c r="T4" s="3311" t="s">
        <v>2465</v>
      </c>
      <c r="U4" s="3312"/>
      <c r="V4" s="3336" t="s">
        <v>2466</v>
      </c>
      <c r="W4" s="3336"/>
      <c r="X4" s="1533"/>
      <c r="Y4" s="3311" t="s">
        <v>2468</v>
      </c>
      <c r="Z4" s="3312"/>
      <c r="AA4" s="3306" t="s">
        <v>2464</v>
      </c>
      <c r="AB4" s="3307" t="s">
        <v>2465</v>
      </c>
      <c r="AC4" s="3306" t="s">
        <v>2466</v>
      </c>
    </row>
    <row r="5" spans="1:29" ht="15">
      <c r="A5" s="364"/>
      <c r="B5" s="365"/>
      <c r="C5" s="3408" t="s">
        <v>2359</v>
      </c>
      <c r="D5" s="3409"/>
      <c r="E5" s="3406" t="s">
        <v>2360</v>
      </c>
      <c r="F5" s="3407"/>
      <c r="G5" s="3408" t="s">
        <v>2361</v>
      </c>
      <c r="H5" s="3409"/>
      <c r="I5" s="3408" t="s">
        <v>2362</v>
      </c>
      <c r="J5" s="3409"/>
      <c r="K5" s="567"/>
      <c r="L5" s="2934"/>
      <c r="M5" s="2935"/>
      <c r="N5" s="2935"/>
      <c r="O5" s="2935"/>
      <c r="P5" s="3330"/>
      <c r="Q5" s="3331"/>
      <c r="R5" s="3313"/>
      <c r="S5" s="3314"/>
      <c r="T5" s="3313"/>
      <c r="U5" s="3314"/>
      <c r="V5" s="3336"/>
      <c r="W5" s="3336"/>
      <c r="X5" s="1533"/>
      <c r="Y5" s="3313"/>
      <c r="Z5" s="3314"/>
      <c r="AA5" s="3307"/>
      <c r="AB5" s="3307"/>
      <c r="AC5" s="3307"/>
    </row>
    <row r="6" spans="1:29" ht="15.75" thickBot="1">
      <c r="A6" s="366"/>
      <c r="B6" s="367"/>
      <c r="C6" s="3438" t="s">
        <v>2614</v>
      </c>
      <c r="D6" s="3439"/>
      <c r="E6" s="3440" t="s">
        <v>2614</v>
      </c>
      <c r="F6" s="3441"/>
      <c r="G6" s="3438" t="s">
        <v>2614</v>
      </c>
      <c r="H6" s="3439"/>
      <c r="I6" s="3438" t="s">
        <v>2614</v>
      </c>
      <c r="J6" s="3439"/>
      <c r="K6" s="567" t="s">
        <v>2364</v>
      </c>
      <c r="L6" s="2934"/>
      <c r="M6" s="2935"/>
      <c r="N6" s="2935"/>
      <c r="O6" s="2935"/>
      <c r="P6" s="3332"/>
      <c r="Q6" s="3333"/>
      <c r="R6" s="3313"/>
      <c r="S6" s="3314"/>
      <c r="T6" s="3334"/>
      <c r="U6" s="3335"/>
      <c r="V6" s="3336"/>
      <c r="W6" s="3336"/>
      <c r="X6" s="1533"/>
      <c r="Y6" s="3334"/>
      <c r="Z6" s="3335"/>
      <c r="AA6" s="3308"/>
      <c r="AB6" s="3308"/>
      <c r="AC6" s="3308"/>
    </row>
    <row r="7" spans="1:29" s="113" customFormat="1" ht="15.75" thickBot="1">
      <c r="A7" s="368" t="s">
        <v>2365</v>
      </c>
      <c r="B7" s="369"/>
      <c r="C7" s="370">
        <f>'数据-取费表'!B2</f>
        <v>44299</v>
      </c>
      <c r="D7" s="371">
        <v>100</v>
      </c>
      <c r="E7" s="372"/>
      <c r="F7" s="373">
        <f>SUMIF(65:65,YEAR(E7)&amp;"-"&amp;INT((MONTH(E7)+2)/3),66:66)</f>
        <v>0</v>
      </c>
      <c r="G7" s="2153"/>
      <c r="H7" s="371">
        <f>SUMIF(65:65,YEAR(G7)&amp;"-"&amp;INT((MONTH(G7)+2)/3),66:66)</f>
        <v>0</v>
      </c>
      <c r="I7" s="2153"/>
      <c r="J7" s="371">
        <f>SUMIF(65:65,YEAR(I7)&amp;"-"&amp;INT((MONTH(I7)+2)/3),66:66)</f>
        <v>0</v>
      </c>
      <c r="K7" s="568"/>
      <c r="L7" s="2936"/>
      <c r="M7" s="2937"/>
      <c r="N7" s="2937"/>
      <c r="O7" s="2937"/>
      <c r="P7" s="3309" t="s">
        <v>2366</v>
      </c>
      <c r="Q7" s="3337"/>
      <c r="R7" s="710" t="s">
        <v>17</v>
      </c>
      <c r="S7" s="711">
        <f t="shared" ref="S7:S15" si="0">F7</f>
        <v>0</v>
      </c>
      <c r="T7" s="710" t="s">
        <v>17</v>
      </c>
      <c r="U7" s="711">
        <f t="shared" ref="U7:U15" si="1">H7</f>
        <v>0</v>
      </c>
      <c r="V7" s="710" t="s">
        <v>17</v>
      </c>
      <c r="W7" s="711">
        <f t="shared" ref="W7:W15" si="2">J7</f>
        <v>0</v>
      </c>
      <c r="X7" s="712"/>
      <c r="Y7" s="3309" t="s">
        <v>2366</v>
      </c>
      <c r="Z7" s="3310"/>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09" t="s">
        <v>2369</v>
      </c>
      <c r="Q8" s="3310"/>
      <c r="R8" s="710" t="s">
        <v>17</v>
      </c>
      <c r="S8" s="711">
        <f t="shared" si="0"/>
        <v>0</v>
      </c>
      <c r="T8" s="710" t="s">
        <v>17</v>
      </c>
      <c r="U8" s="711">
        <f t="shared" si="1"/>
        <v>0</v>
      </c>
      <c r="V8" s="710" t="s">
        <v>17</v>
      </c>
      <c r="W8" s="711">
        <f t="shared" si="2"/>
        <v>0</v>
      </c>
      <c r="X8" s="712"/>
      <c r="Y8" s="3309" t="s">
        <v>2369</v>
      </c>
      <c r="Z8" s="3310"/>
      <c r="AA8" s="713" t="e">
        <f t="shared" ref="AA8:AA40" si="3">D8/F8</f>
        <v>#DIV/0!</v>
      </c>
      <c r="AB8" s="713" t="e">
        <f t="shared" ref="AB8:AB40" si="4">D8/H8</f>
        <v>#DIV/0!</v>
      </c>
      <c r="AC8" s="713" t="e">
        <f t="shared" ref="AC8:AC40" si="5">D8/J8</f>
        <v>#DIV/0!</v>
      </c>
    </row>
    <row r="9" spans="1:29" s="113" customFormat="1">
      <c r="A9" s="375" t="s">
        <v>2370</v>
      </c>
      <c r="B9" s="67" t="s">
        <v>2371</v>
      </c>
      <c r="C9" s="2156"/>
      <c r="D9" s="131">
        <v>100</v>
      </c>
      <c r="E9" s="2156"/>
      <c r="F9" s="131">
        <f>SUMIF(70:70,E9,71:71)-SUMIF(70:70,C9,71:71)+100</f>
        <v>100</v>
      </c>
      <c r="G9" s="2156"/>
      <c r="H9" s="131">
        <f>SUMIF(70:70,G9,71:71)-SUMIF(70:70,C9,71:71)+100</f>
        <v>100</v>
      </c>
      <c r="I9" s="2156"/>
      <c r="J9" s="131">
        <f>SUMIF(70:70,I9,71:71)-SUMIF(70:70,C9,71:71)+100</f>
        <v>100</v>
      </c>
      <c r="K9" s="568"/>
      <c r="L9" s="2936"/>
      <c r="M9" s="2937"/>
      <c r="N9" s="2937"/>
      <c r="O9" s="2991"/>
      <c r="P9" s="3323" t="s">
        <v>2372</v>
      </c>
      <c r="Q9" s="1521" t="str">
        <f t="shared" ref="Q9:Q15" si="6">B9</f>
        <v>用途</v>
      </c>
      <c r="R9" s="710" t="s">
        <v>17</v>
      </c>
      <c r="S9" s="711">
        <f t="shared" si="0"/>
        <v>100</v>
      </c>
      <c r="T9" s="710" t="s">
        <v>17</v>
      </c>
      <c r="U9" s="711">
        <f t="shared" si="1"/>
        <v>100</v>
      </c>
      <c r="V9" s="710" t="s">
        <v>17</v>
      </c>
      <c r="W9" s="711">
        <f t="shared" si="2"/>
        <v>100</v>
      </c>
      <c r="X9" s="712"/>
      <c r="Y9" s="328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105</v>
      </c>
      <c r="G10" s="391"/>
      <c r="H10" s="132">
        <f>ROUND(100/'数据-取费表'!G16,0)</f>
        <v>105</v>
      </c>
      <c r="I10" s="391"/>
      <c r="J10" s="132">
        <f>ROUND(100/'数据-取费表'!G16,0)</f>
        <v>105</v>
      </c>
      <c r="K10" s="628"/>
      <c r="L10" s="2938"/>
      <c r="M10" s="2939"/>
      <c r="N10" s="2939"/>
      <c r="O10" s="2992"/>
      <c r="P10" s="3323"/>
      <c r="Q10" s="1521" t="str">
        <f t="shared" si="6"/>
        <v>土地使用年限（年）</v>
      </c>
      <c r="R10" s="710" t="s">
        <v>17</v>
      </c>
      <c r="S10" s="711">
        <f t="shared" si="0"/>
        <v>105</v>
      </c>
      <c r="T10" s="710" t="s">
        <v>17</v>
      </c>
      <c r="U10" s="711">
        <f t="shared" si="1"/>
        <v>105</v>
      </c>
      <c r="V10" s="710" t="s">
        <v>17</v>
      </c>
      <c r="W10" s="711">
        <f t="shared" si="2"/>
        <v>105</v>
      </c>
      <c r="X10" s="712"/>
      <c r="Y10" s="3282"/>
      <c r="Z10" s="55" t="str">
        <f t="shared" si="7"/>
        <v>土地使用年限（年）</v>
      </c>
      <c r="AA10" s="713">
        <f t="shared" si="3"/>
        <v>0.95238095238095233</v>
      </c>
      <c r="AB10" s="713">
        <f t="shared" si="4"/>
        <v>0.95238095238095233</v>
      </c>
      <c r="AC10" s="713">
        <f t="shared" si="5"/>
        <v>0.95238095238095233</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323"/>
      <c r="Q11" s="1521" t="str">
        <f t="shared" si="6"/>
        <v>容积率</v>
      </c>
      <c r="R11" s="710" t="s">
        <v>17</v>
      </c>
      <c r="S11" s="711" t="e">
        <f t="shared" si="0"/>
        <v>#N/A</v>
      </c>
      <c r="T11" s="710" t="s">
        <v>17</v>
      </c>
      <c r="U11" s="711" t="e">
        <f t="shared" si="1"/>
        <v>#N/A</v>
      </c>
      <c r="V11" s="710" t="s">
        <v>17</v>
      </c>
      <c r="W11" s="711" t="e">
        <f t="shared" si="2"/>
        <v>#N/A</v>
      </c>
      <c r="X11" s="712"/>
      <c r="Y11" s="3282"/>
      <c r="Z11" s="55" t="str">
        <f t="shared" si="7"/>
        <v>容积率</v>
      </c>
      <c r="AA11" s="713" t="e">
        <f t="shared" si="3"/>
        <v>#N/A</v>
      </c>
      <c r="AB11" s="713" t="e">
        <f t="shared" si="4"/>
        <v>#N/A</v>
      </c>
      <c r="AC11" s="713"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323"/>
      <c r="Q12" s="1521">
        <f t="shared" si="6"/>
        <v>111</v>
      </c>
      <c r="R12" s="710" t="s">
        <v>17</v>
      </c>
      <c r="S12" s="711">
        <f t="shared" si="0"/>
        <v>100</v>
      </c>
      <c r="T12" s="710" t="s">
        <v>17</v>
      </c>
      <c r="U12" s="711">
        <f t="shared" si="1"/>
        <v>100</v>
      </c>
      <c r="V12" s="710" t="s">
        <v>17</v>
      </c>
      <c r="W12" s="711">
        <f t="shared" si="2"/>
        <v>100</v>
      </c>
      <c r="X12" s="712"/>
      <c r="Y12" s="3282"/>
      <c r="Z12" s="55">
        <f t="shared" si="7"/>
        <v>111</v>
      </c>
      <c r="AA12" s="713">
        <f>D12/F12</f>
        <v>1</v>
      </c>
      <c r="AB12" s="713">
        <f>D12/H12</f>
        <v>1</v>
      </c>
      <c r="AC12" s="713">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323"/>
      <c r="Q13" s="1521">
        <f t="shared" si="6"/>
        <v>111</v>
      </c>
      <c r="R13" s="710" t="s">
        <v>17</v>
      </c>
      <c r="S13" s="711">
        <f t="shared" si="0"/>
        <v>100</v>
      </c>
      <c r="T13" s="710" t="s">
        <v>17</v>
      </c>
      <c r="U13" s="711">
        <f t="shared" si="1"/>
        <v>100</v>
      </c>
      <c r="V13" s="710" t="s">
        <v>17</v>
      </c>
      <c r="W13" s="711">
        <f t="shared" si="2"/>
        <v>100</v>
      </c>
      <c r="X13" s="712"/>
      <c r="Y13" s="3282"/>
      <c r="Z13" s="55">
        <f t="shared" si="7"/>
        <v>111</v>
      </c>
      <c r="AA13" s="713">
        <f t="shared" si="3"/>
        <v>1</v>
      </c>
      <c r="AB13" s="713">
        <f t="shared" si="4"/>
        <v>1</v>
      </c>
      <c r="AC13" s="713">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323"/>
      <c r="Q14" s="1521">
        <f t="shared" si="6"/>
        <v>111</v>
      </c>
      <c r="R14" s="710" t="s">
        <v>17</v>
      </c>
      <c r="S14" s="711">
        <f t="shared" si="0"/>
        <v>100</v>
      </c>
      <c r="T14" s="710" t="s">
        <v>17</v>
      </c>
      <c r="U14" s="711">
        <f t="shared" si="1"/>
        <v>100</v>
      </c>
      <c r="V14" s="710" t="s">
        <v>17</v>
      </c>
      <c r="W14" s="711">
        <f t="shared" si="2"/>
        <v>100</v>
      </c>
      <c r="X14" s="712"/>
      <c r="Y14" s="3282"/>
      <c r="Z14" s="55">
        <f t="shared" si="7"/>
        <v>111</v>
      </c>
      <c r="AA14" s="713">
        <f t="shared" si="3"/>
        <v>1</v>
      </c>
      <c r="AB14" s="713">
        <f t="shared" si="4"/>
        <v>1</v>
      </c>
      <c r="AC14" s="713">
        <f t="shared" si="5"/>
        <v>1</v>
      </c>
    </row>
    <row r="15" spans="1:29" ht="57">
      <c r="A15" s="399" t="s">
        <v>2376</v>
      </c>
      <c r="B15" s="585" t="s">
        <v>2615</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38" t="s">
        <v>2377</v>
      </c>
      <c r="Q15" s="1530" t="str">
        <f t="shared" si="6"/>
        <v>产业集聚程度</v>
      </c>
      <c r="R15" s="714" t="s">
        <v>17</v>
      </c>
      <c r="S15" s="715">
        <f t="shared" si="0"/>
        <v>100</v>
      </c>
      <c r="T15" s="714" t="s">
        <v>17</v>
      </c>
      <c r="U15" s="715">
        <f t="shared" si="1"/>
        <v>100</v>
      </c>
      <c r="V15" s="714" t="s">
        <v>17</v>
      </c>
      <c r="W15" s="715">
        <f t="shared" si="2"/>
        <v>100</v>
      </c>
      <c r="X15" s="1533"/>
      <c r="Y15" s="3338" t="s">
        <v>2377</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1"/>
      <c r="M16" s="2935"/>
      <c r="N16" s="2935"/>
      <c r="O16" s="2993"/>
      <c r="P16" s="3339"/>
      <c r="Q16" s="1530"/>
      <c r="R16" s="714"/>
      <c r="S16" s="715"/>
      <c r="T16" s="714"/>
      <c r="U16" s="715"/>
      <c r="V16" s="714"/>
      <c r="W16" s="715"/>
      <c r="X16" s="1533"/>
      <c r="Y16" s="3339"/>
      <c r="Z16" s="1534"/>
      <c r="AA16" s="1531">
        <v>1</v>
      </c>
      <c r="AB16" s="1531">
        <v>1</v>
      </c>
      <c r="AC16" s="1531">
        <v>1</v>
      </c>
    </row>
    <row r="17" spans="1:29" ht="85.5">
      <c r="A17" s="387"/>
      <c r="B17" s="587" t="s">
        <v>2526</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39"/>
      <c r="Q17" s="1530" t="str">
        <f>B17</f>
        <v>交通便捷度</v>
      </c>
      <c r="R17" s="714" t="s">
        <v>17</v>
      </c>
      <c r="S17" s="715">
        <f>F17</f>
        <v>100</v>
      </c>
      <c r="T17" s="714" t="s">
        <v>17</v>
      </c>
      <c r="U17" s="715">
        <f>H17</f>
        <v>100</v>
      </c>
      <c r="V17" s="714" t="s">
        <v>17</v>
      </c>
      <c r="W17" s="715">
        <f>J17</f>
        <v>100</v>
      </c>
      <c r="X17" s="1533"/>
      <c r="Y17" s="3339"/>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1"/>
      <c r="M18" s="2935"/>
      <c r="N18" s="2935"/>
      <c r="O18" s="2993"/>
      <c r="P18" s="3339"/>
      <c r="Q18" s="1530"/>
      <c r="R18" s="714"/>
      <c r="S18" s="715"/>
      <c r="T18" s="714"/>
      <c r="U18" s="715"/>
      <c r="V18" s="714"/>
      <c r="W18" s="715"/>
      <c r="X18" s="1533"/>
      <c r="Y18" s="3339"/>
      <c r="Z18" s="1534"/>
      <c r="AA18" s="1531">
        <v>1</v>
      </c>
      <c r="AB18" s="1531">
        <v>1</v>
      </c>
      <c r="AC18" s="1531">
        <v>1</v>
      </c>
    </row>
    <row r="19" spans="1:29" ht="15">
      <c r="A19" s="387"/>
      <c r="B19" s="587" t="s">
        <v>2565</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39"/>
      <c r="Q19" s="1530" t="str">
        <f t="shared" ref="Q19:Q33" si="8">B19</f>
        <v>区域土地利用方向</v>
      </c>
      <c r="R19" s="714" t="s">
        <v>17</v>
      </c>
      <c r="S19" s="715">
        <f>F19</f>
        <v>100</v>
      </c>
      <c r="T19" s="714" t="s">
        <v>17</v>
      </c>
      <c r="U19" s="715">
        <f>H19</f>
        <v>100</v>
      </c>
      <c r="V19" s="714" t="s">
        <v>17</v>
      </c>
      <c r="W19" s="715">
        <f>J19</f>
        <v>100</v>
      </c>
      <c r="X19" s="1533"/>
      <c r="Y19" s="3339"/>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1"/>
      <c r="M20" s="2935"/>
      <c r="N20" s="2935"/>
      <c r="O20" s="2993"/>
      <c r="P20" s="3339"/>
      <c r="Q20" s="1530"/>
      <c r="R20" s="714"/>
      <c r="S20" s="715"/>
      <c r="T20" s="714"/>
      <c r="U20" s="715"/>
      <c r="V20" s="714"/>
      <c r="W20" s="715"/>
      <c r="X20" s="1533"/>
      <c r="Y20" s="3339"/>
      <c r="Z20" s="1534"/>
      <c r="AA20" s="1531"/>
      <c r="AB20" s="1531"/>
      <c r="AC20" s="1531"/>
    </row>
    <row r="21" spans="1:29" ht="71.25">
      <c r="A21" s="364"/>
      <c r="B21" s="587" t="s">
        <v>2616</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39"/>
      <c r="Q21" s="1530" t="str">
        <f t="shared" si="8"/>
        <v>环境状况</v>
      </c>
      <c r="R21" s="714" t="s">
        <v>17</v>
      </c>
      <c r="S21" s="715">
        <f>F21</f>
        <v>100</v>
      </c>
      <c r="T21" s="714" t="s">
        <v>17</v>
      </c>
      <c r="U21" s="715">
        <f>H21</f>
        <v>100</v>
      </c>
      <c r="V21" s="714" t="s">
        <v>17</v>
      </c>
      <c r="W21" s="715">
        <f>J21</f>
        <v>100</v>
      </c>
      <c r="X21" s="1533"/>
      <c r="Y21" s="3339"/>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1"/>
      <c r="M22" s="2935"/>
      <c r="N22" s="2935"/>
      <c r="O22" s="2993"/>
      <c r="P22" s="3339"/>
      <c r="Q22" s="1530"/>
      <c r="R22" s="714"/>
      <c r="S22" s="715"/>
      <c r="T22" s="714"/>
      <c r="U22" s="715"/>
      <c r="V22" s="714"/>
      <c r="W22" s="715"/>
      <c r="X22" s="1533"/>
      <c r="Y22" s="3339"/>
      <c r="Z22" s="1534"/>
      <c r="AA22" s="1531">
        <v>1</v>
      </c>
      <c r="AB22" s="1531">
        <v>1</v>
      </c>
      <c r="AC22" s="1531">
        <v>1</v>
      </c>
    </row>
    <row r="23" spans="1:29" s="113" customFormat="1" ht="42.75">
      <c r="A23" s="605"/>
      <c r="B23" s="589" t="s">
        <v>2471</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39"/>
      <c r="Q23" s="1521" t="str">
        <f t="shared" si="8"/>
        <v>公共配套设施</v>
      </c>
      <c r="R23" s="710" t="s">
        <v>17</v>
      </c>
      <c r="S23" s="711">
        <f>F23</f>
        <v>100</v>
      </c>
      <c r="T23" s="710" t="s">
        <v>17</v>
      </c>
      <c r="U23" s="711">
        <f>H23</f>
        <v>100</v>
      </c>
      <c r="V23" s="710" t="s">
        <v>17</v>
      </c>
      <c r="W23" s="711">
        <f>J23</f>
        <v>100</v>
      </c>
      <c r="X23" s="712"/>
      <c r="Y23" s="3339"/>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6"/>
      <c r="M24" s="2937"/>
      <c r="N24" s="2937"/>
      <c r="O24" s="2991"/>
      <c r="P24" s="3339"/>
      <c r="Q24" s="1521"/>
      <c r="R24" s="710"/>
      <c r="S24" s="711"/>
      <c r="T24" s="710"/>
      <c r="U24" s="711"/>
      <c r="V24" s="710"/>
      <c r="W24" s="711"/>
      <c r="X24" s="712"/>
      <c r="Y24" s="3339"/>
      <c r="Z24" s="55"/>
      <c r="AA24" s="713">
        <v>1</v>
      </c>
      <c r="AB24" s="713">
        <v>1</v>
      </c>
      <c r="AC24" s="713">
        <v>1</v>
      </c>
    </row>
    <row r="25" spans="1:29" s="113" customFormat="1" ht="28.5">
      <c r="A25" s="605"/>
      <c r="B25" s="589" t="s">
        <v>2472</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39"/>
      <c r="Q25" s="1521" t="str">
        <f t="shared" ref="Q25" si="9">B25</f>
        <v>基础设施水平</v>
      </c>
      <c r="R25" s="710" t="s">
        <v>17</v>
      </c>
      <c r="S25" s="711">
        <f>F25</f>
        <v>100</v>
      </c>
      <c r="T25" s="710" t="s">
        <v>17</v>
      </c>
      <c r="U25" s="711">
        <f>H25</f>
        <v>100</v>
      </c>
      <c r="V25" s="710" t="s">
        <v>17</v>
      </c>
      <c r="W25" s="711">
        <f>J25</f>
        <v>100</v>
      </c>
      <c r="X25" s="712"/>
      <c r="Y25" s="3339"/>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6"/>
      <c r="M26" s="2937"/>
      <c r="N26" s="2937"/>
      <c r="O26" s="2991"/>
      <c r="P26" s="3339"/>
      <c r="Q26" s="1521"/>
      <c r="R26" s="710"/>
      <c r="S26" s="711"/>
      <c r="T26" s="710"/>
      <c r="U26" s="711"/>
      <c r="V26" s="710"/>
      <c r="W26" s="711"/>
      <c r="X26" s="712"/>
      <c r="Y26" s="333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39"/>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339"/>
      <c r="Z27" s="1534" t="str">
        <f t="shared" ref="Z27:Z40" si="13">Q27</f>
        <v>临街状况</v>
      </c>
      <c r="AA27" s="1531">
        <f t="shared" si="3"/>
        <v>1</v>
      </c>
      <c r="AB27" s="1531">
        <f t="shared" si="4"/>
        <v>1</v>
      </c>
      <c r="AC27" s="1531">
        <f t="shared" si="5"/>
        <v>1</v>
      </c>
    </row>
    <row r="28" spans="1:29" ht="27">
      <c r="A28" s="387"/>
      <c r="B28" s="589" t="s">
        <v>2508</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39"/>
      <c r="Q28" s="1530" t="str">
        <f t="shared" si="8"/>
        <v>毗邻道路的类型与等级</v>
      </c>
      <c r="R28" s="714" t="s">
        <v>17</v>
      </c>
      <c r="S28" s="715">
        <f t="shared" si="10"/>
        <v>100</v>
      </c>
      <c r="T28" s="714" t="s">
        <v>17</v>
      </c>
      <c r="U28" s="715">
        <f t="shared" si="11"/>
        <v>100</v>
      </c>
      <c r="V28" s="714" t="s">
        <v>17</v>
      </c>
      <c r="W28" s="715">
        <f t="shared" si="12"/>
        <v>100</v>
      </c>
      <c r="X28" s="1533"/>
      <c r="Y28" s="3339"/>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1"/>
      <c r="M29" s="2935"/>
      <c r="N29" s="2935"/>
      <c r="O29" s="2993"/>
      <c r="P29" s="3339"/>
      <c r="Q29" s="1530"/>
      <c r="R29" s="714"/>
      <c r="S29" s="715"/>
      <c r="T29" s="714"/>
      <c r="U29" s="715"/>
      <c r="V29" s="714"/>
      <c r="W29" s="715"/>
      <c r="X29" s="1533"/>
      <c r="Y29" s="3339"/>
      <c r="Z29" s="1534"/>
      <c r="AA29" s="1531">
        <v>1</v>
      </c>
      <c r="AB29" s="1531">
        <v>1</v>
      </c>
      <c r="AC29" s="1531">
        <v>1</v>
      </c>
    </row>
    <row r="30" spans="1:29" ht="15">
      <c r="A30" s="387"/>
      <c r="B30" s="610" t="s">
        <v>2567</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39"/>
      <c r="Q30" s="1530" t="str">
        <f t="shared" si="8"/>
        <v>土地级别</v>
      </c>
      <c r="R30" s="714" t="s">
        <v>17</v>
      </c>
      <c r="S30" s="715">
        <f t="shared" si="10"/>
        <v>100</v>
      </c>
      <c r="T30" s="714" t="s">
        <v>17</v>
      </c>
      <c r="U30" s="715">
        <f t="shared" si="11"/>
        <v>100</v>
      </c>
      <c r="V30" s="714" t="s">
        <v>17</v>
      </c>
      <c r="W30" s="715">
        <f t="shared" si="12"/>
        <v>100</v>
      </c>
      <c r="X30" s="1533"/>
      <c r="Y30" s="3339"/>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39"/>
      <c r="Q31" s="1530">
        <f t="shared" si="8"/>
        <v>111</v>
      </c>
      <c r="R31" s="714" t="s">
        <v>17</v>
      </c>
      <c r="S31" s="715">
        <f t="shared" si="10"/>
        <v>100</v>
      </c>
      <c r="T31" s="714" t="s">
        <v>17</v>
      </c>
      <c r="U31" s="715">
        <f t="shared" si="11"/>
        <v>100</v>
      </c>
      <c r="V31" s="714" t="s">
        <v>17</v>
      </c>
      <c r="W31" s="715">
        <f t="shared" si="12"/>
        <v>100</v>
      </c>
      <c r="X31" s="1533"/>
      <c r="Y31" s="3339"/>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340" t="s">
        <v>2382</v>
      </c>
      <c r="Q32" s="1530">
        <f t="shared" si="8"/>
        <v>111</v>
      </c>
      <c r="R32" s="714" t="s">
        <v>17</v>
      </c>
      <c r="S32" s="715">
        <f t="shared" si="10"/>
        <v>100</v>
      </c>
      <c r="T32" s="714" t="s">
        <v>17</v>
      </c>
      <c r="U32" s="715">
        <f t="shared" si="11"/>
        <v>100</v>
      </c>
      <c r="V32" s="714" t="s">
        <v>17</v>
      </c>
      <c r="W32" s="715">
        <f t="shared" si="12"/>
        <v>100</v>
      </c>
      <c r="X32" s="1533"/>
      <c r="Y32" s="3341" t="s">
        <v>2382</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341"/>
      <c r="Q33" s="1530">
        <f t="shared" si="8"/>
        <v>111</v>
      </c>
      <c r="R33" s="717" t="s">
        <v>17</v>
      </c>
      <c r="S33" s="718">
        <f t="shared" si="10"/>
        <v>100</v>
      </c>
      <c r="T33" s="717" t="s">
        <v>17</v>
      </c>
      <c r="U33" s="718">
        <f t="shared" si="11"/>
        <v>100</v>
      </c>
      <c r="V33" s="717" t="s">
        <v>17</v>
      </c>
      <c r="W33" s="718">
        <f t="shared" si="12"/>
        <v>100</v>
      </c>
      <c r="X33" s="719"/>
      <c r="Y33" s="3341"/>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341"/>
      <c r="Q34" s="1530" t="str">
        <f>B34</f>
        <v>宗地面积</v>
      </c>
      <c r="R34" s="714" t="s">
        <v>17</v>
      </c>
      <c r="S34" s="715" t="e">
        <f t="shared" si="10"/>
        <v>#N/A</v>
      </c>
      <c r="T34" s="714" t="s">
        <v>17</v>
      </c>
      <c r="U34" s="715" t="e">
        <f t="shared" si="11"/>
        <v>#N/A</v>
      </c>
      <c r="V34" s="714" t="s">
        <v>17</v>
      </c>
      <c r="W34" s="715" t="e">
        <f t="shared" si="12"/>
        <v>#N/A</v>
      </c>
      <c r="X34" s="1533"/>
      <c r="Y34" s="3341"/>
      <c r="Z34" s="1534" t="str">
        <f t="shared" si="13"/>
        <v>宗地面积</v>
      </c>
      <c r="AA34" s="1531" t="e">
        <f t="shared" si="3"/>
        <v>#N/A</v>
      </c>
      <c r="AB34" s="1531" t="e">
        <f t="shared" si="4"/>
        <v>#N/A</v>
      </c>
      <c r="AC34" s="1531" t="e">
        <f t="shared" si="5"/>
        <v>#N/A</v>
      </c>
    </row>
    <row r="35" spans="1:31" ht="15">
      <c r="A35" s="431"/>
      <c r="B35" s="381" t="s">
        <v>2569</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1"/>
      <c r="M35" s="2935"/>
      <c r="N35" s="2935"/>
      <c r="O35" s="2993"/>
      <c r="P35" s="3341"/>
      <c r="Q35" s="1530" t="str">
        <f t="shared" ref="Q35:Q40" si="14">B35</f>
        <v>宗地形状</v>
      </c>
      <c r="R35" s="714" t="s">
        <v>17</v>
      </c>
      <c r="S35" s="715">
        <f t="shared" si="10"/>
        <v>100</v>
      </c>
      <c r="T35" s="714" t="s">
        <v>17</v>
      </c>
      <c r="U35" s="715">
        <f t="shared" si="11"/>
        <v>100</v>
      </c>
      <c r="V35" s="714" t="s">
        <v>17</v>
      </c>
      <c r="W35" s="715">
        <f t="shared" si="12"/>
        <v>100</v>
      </c>
      <c r="X35" s="1533"/>
      <c r="Y35" s="3341"/>
      <c r="Z35" s="1534" t="str">
        <f t="shared" si="13"/>
        <v>宗地形状</v>
      </c>
      <c r="AA35" s="1531">
        <f t="shared" si="3"/>
        <v>1</v>
      </c>
      <c r="AB35" s="1531">
        <f t="shared" si="4"/>
        <v>1</v>
      </c>
      <c r="AC35" s="1531">
        <f t="shared" si="5"/>
        <v>1</v>
      </c>
    </row>
    <row r="36" spans="1:31" s="113" customFormat="1" ht="15">
      <c r="A36" s="432"/>
      <c r="B36" s="381" t="s">
        <v>2571</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6"/>
      <c r="M36" s="2937"/>
      <c r="N36" s="2937"/>
      <c r="O36" s="2991"/>
      <c r="P36" s="3341"/>
      <c r="Q36" s="1530"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2572</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1"/>
      <c r="M37" s="2935"/>
      <c r="N37" s="2935"/>
      <c r="O37" s="2993"/>
      <c r="P37" s="3341" t="s">
        <v>2382</v>
      </c>
      <c r="Q37" s="1530" t="str">
        <f t="shared" si="14"/>
        <v>工程地质条件</v>
      </c>
      <c r="R37" s="714" t="s">
        <v>17</v>
      </c>
      <c r="S37" s="715">
        <f t="shared" si="10"/>
        <v>100</v>
      </c>
      <c r="T37" s="714" t="s">
        <v>17</v>
      </c>
      <c r="U37" s="715">
        <f t="shared" si="11"/>
        <v>100</v>
      </c>
      <c r="V37" s="714" t="s">
        <v>17</v>
      </c>
      <c r="W37" s="715">
        <f t="shared" si="12"/>
        <v>100</v>
      </c>
      <c r="X37" s="1533"/>
      <c r="Y37" s="3341" t="s">
        <v>2382</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341"/>
      <c r="Q38" s="1530">
        <f t="shared" si="14"/>
        <v>111</v>
      </c>
      <c r="R38" s="714" t="s">
        <v>17</v>
      </c>
      <c r="S38" s="715">
        <f t="shared" si="10"/>
        <v>100</v>
      </c>
      <c r="T38" s="714" t="s">
        <v>17</v>
      </c>
      <c r="U38" s="715">
        <f t="shared" si="11"/>
        <v>100</v>
      </c>
      <c r="V38" s="714" t="s">
        <v>17</v>
      </c>
      <c r="W38" s="715">
        <f t="shared" si="12"/>
        <v>100</v>
      </c>
      <c r="X38" s="1533"/>
      <c r="Y38" s="3341"/>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341"/>
      <c r="Q39" s="1530">
        <f t="shared" si="14"/>
        <v>111</v>
      </c>
      <c r="R39" s="714" t="s">
        <v>17</v>
      </c>
      <c r="S39" s="715">
        <f t="shared" si="10"/>
        <v>100</v>
      </c>
      <c r="T39" s="714" t="s">
        <v>17</v>
      </c>
      <c r="U39" s="715">
        <f t="shared" si="11"/>
        <v>100</v>
      </c>
      <c r="V39" s="714" t="s">
        <v>17</v>
      </c>
      <c r="W39" s="715">
        <f t="shared" si="12"/>
        <v>100</v>
      </c>
      <c r="X39" s="1533"/>
      <c r="Y39" s="3341"/>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341"/>
      <c r="Q40" s="1530">
        <f t="shared" si="14"/>
        <v>111</v>
      </c>
      <c r="R40" s="717" t="s">
        <v>17</v>
      </c>
      <c r="S40" s="718">
        <f t="shared" si="10"/>
        <v>100</v>
      </c>
      <c r="T40" s="717" t="s">
        <v>17</v>
      </c>
      <c r="U40" s="718">
        <f t="shared" si="11"/>
        <v>100</v>
      </c>
      <c r="V40" s="717" t="s">
        <v>17</v>
      </c>
      <c r="W40" s="718">
        <f t="shared" si="12"/>
        <v>100</v>
      </c>
      <c r="X40" s="719"/>
      <c r="Y40" s="3341"/>
      <c r="Z40" s="720">
        <f t="shared" si="13"/>
        <v>111</v>
      </c>
      <c r="AA40" s="1531">
        <f t="shared" si="3"/>
        <v>1</v>
      </c>
      <c r="AB40" s="1531">
        <f t="shared" si="4"/>
        <v>1</v>
      </c>
      <c r="AC40" s="1531">
        <f t="shared" si="5"/>
        <v>1</v>
      </c>
    </row>
    <row r="41" spans="1:31" ht="15">
      <c r="A41" s="438" t="s">
        <v>2537</v>
      </c>
      <c r="B41" s="2161" t="s">
        <v>2617</v>
      </c>
      <c r="C41" s="638" t="s">
        <v>1</v>
      </c>
      <c r="D41" s="440"/>
      <c r="E41" s="441"/>
      <c r="F41" s="442"/>
      <c r="G41" s="443"/>
      <c r="H41" s="444"/>
      <c r="I41" s="441"/>
      <c r="J41" s="444"/>
      <c r="K41" s="723"/>
      <c r="L41" s="2943"/>
      <c r="M41" s="2935"/>
      <c r="N41" s="2935"/>
      <c r="O41" s="2944"/>
      <c r="P41" s="3323" t="str">
        <f>A41</f>
        <v>成交单价</v>
      </c>
      <c r="Q41" s="3323"/>
      <c r="R41" s="3336">
        <f>E41</f>
        <v>0</v>
      </c>
      <c r="S41" s="3336"/>
      <c r="T41" s="3336">
        <f>G41</f>
        <v>0</v>
      </c>
      <c r="U41" s="3336"/>
      <c r="V41" s="3336">
        <f>I41</f>
        <v>0</v>
      </c>
      <c r="W41" s="3336"/>
      <c r="X41" s="699"/>
      <c r="Y41" s="721"/>
      <c r="Z41" s="699"/>
      <c r="AA41" s="699"/>
      <c r="AB41" s="699"/>
      <c r="AC41" s="699"/>
    </row>
    <row r="42" spans="1:31" ht="15.75" thickBot="1">
      <c r="A42" s="445" t="s">
        <v>2486</v>
      </c>
      <c r="B42" s="639"/>
      <c r="C42" s="448" t="e">
        <f>R43</f>
        <v>#DIV/0!</v>
      </c>
      <c r="D42" s="2531" t="s">
        <v>2876</v>
      </c>
      <c r="E42" s="448" t="e">
        <f>R42</f>
        <v>#DIV/0!</v>
      </c>
      <c r="F42" s="2532"/>
      <c r="G42" s="447" t="e">
        <f>T42</f>
        <v>#DIV/0!</v>
      </c>
      <c r="H42" s="2532"/>
      <c r="I42" s="448" t="e">
        <f>V42</f>
        <v>#DIV/0!</v>
      </c>
      <c r="J42" s="2532"/>
      <c r="K42" s="2534">
        <f>F42+H42+J42</f>
        <v>0</v>
      </c>
      <c r="L42" s="2943"/>
      <c r="M42" s="2935"/>
      <c r="N42" s="2935"/>
      <c r="O42" s="2944"/>
      <c r="P42" s="3323" t="str">
        <f>A42</f>
        <v>比较价值（元/平方米）</v>
      </c>
      <c r="Q42" s="3323"/>
      <c r="R42" s="3342" t="e">
        <f>ROUND(PRODUCT(R41,AA7:AA40),0)</f>
        <v>#DIV/0!</v>
      </c>
      <c r="S42" s="3342"/>
      <c r="T42" s="3342" t="e">
        <f>ROUND(PRODUCT(T41,AB7:AB40),0)</f>
        <v>#DIV/0!</v>
      </c>
      <c r="U42" s="3342"/>
      <c r="V42" s="3342" t="e">
        <f>ROUND(PRODUCT(V41,AC7:AC40),0)</f>
        <v>#DIV/0!</v>
      </c>
      <c r="W42" s="3342"/>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3"/>
      <c r="M43" s="2935"/>
      <c r="N43" s="2935"/>
      <c r="O43" s="2944"/>
      <c r="P43" s="3343" t="str">
        <f>A43</f>
        <v>估价对象XX用房的比较价值（楼面单价，元/平方米）</v>
      </c>
      <c r="Q43" s="3344"/>
      <c r="R43" s="3345" t="e">
        <f>ROUND(IF(D42="简单平均",AVERAGE(R42:W42),R42*F42+T42*H42+V42*J42),0)</f>
        <v>#DIV/0!</v>
      </c>
      <c r="S43" s="3345"/>
      <c r="T43" s="3345"/>
      <c r="U43" s="3345"/>
      <c r="V43" s="3345"/>
      <c r="W43" s="3345"/>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2575</v>
      </c>
      <c r="B50" s="641" t="s">
        <v>2576</v>
      </c>
      <c r="C50" s="2162" t="s">
        <v>2577</v>
      </c>
      <c r="D50" s="2163" t="s">
        <v>2578</v>
      </c>
      <c r="E50" s="642" t="s">
        <v>2579</v>
      </c>
      <c r="F50" s="643" t="s">
        <v>2580</v>
      </c>
      <c r="G50" s="3324" t="s">
        <v>2581</v>
      </c>
      <c r="H50" s="3346"/>
      <c r="I50" s="1534" t="s">
        <v>2618</v>
      </c>
      <c r="J50" s="1534">
        <f>项目基本情况!F35</f>
        <v>0</v>
      </c>
      <c r="K50" s="2165" t="s">
        <v>2583</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2584</v>
      </c>
      <c r="B51" s="645" t="e">
        <f>C43</f>
        <v>#DIV/0!</v>
      </c>
      <c r="C51" s="646">
        <v>1</v>
      </c>
      <c r="D51" s="1069">
        <v>1</v>
      </c>
      <c r="E51" s="646">
        <f>'数据-汇总表'!E8+'数据-汇总表'!E9</f>
        <v>68210</v>
      </c>
      <c r="F51" s="647" t="e">
        <f t="shared" ref="F51:F60" si="15">ROUND(B51*E51/10000,0)</f>
        <v>#DIV/0!</v>
      </c>
      <c r="G51" s="3347"/>
      <c r="H51" s="3323"/>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2585</v>
      </c>
      <c r="B52" s="224" t="e">
        <f>ROUND($C$43*C52*D52,0)</f>
        <v>#DIV/0!</v>
      </c>
      <c r="C52" s="176">
        <f t="shared" ref="C52:C60" si="16">IF($C$50="北京市系数",I52,J52)</f>
        <v>0.7</v>
      </c>
      <c r="D52" s="1070">
        <v>0.25</v>
      </c>
      <c r="E52" s="650"/>
      <c r="F52" s="647" t="e">
        <f t="shared" si="15"/>
        <v>#DIV/0!</v>
      </c>
      <c r="G52" s="3348" t="s">
        <v>2586</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2587</v>
      </c>
      <c r="B53" s="224" t="e">
        <f t="shared" ref="B53:B60" si="17">ROUND($C$43*C53*D53,0)</f>
        <v>#DIV/0!</v>
      </c>
      <c r="C53" s="176">
        <f t="shared" si="16"/>
        <v>0.4</v>
      </c>
      <c r="D53" s="1070">
        <v>0.25</v>
      </c>
      <c r="E53" s="650"/>
      <c r="F53" s="647" t="e">
        <f t="shared" si="15"/>
        <v>#DIV/0!</v>
      </c>
      <c r="G53" s="3348"/>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2588</v>
      </c>
      <c r="B54" s="224" t="e">
        <f t="shared" si="17"/>
        <v>#DIV/0!</v>
      </c>
      <c r="C54" s="176">
        <f t="shared" si="16"/>
        <v>0.28000000000000003</v>
      </c>
      <c r="D54" s="1070">
        <v>0.25</v>
      </c>
      <c r="E54" s="650"/>
      <c r="F54" s="647" t="e">
        <f t="shared" si="15"/>
        <v>#DIV/0!</v>
      </c>
      <c r="G54" s="3348"/>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2589</v>
      </c>
      <c r="B55" s="224" t="e">
        <f t="shared" si="17"/>
        <v>#DIV/0!</v>
      </c>
      <c r="C55" s="176">
        <f t="shared" si="16"/>
        <v>0.25</v>
      </c>
      <c r="D55" s="1070">
        <v>0.25</v>
      </c>
      <c r="E55" s="650"/>
      <c r="F55" s="647" t="e">
        <f t="shared" si="15"/>
        <v>#DIV/0!</v>
      </c>
      <c r="G55" s="3348"/>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2590</v>
      </c>
      <c r="B56" s="224" t="e">
        <f t="shared" si="17"/>
        <v>#DIV/0!</v>
      </c>
      <c r="C56" s="176">
        <f t="shared" si="16"/>
        <v>0.25</v>
      </c>
      <c r="D56" s="1070">
        <v>0.25</v>
      </c>
      <c r="E56" s="223">
        <f>'数据-汇总表'!E11</f>
        <v>0</v>
      </c>
      <c r="F56" s="647" t="e">
        <f t="shared" si="15"/>
        <v>#DIV/0!</v>
      </c>
      <c r="G56" s="2166" t="s">
        <v>2591</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2592</v>
      </c>
      <c r="B57" s="224" t="e">
        <f t="shared" si="17"/>
        <v>#DIV/0!</v>
      </c>
      <c r="C57" s="176">
        <f t="shared" si="16"/>
        <v>0.25</v>
      </c>
      <c r="D57" s="1070">
        <v>0.25</v>
      </c>
      <c r="E57" s="223">
        <f>'数据-汇总表'!E12</f>
        <v>0</v>
      </c>
      <c r="F57" s="647" t="e">
        <f t="shared" si="15"/>
        <v>#DIV/0!</v>
      </c>
      <c r="G57" s="1017" t="s">
        <v>2593</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2594</v>
      </c>
      <c r="B58" s="224" t="e">
        <f t="shared" si="17"/>
        <v>#DIV/0!</v>
      </c>
      <c r="C58" s="176">
        <f t="shared" si="16"/>
        <v>0.2</v>
      </c>
      <c r="D58" s="1070">
        <v>0.25</v>
      </c>
      <c r="E58" s="223">
        <f>'数据-汇总表'!E13</f>
        <v>23509</v>
      </c>
      <c r="F58" s="647" t="e">
        <f t="shared" si="15"/>
        <v>#DIV/0!</v>
      </c>
      <c r="G58" s="1017" t="s">
        <v>2595</v>
      </c>
      <c r="H58" s="1012" t="str">
        <f>IF(G58="商业",项目基本情况!B37,IF(G58="办公",项目基本情况!C37,IF(G58="住宅",项目基本情况!D37,项目基本情况!E37)))</f>
        <v>五级</v>
      </c>
      <c r="I58" s="873">
        <f>SUMIF(修正!A45:A56,H58,修正!H45:H56)</f>
        <v>0.2</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2596</v>
      </c>
      <c r="B59" s="224" t="e">
        <f t="shared" si="17"/>
        <v>#DIV/0!</v>
      </c>
      <c r="C59" s="176">
        <f t="shared" si="16"/>
        <v>0.2</v>
      </c>
      <c r="D59" s="1070">
        <v>0.25</v>
      </c>
      <c r="E59" s="223">
        <f>'数据-汇总表'!E14</f>
        <v>0</v>
      </c>
      <c r="F59" s="647" t="e">
        <f t="shared" si="15"/>
        <v>#DIV/0!</v>
      </c>
      <c r="G59" s="2166" t="s">
        <v>2586</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2597</v>
      </c>
      <c r="B60" s="224" t="e">
        <f t="shared" si="17"/>
        <v>#DIV/0!</v>
      </c>
      <c r="C60" s="176">
        <f t="shared" si="16"/>
        <v>0.2</v>
      </c>
      <c r="D60" s="1070">
        <v>0.25</v>
      </c>
      <c r="E60" s="223">
        <f>'数据-汇总表'!E15</f>
        <v>0</v>
      </c>
      <c r="F60" s="647" t="e">
        <f t="shared" si="15"/>
        <v>#DIV/0!</v>
      </c>
      <c r="G60" s="2167" t="s">
        <v>2591</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2598</v>
      </c>
      <c r="B61" s="652" t="s">
        <v>28</v>
      </c>
      <c r="C61" s="652" t="s">
        <v>29</v>
      </c>
      <c r="D61" s="652" t="s">
        <v>997</v>
      </c>
      <c r="E61" s="652">
        <f>IF(B41="楼面地价",SUM(E51:E60),'数据-汇总表'!D3)</f>
        <v>21904.55</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44"/>
      <c r="Q63" s="2944"/>
      <c r="R63" s="2944"/>
      <c r="S63" s="2944"/>
      <c r="T63" s="2944"/>
      <c r="U63" s="2944"/>
      <c r="V63" s="2944"/>
      <c r="W63" s="2944"/>
      <c r="X63" s="2944"/>
      <c r="Y63" s="2944"/>
      <c r="Z63" s="2944"/>
      <c r="AA63" s="2944"/>
      <c r="AB63" s="2944"/>
      <c r="AC63" s="2944"/>
      <c r="AD63" s="2944"/>
      <c r="AE63" s="2944"/>
    </row>
    <row r="64" spans="1:31" ht="21.75" thickBot="1">
      <c r="A64" s="703" t="s">
        <v>2491</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8" t="s">
        <v>2599</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3" t="s">
        <v>2619</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2402</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2367</v>
      </c>
      <c r="B68" s="467"/>
      <c r="C68" s="479" t="s">
        <v>2469</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2405</v>
      </c>
      <c r="B70" s="485" t="s">
        <v>2371</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2374</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2376</v>
      </c>
      <c r="B83" s="485" t="s">
        <v>2522</v>
      </c>
      <c r="C83" s="530" t="s">
        <v>2414</v>
      </c>
      <c r="D83" s="530" t="s">
        <v>2415</v>
      </c>
      <c r="E83" s="530" t="s">
        <v>2416</v>
      </c>
      <c r="F83" s="530" t="s">
        <v>2417</v>
      </c>
      <c r="G83" s="530" t="s">
        <v>2418</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2419</v>
      </c>
      <c r="C85" s="535" t="s">
        <v>2414</v>
      </c>
      <c r="D85" s="535" t="s">
        <v>2415</v>
      </c>
      <c r="E85" s="535" t="s">
        <v>2416</v>
      </c>
      <c r="F85" s="535" t="s">
        <v>2417</v>
      </c>
      <c r="G85" s="535" t="s">
        <v>2418</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2508</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2567</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72"/>
      <c r="B4" s="3113" t="s">
        <v>1595</v>
      </c>
      <c r="C4" s="3113"/>
      <c r="D4" s="3113"/>
      <c r="E4" s="1672"/>
    </row>
    <row r="5" spans="1:5" ht="16.5" thickTop="1">
      <c r="A5" s="1670"/>
      <c r="B5" s="3111" t="s">
        <v>1587</v>
      </c>
      <c r="C5" s="1673" t="s">
        <v>1588</v>
      </c>
      <c r="D5" s="953">
        <f ca="1">结果表!H101</f>
        <v>200804</v>
      </c>
      <c r="E5" s="1670"/>
    </row>
    <row r="6" spans="1:5" ht="15.75">
      <c r="A6" s="1670"/>
      <c r="B6" s="3111"/>
      <c r="C6" s="1673" t="s">
        <v>1589</v>
      </c>
      <c r="D6" s="953" t="str">
        <f ca="1">NUMBERSTRING(INT(D5*10000),2)&amp;"元整"</f>
        <v>贰拾亿零捌佰零肆万元整</v>
      </c>
      <c r="E6" s="1670"/>
    </row>
    <row r="7" spans="1:5" ht="15.75">
      <c r="A7" s="1670"/>
      <c r="B7" s="3116"/>
      <c r="C7" s="1674" t="s">
        <v>1590</v>
      </c>
      <c r="D7" s="954">
        <f ca="1">结果表!H102</f>
        <v>18517</v>
      </c>
      <c r="E7" s="1670"/>
    </row>
    <row r="8" spans="1:5" ht="15.75">
      <c r="A8" s="1670"/>
      <c r="B8" s="3117" t="str">
        <f>结果表!E103</f>
        <v>2.估价师知悉的法定优先受偿款</v>
      </c>
      <c r="C8" s="1675" t="s">
        <v>1591</v>
      </c>
      <c r="D8" s="954">
        <f>结果表!H103</f>
        <v>0</v>
      </c>
      <c r="E8" s="1670"/>
    </row>
    <row r="9" spans="1:5" ht="15.75">
      <c r="A9" s="1670"/>
      <c r="B9" s="3119"/>
      <c r="C9" s="1673" t="s">
        <v>1589</v>
      </c>
      <c r="D9" s="953" t="str">
        <f>NUMBERSTRING(INT(D8*10000),2)&amp;"元整"</f>
        <v>零元整</v>
      </c>
      <c r="E9" s="1670"/>
    </row>
    <row r="10" spans="1:5" ht="15">
      <c r="A10" s="1670"/>
      <c r="B10" s="1676" t="s">
        <v>1594</v>
      </c>
      <c r="C10" s="1677" t="s">
        <v>1592</v>
      </c>
      <c r="D10" s="955">
        <f>结果表!H104</f>
        <v>0</v>
      </c>
      <c r="E10" s="1670"/>
    </row>
    <row r="11" spans="1:5" ht="15">
      <c r="A11" s="1670"/>
      <c r="B11" s="1676" t="s">
        <v>1596</v>
      </c>
      <c r="C11" s="1677" t="s">
        <v>1597</v>
      </c>
      <c r="D11" s="955">
        <f>结果表!H105</f>
        <v>0</v>
      </c>
      <c r="E11" s="1670"/>
    </row>
    <row r="12" spans="1:5" ht="15">
      <c r="A12" s="1670"/>
      <c r="B12" s="1676" t="s">
        <v>1598</v>
      </c>
      <c r="C12" s="1677" t="s">
        <v>1597</v>
      </c>
      <c r="D12" s="955">
        <f>结果表!H106</f>
        <v>0</v>
      </c>
      <c r="E12" s="1670"/>
    </row>
    <row r="13" spans="1:5" ht="15.75">
      <c r="A13" s="1670"/>
      <c r="B13" s="3110" t="str">
        <f>结果表!E107</f>
        <v>——</v>
      </c>
      <c r="C13" s="1678" t="s">
        <v>1588</v>
      </c>
      <c r="D13" s="956" t="str">
        <f>结果表!H107</f>
        <v>——</v>
      </c>
      <c r="E13" s="1670"/>
    </row>
    <row r="14" spans="1:5" ht="15.75">
      <c r="A14" s="1670"/>
      <c r="B14" s="3111"/>
      <c r="C14" s="1673" t="s">
        <v>1589</v>
      </c>
      <c r="D14" s="953" t="e">
        <f>NUMBERSTRING(INT(D13*10000),2)&amp;"元整"</f>
        <v>#VALUE!</v>
      </c>
      <c r="E14" s="1670"/>
    </row>
    <row r="15" spans="1:5" ht="15">
      <c r="A15" s="1670"/>
      <c r="B15" s="3116"/>
      <c r="C15" s="1674" t="s">
        <v>1599</v>
      </c>
      <c r="D15" s="962" t="e">
        <f>结果表!H108</f>
        <v>#VALUE!</v>
      </c>
      <c r="E15" s="1670"/>
    </row>
    <row r="16" spans="1:5" ht="15">
      <c r="A16" s="1670"/>
      <c r="B16" s="3117" t="str">
        <f>结果表!E109</f>
        <v>3.抵押担保权已注销时的房地产抵押价值</v>
      </c>
      <c r="C16" s="1678" t="s">
        <v>1600</v>
      </c>
      <c r="D16" s="1679">
        <f ca="1">结果表!H109</f>
        <v>200804</v>
      </c>
      <c r="E16" s="1670"/>
    </row>
    <row r="17" spans="1:5" ht="15.75">
      <c r="A17" s="1670"/>
      <c r="B17" s="3118"/>
      <c r="C17" s="1673" t="s">
        <v>1601</v>
      </c>
      <c r="D17" s="953" t="str">
        <f ca="1">NUMBERSTRING(INT(D16*10000),2)&amp;"元整"</f>
        <v>贰拾亿零捌佰零肆万元整</v>
      </c>
      <c r="E17" s="1670"/>
    </row>
    <row r="18" spans="1:5" ht="15">
      <c r="A18" s="1670"/>
      <c r="B18" s="3119"/>
      <c r="C18" s="1674" t="s">
        <v>1590</v>
      </c>
      <c r="D18" s="962">
        <f ca="1">结果表!H110</f>
        <v>18517</v>
      </c>
      <c r="E18" s="1670"/>
    </row>
    <row r="19" spans="1:5" ht="15.75">
      <c r="A19" s="1670"/>
      <c r="B19" s="3110" t="str">
        <f>结果表!E111</f>
        <v>——</v>
      </c>
      <c r="C19" s="1678" t="s">
        <v>1588</v>
      </c>
      <c r="D19" s="954" t="str">
        <f>结果表!H111</f>
        <v>——</v>
      </c>
      <c r="E19" s="1670"/>
    </row>
    <row r="20" spans="1:5" ht="15.75">
      <c r="A20" s="1670"/>
      <c r="B20" s="3111"/>
      <c r="C20" s="1673" t="s">
        <v>1601</v>
      </c>
      <c r="D20" s="953" t="e">
        <f>NUMBERSTRING(INT(D19*10000),2)&amp;"元整"</f>
        <v>#VALUE!</v>
      </c>
      <c r="E20" s="1670"/>
    </row>
    <row r="21" spans="1:5" ht="15.75" thickBot="1">
      <c r="A21" s="1670"/>
      <c r="B21" s="3112"/>
      <c r="C21" s="1680" t="s">
        <v>1599</v>
      </c>
      <c r="D21" s="963"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5" sqref="H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48</v>
      </c>
      <c r="D1" s="1540" t="s">
        <v>3320</v>
      </c>
      <c r="E1" s="1541" t="s">
        <v>1352</v>
      </c>
      <c r="F1" s="1187">
        <f ca="1">J53</f>
        <v>42.06</v>
      </c>
      <c r="G1" s="1556">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12189</v>
      </c>
      <c r="C2" s="1565" t="s">
        <v>1481</v>
      </c>
      <c r="D2" s="1565"/>
      <c r="E2" s="1566"/>
      <c r="F2" s="1567"/>
      <c r="G2" s="2925"/>
      <c r="H2" s="2914"/>
      <c r="I2" s="2914"/>
      <c r="J2" s="2914"/>
      <c r="K2" s="2915"/>
      <c r="L2" s="2914"/>
      <c r="M2" s="2914"/>
    </row>
    <row r="3" spans="1:37" ht="18" customHeight="1" thickBot="1">
      <c r="A3" s="1568" t="s">
        <v>1482</v>
      </c>
      <c r="B3" s="1569">
        <f ca="1">IF(ISERROR(B2*10000/F43),0,ROUND(B2*10000/F43,0))</f>
        <v>5185</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803</v>
      </c>
      <c r="D5" s="1542" t="s">
        <v>1367</v>
      </c>
      <c r="E5" s="1197"/>
      <c r="F5" s="1198"/>
      <c r="G5" s="1562"/>
      <c r="H5" s="305">
        <v>1</v>
      </c>
      <c r="I5" s="306" t="s">
        <v>1366</v>
      </c>
      <c r="J5" s="1196">
        <f ca="1">J6+J10+J12</f>
        <v>0</v>
      </c>
      <c r="K5" s="1542" t="s">
        <v>1367</v>
      </c>
      <c r="L5" s="1197"/>
      <c r="M5" s="1198"/>
    </row>
    <row r="6" spans="1:37" ht="18" customHeight="1">
      <c r="A6" s="1195" t="s">
        <v>1003</v>
      </c>
      <c r="B6" s="3378" t="s">
        <v>1368</v>
      </c>
      <c r="C6" s="1200">
        <f ca="1">ROUND(F6*F8*F7*(1-F9)/10000,0)</f>
        <v>803</v>
      </c>
      <c r="D6" s="160" t="s">
        <v>2846</v>
      </c>
      <c r="E6" s="308" t="s">
        <v>1370</v>
      </c>
      <c r="F6" s="309">
        <f ca="1">INDIRECT("'数据-取费表'!u"&amp;$G$1)</f>
        <v>900</v>
      </c>
      <c r="G6" s="1562"/>
      <c r="H6" s="1195" t="s">
        <v>1003</v>
      </c>
      <c r="I6" s="3378" t="s">
        <v>1368</v>
      </c>
      <c r="J6" s="307">
        <f ca="1">ROUND(M6*M8*M7*(1-M9)/10000,0)</f>
        <v>0</v>
      </c>
      <c r="K6" s="160" t="s">
        <v>2845</v>
      </c>
      <c r="L6" s="308" t="s">
        <v>1370</v>
      </c>
      <c r="M6" s="309">
        <f ca="1">INDIRECT("'数据-取费表'!z"&amp;$G$1)</f>
        <v>0</v>
      </c>
    </row>
    <row r="7" spans="1:37" ht="18" customHeight="1">
      <c r="A7" s="1199"/>
      <c r="B7" s="3379"/>
      <c r="C7" s="1201"/>
      <c r="D7" s="313"/>
      <c r="E7" s="3049" t="s">
        <v>1371</v>
      </c>
      <c r="F7" s="309">
        <f ca="1">IF(INDIRECT("'数据-取费表'!ah"&amp;$G$1)="",INDIRECT("'数据-取费表'!k"&amp;$G$1),INDIRECT("'数据-取费表'!ah"&amp;$G$1))</f>
        <v>826</v>
      </c>
      <c r="G7" s="1562"/>
      <c r="H7" s="310"/>
      <c r="I7" s="3379"/>
      <c r="J7" s="312"/>
      <c r="K7" s="313"/>
      <c r="L7" s="308" t="s">
        <v>1371</v>
      </c>
      <c r="M7" s="309">
        <f ca="1">F7</f>
        <v>826</v>
      </c>
    </row>
    <row r="8" spans="1:37" ht="18" customHeight="1">
      <c r="A8" s="310"/>
      <c r="B8" s="3379"/>
      <c r="C8" s="312"/>
      <c r="D8" s="313"/>
      <c r="E8" s="308" t="s">
        <v>1372</v>
      </c>
      <c r="F8" s="309">
        <f ca="1">INDIRECT("'数据-取费表'!ai"&amp;$G$1)</f>
        <v>12</v>
      </c>
      <c r="G8" s="1562"/>
      <c r="H8" s="310"/>
      <c r="I8" s="3379"/>
      <c r="J8" s="312"/>
      <c r="K8" s="313"/>
      <c r="L8" s="308" t="s">
        <v>1372</v>
      </c>
      <c r="M8" s="309">
        <f ca="1">INDIRECT("'数据-取费表'!ai"&amp;$G$1)</f>
        <v>12</v>
      </c>
    </row>
    <row r="9" spans="1:37" ht="18" customHeight="1">
      <c r="A9" s="310"/>
      <c r="B9" s="3380"/>
      <c r="C9" s="312"/>
      <c r="D9" s="313"/>
      <c r="E9" s="308" t="s">
        <v>1373</v>
      </c>
      <c r="F9" s="318">
        <f ca="1">INDIRECT("'数据-取费表'!w"&amp;$G$1)</f>
        <v>0.1</v>
      </c>
      <c r="G9" s="1562"/>
      <c r="H9" s="310"/>
      <c r="I9" s="3380"/>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t="s">
        <v>3326</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11910</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8868</v>
      </c>
      <c r="D14" s="3045" t="s">
        <v>1383</v>
      </c>
      <c r="E14" s="3043"/>
      <c r="F14" s="325"/>
      <c r="G14" s="1562"/>
      <c r="H14" s="1107" t="s">
        <v>1003</v>
      </c>
      <c r="I14" s="308" t="s">
        <v>1384</v>
      </c>
      <c r="J14" s="24">
        <f ca="1">C29</f>
        <v>11910</v>
      </c>
      <c r="K14" s="3048"/>
      <c r="L14" s="910"/>
      <c r="M14" s="911"/>
    </row>
    <row r="15" spans="1:37" s="1575" customFormat="1" ht="18" customHeight="1" thickBot="1">
      <c r="A15" s="1107" t="s">
        <v>1004</v>
      </c>
      <c r="B15" s="308" t="s">
        <v>1385</v>
      </c>
      <c r="C15" s="24">
        <f ca="1">ROUND(C14*F15,0)</f>
        <v>266</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225</v>
      </c>
      <c r="K16" s="1241" t="s">
        <v>1390</v>
      </c>
      <c r="L16" s="3046"/>
      <c r="M16" s="1198"/>
    </row>
    <row r="17" spans="1:37" s="1575" customFormat="1" ht="18" customHeight="1">
      <c r="A17" s="1107" t="s">
        <v>1355</v>
      </c>
      <c r="B17" s="308" t="s">
        <v>1391</v>
      </c>
      <c r="C17" s="24">
        <f ca="1">ROUND(F17*(F43+INDIRECT("'数据-取费表'!S"&amp;$G$1))/10000,0)</f>
        <v>507</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106</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133</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9774</v>
      </c>
      <c r="D19" s="136" t="s">
        <v>1401</v>
      </c>
      <c r="E19" s="3051"/>
      <c r="F19" s="26"/>
      <c r="G19" s="1562"/>
      <c r="H19" s="1107" t="s">
        <v>1004</v>
      </c>
      <c r="I19" s="308" t="s">
        <v>1402</v>
      </c>
      <c r="J19" s="24">
        <f ca="1">IF(K19="按租金收入计税",ROUND(J6*M19/(1+'数据-取费表'!C42),2),ROUND(C29*M19*0.7,2))</f>
        <v>100.04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195</v>
      </c>
      <c r="D20" s="329" t="s">
        <v>1405</v>
      </c>
      <c r="E20" s="308" t="s">
        <v>1387</v>
      </c>
      <c r="F20" s="328">
        <f>'数据-取费表'!B37</f>
        <v>0.02</v>
      </c>
      <c r="G20" s="1574"/>
      <c r="H20" s="1107" t="s">
        <v>1354</v>
      </c>
      <c r="I20" s="160" t="s">
        <v>1406</v>
      </c>
      <c r="J20" s="25">
        <f ca="1">ROUND(M20*M21/10000,2)</f>
        <v>6.14</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5118.2699999999995</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119.1</v>
      </c>
      <c r="K22" s="3044" t="s">
        <v>1415</v>
      </c>
      <c r="L22" s="308" t="s">
        <v>1387</v>
      </c>
      <c r="M22" s="334">
        <f ca="1">INDIRECT("'数据-取费表'!Ak"&amp;$G$1)</f>
        <v>0.01</v>
      </c>
    </row>
    <row r="23" spans="1:37" s="1575" customFormat="1" ht="18" customHeight="1">
      <c r="A23" s="1107" t="s">
        <v>1002</v>
      </c>
      <c r="B23" s="308" t="s">
        <v>1416</v>
      </c>
      <c r="C23" s="24">
        <f ca="1">IF('数据-取费表'!B22&lt;=1,ROUND(C19*F24*F23/2,0)+ROUND(C20*F24*F23/2,0),ROUND(C19*(POWER((1+F24),F23/2)-1),0)+ROUND(C20*(POWER((1+F24),F23/2)-1),0))</f>
        <v>545</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-225</v>
      </c>
      <c r="K25" s="1249" t="s">
        <v>1429</v>
      </c>
      <c r="L25" s="1250"/>
      <c r="M25" s="1251"/>
    </row>
    <row r="26" spans="1:37">
      <c r="A26" s="1107" t="s">
        <v>1002</v>
      </c>
      <c r="B26" s="308" t="s">
        <v>1430</v>
      </c>
      <c r="C26" s="24">
        <f ca="1">ROUND((C19+C20)*F26,0)</f>
        <v>498</v>
      </c>
      <c r="D26" s="329" t="s">
        <v>1431</v>
      </c>
      <c r="E26" s="319" t="s">
        <v>1432</v>
      </c>
      <c r="F26" s="318">
        <f ca="1">INDIRECT("'数据-取费表'!q"&amp;$G$1)</f>
        <v>0.05</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1E-3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11910</v>
      </c>
      <c r="D29" s="1246"/>
      <c r="E29" s="1244"/>
      <c r="F29" s="1247"/>
      <c r="G29" s="1574"/>
      <c r="H29" s="340" t="s">
        <v>1001</v>
      </c>
      <c r="I29" s="341" t="s">
        <v>1444</v>
      </c>
      <c r="J29" s="342">
        <f ca="1">ROUND(J26/(1+F40)^F41,0)</f>
        <v>0</v>
      </c>
      <c r="K29" s="343" t="s">
        <v>1445</v>
      </c>
      <c r="L29" s="344"/>
      <c r="M29" s="345">
        <f ca="1">INDIRECT("'数据-取费表'!k"&amp;$G$1)</f>
        <v>23509</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284</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141</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42.83</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91.77</v>
      </c>
      <c r="D33" s="1548" t="s">
        <v>3322</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6.14</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5118.2699999999995</v>
      </c>
      <c r="G35" s="1562"/>
      <c r="H35" s="2916"/>
      <c r="I35" s="1576"/>
      <c r="J35" s="1577"/>
      <c r="K35" s="2920"/>
      <c r="L35" s="2919"/>
      <c r="M35" s="2919"/>
    </row>
    <row r="36" spans="1:18" ht="18" customHeight="1">
      <c r="A36" s="1256" t="s">
        <v>1007</v>
      </c>
      <c r="B36" s="308" t="s">
        <v>1414</v>
      </c>
      <c r="C36" s="24">
        <f ca="1">ROUND(C29*F36,1)</f>
        <v>119.1</v>
      </c>
      <c r="D36" s="3044" t="s">
        <v>1447</v>
      </c>
      <c r="E36" s="308" t="s">
        <v>1387</v>
      </c>
      <c r="F36" s="334">
        <f ca="1">INDIRECT("'数据-取费表'!Ak"&amp;$G$1)</f>
        <v>0.01</v>
      </c>
      <c r="G36" s="1562"/>
      <c r="H36" s="2919"/>
      <c r="I36" s="1576"/>
      <c r="J36" s="1577"/>
      <c r="K36" s="2760"/>
      <c r="L36" s="2919"/>
      <c r="M36" s="2919"/>
    </row>
    <row r="37" spans="1:18" ht="18" customHeight="1">
      <c r="A37" s="1107" t="s">
        <v>1043</v>
      </c>
      <c r="B37" s="308" t="s">
        <v>1418</v>
      </c>
      <c r="C37" s="24">
        <f ca="1">ROUND(C13*F37,1)</f>
        <v>11.9</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12</v>
      </c>
      <c r="D38" s="1246" t="s">
        <v>1424</v>
      </c>
      <c r="E38" s="1244" t="s">
        <v>1387</v>
      </c>
      <c r="F38" s="1240">
        <f ca="1">INDIRECT("'数据-取费表'!Am"&amp;$G$1)</f>
        <v>1.4999999999999999E-2</v>
      </c>
      <c r="G38" s="1562"/>
      <c r="H38" s="2919"/>
      <c r="I38" s="1576"/>
      <c r="J38" s="1577"/>
      <c r="K38" s="2923"/>
      <c r="L38" s="2919"/>
      <c r="M38" s="2919"/>
    </row>
    <row r="39" spans="1:18" ht="24.6" customHeight="1" thickTop="1">
      <c r="A39" s="1233" t="s">
        <v>999</v>
      </c>
      <c r="B39" s="1248" t="s">
        <v>1428</v>
      </c>
      <c r="C39" s="316">
        <f ca="1">C5-C30</f>
        <v>519</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12189</v>
      </c>
      <c r="D40" s="330" t="s">
        <v>1434</v>
      </c>
      <c r="E40" s="308" t="s">
        <v>1435</v>
      </c>
      <c r="F40" s="318">
        <f ca="1">INDIRECT("'数据-取费表'!I"&amp;$G$1)</f>
        <v>0.05</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42.06</v>
      </c>
      <c r="G41" s="1562"/>
      <c r="H41" s="1346"/>
      <c r="I41" s="1576"/>
      <c r="J41" s="1577"/>
      <c r="K41" s="2760"/>
      <c r="L41" s="1346"/>
      <c r="M41" s="1346"/>
    </row>
    <row r="42" spans="1:18" ht="18" customHeight="1">
      <c r="A42" s="314"/>
      <c r="B42" s="315"/>
      <c r="C42" s="316"/>
      <c r="D42" s="333"/>
      <c r="E42" s="308" t="s">
        <v>1442</v>
      </c>
      <c r="F42" s="318">
        <f ca="1">INDIRECT("'数据-取费表'!v"&amp;$G$1)</f>
        <v>0.02</v>
      </c>
      <c r="G42" s="1562"/>
      <c r="H42" s="1346"/>
      <c r="I42" s="1576"/>
      <c r="J42" s="1577"/>
      <c r="K42" s="2760"/>
      <c r="L42" s="1346"/>
      <c r="M42" s="1346"/>
    </row>
    <row r="43" spans="1:18" ht="18" customHeight="1" thickBot="1">
      <c r="A43" s="340" t="s">
        <v>1001</v>
      </c>
      <c r="B43" s="341" t="s">
        <v>1452</v>
      </c>
      <c r="C43" s="342">
        <f ca="1">ROUND(C40*10000/F43,0)</f>
        <v>5185</v>
      </c>
      <c r="D43" s="343" t="s">
        <v>1453</v>
      </c>
      <c r="E43" s="344" t="s">
        <v>1454</v>
      </c>
      <c r="F43" s="345">
        <f ca="1">INDIRECT("'数据-取费表'!k"&amp;$G$1)</f>
        <v>23509</v>
      </c>
      <c r="G43" s="1562"/>
      <c r="H43" s="1346"/>
      <c r="I43" s="1346"/>
      <c r="J43" s="1346"/>
      <c r="K43" s="2760"/>
      <c r="L43" s="1346"/>
      <c r="M43" s="1346"/>
    </row>
    <row r="44" spans="1:18" s="1562" customFormat="1" ht="18" customHeight="1">
      <c r="A44" s="1578"/>
      <c r="B44" s="1578"/>
      <c r="C44" s="1579"/>
      <c r="D44" s="1578"/>
      <c r="E44" s="1578"/>
      <c r="F44" s="1578"/>
      <c r="H44" s="1562">
        <f ca="1">F43/F7</f>
        <v>28.461259079903147</v>
      </c>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-32025</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3323</v>
      </c>
      <c r="K47" s="1594" t="s">
        <v>1492</v>
      </c>
      <c r="L47" s="1595">
        <f ca="1">INDIRECT("'数据-取费表'!d"&amp;$G$1)</f>
        <v>50</v>
      </c>
      <c r="M47" s="1558" t="str">
        <f>IF(ISNUMBER(FIND("住宅",C1)),"住宅","非住宅")</f>
        <v>非住宅</v>
      </c>
      <c r="O47" s="1596" t="s">
        <v>1008</v>
      </c>
      <c r="P47" s="1597" t="s">
        <v>1493</v>
      </c>
      <c r="Q47" s="1598">
        <f ca="1">C40+J29</f>
        <v>12189</v>
      </c>
      <c r="R47" s="1598" t="s">
        <v>1494</v>
      </c>
    </row>
    <row r="48" spans="1:18" s="1562" customFormat="1" ht="28.5" thickBot="1">
      <c r="A48" s="1264" t="s">
        <v>1103</v>
      </c>
      <c r="B48" s="306" t="s">
        <v>1366</v>
      </c>
      <c r="C48" s="3050">
        <f ca="1">C49+C53+C55</f>
        <v>0</v>
      </c>
      <c r="D48" s="1266"/>
      <c r="E48" s="1267"/>
      <c r="F48" s="1087"/>
      <c r="G48" s="731"/>
      <c r="H48" s="732"/>
      <c r="I48" s="1599" t="s">
        <v>1495</v>
      </c>
      <c r="J48" s="1600" t="s">
        <v>3324</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11910</v>
      </c>
      <c r="R49" s="1598" t="s">
        <v>1494</v>
      </c>
    </row>
    <row r="50" spans="1:18" s="1562" customFormat="1" ht="13.5" thickBot="1">
      <c r="A50" s="1101"/>
      <c r="B50" s="1104"/>
      <c r="C50" s="1272"/>
      <c r="D50" s="1078"/>
      <c r="E50" s="1181" t="s">
        <v>1371</v>
      </c>
      <c r="F50" s="1182">
        <f ca="1">F7</f>
        <v>826</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60</v>
      </c>
      <c r="K51" s="1612" t="s">
        <v>1506</v>
      </c>
      <c r="L51" s="1613">
        <f ca="1">ROUND(-PV(INDIRECT("'数据-取费表'!h"&amp;$G$1),J51,(C39-C13*C76),0),0)</f>
        <v>-8953</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42.06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42.06</v>
      </c>
      <c r="K53" s="3381" t="s">
        <v>1513</v>
      </c>
      <c r="L53" s="3382"/>
      <c r="O53" s="1596" t="s">
        <v>1014</v>
      </c>
      <c r="P53" s="1597" t="s">
        <v>1514</v>
      </c>
      <c r="Q53" s="1598">
        <f ca="1">Q47+Q48</f>
        <v>12189</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11910</v>
      </c>
      <c r="D56" s="1625"/>
      <c r="E56" s="1626"/>
      <c r="F56" s="1618"/>
      <c r="I56" s="1627" t="s">
        <v>1519</v>
      </c>
      <c r="J56" s="1628" t="s">
        <v>3066</v>
      </c>
      <c r="K56" s="1599" t="s">
        <v>1520</v>
      </c>
      <c r="L56" s="1602" t="str">
        <f ca="1">IF(L48&lt;J51,"——",L48-J53)</f>
        <v>——</v>
      </c>
      <c r="O56" s="1596" t="s">
        <v>1008</v>
      </c>
      <c r="P56" s="1597" t="s">
        <v>1493</v>
      </c>
      <c r="Q56" s="1598">
        <f ca="1">C40+J29</f>
        <v>12189</v>
      </c>
      <c r="R56" s="1598" t="s">
        <v>1494</v>
      </c>
    </row>
    <row r="57" spans="1:18" s="1562" customFormat="1" ht="24.75" thickBot="1">
      <c r="A57" s="1629"/>
      <c r="B57" s="1075" t="s">
        <v>1443</v>
      </c>
      <c r="C57" s="244">
        <f ca="1">C29</f>
        <v>11910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1138</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1007</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1000.44</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6.14</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12189</v>
      </c>
      <c r="R62" s="1598" t="s">
        <v>1015</v>
      </c>
    </row>
    <row r="63" spans="1:18" s="1562" customFormat="1" ht="13.5" thickBot="1">
      <c r="A63" s="332"/>
      <c r="B63" s="1081"/>
      <c r="C63" s="29"/>
      <c r="D63" s="1091"/>
      <c r="E63" s="1075" t="s">
        <v>1412</v>
      </c>
      <c r="F63" s="309">
        <f t="shared" ca="1" si="0"/>
        <v>5118.2699999999995</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119.1</v>
      </c>
      <c r="D64" s="1089" t="s">
        <v>1447</v>
      </c>
      <c r="E64" s="1075" t="s">
        <v>1387</v>
      </c>
      <c r="F64" s="334">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11.9</v>
      </c>
      <c r="D65" s="1089" t="s">
        <v>1419</v>
      </c>
      <c r="E65" s="1075" t="s">
        <v>1387</v>
      </c>
      <c r="F65" s="336">
        <f t="shared" ca="1" si="0"/>
        <v>1E-3</v>
      </c>
      <c r="I65" s="1640" t="s">
        <v>1544</v>
      </c>
      <c r="J65" s="1641">
        <v>40</v>
      </c>
      <c r="K65" s="1641">
        <v>30</v>
      </c>
      <c r="L65" s="1641">
        <v>50</v>
      </c>
      <c r="M65" s="1643">
        <v>0.02</v>
      </c>
      <c r="O65" s="1596" t="s">
        <v>1008</v>
      </c>
      <c r="P65" s="1597" t="s">
        <v>1493</v>
      </c>
      <c r="Q65" s="1598">
        <f ca="1">C40+J29</f>
        <v>12189</v>
      </c>
      <c r="R65" s="1598" t="s">
        <v>1494</v>
      </c>
    </row>
    <row r="66" spans="1:18" s="1562" customFormat="1" ht="16.5" thickBot="1">
      <c r="A66" s="1107" t="s">
        <v>1469</v>
      </c>
      <c r="B66" s="1075" t="s">
        <v>1404</v>
      </c>
      <c r="C66" s="24">
        <f ca="1">ROUND(C48*F66,1)</f>
        <v>0</v>
      </c>
      <c r="D66" s="1089" t="s">
        <v>1424</v>
      </c>
      <c r="E66" s="1075" t="s">
        <v>1387</v>
      </c>
      <c r="F66" s="318">
        <f t="shared" ca="1" si="0"/>
        <v>1.4999999999999999E-2</v>
      </c>
      <c r="O66" s="1596" t="s">
        <v>1009</v>
      </c>
      <c r="P66" s="1597" t="s">
        <v>1523</v>
      </c>
      <c r="Q66" s="1598">
        <f ca="1">L60</f>
        <v>0</v>
      </c>
      <c r="R66" s="1598" t="s">
        <v>1546</v>
      </c>
    </row>
    <row r="67" spans="1:18" s="1562" customFormat="1" ht="16.5" thickBot="1">
      <c r="A67" s="1082" t="s">
        <v>999</v>
      </c>
      <c r="B67" s="1092" t="s">
        <v>1428</v>
      </c>
      <c r="C67" s="322">
        <f ca="1">C48-C58</f>
        <v>-1138</v>
      </c>
      <c r="D67" s="1088" t="s">
        <v>1429</v>
      </c>
      <c r="E67" s="1093"/>
      <c r="F67" s="1094"/>
      <c r="O67" s="1606" t="s">
        <v>1010</v>
      </c>
      <c r="P67" s="1597" t="s">
        <v>1527</v>
      </c>
      <c r="Q67" s="1644">
        <f ca="1">L51</f>
        <v>-8953</v>
      </c>
      <c r="R67" s="1598" t="s">
        <v>1547</v>
      </c>
    </row>
    <row r="68" spans="1:18" s="1562" customFormat="1" ht="16.5" thickBot="1">
      <c r="A68" s="1072" t="s">
        <v>1000</v>
      </c>
      <c r="B68" s="1073" t="s">
        <v>1450</v>
      </c>
      <c r="C68" s="307">
        <f ca="1">ROUND(C67*(1-((1+F70)/(1+F68))^F69)/(F68-F70),0)</f>
        <v>-19836</v>
      </c>
      <c r="D68" s="1090" t="s">
        <v>1434</v>
      </c>
      <c r="E68" s="1075" t="s">
        <v>1435</v>
      </c>
      <c r="F68" s="318">
        <f ca="1">F40</f>
        <v>0.05</v>
      </c>
      <c r="O68" s="1606" t="s">
        <v>1011</v>
      </c>
      <c r="P68" s="1645" t="s">
        <v>1548</v>
      </c>
      <c r="Q68" s="1598">
        <f ca="1">ROUND(Q69-Q70*Q71,0)</f>
        <v>-434</v>
      </c>
      <c r="R68" s="1598" t="s">
        <v>1019</v>
      </c>
    </row>
    <row r="69" spans="1:18" s="1562" customFormat="1" ht="13.5" thickBot="1">
      <c r="A69" s="1076"/>
      <c r="B69" s="1077"/>
      <c r="C69" s="312"/>
      <c r="D69" s="1095" t="s">
        <v>1438</v>
      </c>
      <c r="E69" s="1075" t="s">
        <v>1439</v>
      </c>
      <c r="F69" s="339">
        <f ca="1">F41</f>
        <v>42.06</v>
      </c>
      <c r="O69" s="1606" t="s">
        <v>1016</v>
      </c>
      <c r="P69" s="1645" t="s">
        <v>1549</v>
      </c>
      <c r="Q69" s="1598">
        <f ca="1">C39</f>
        <v>519</v>
      </c>
      <c r="R69" s="1598" t="s">
        <v>1494</v>
      </c>
    </row>
    <row r="70" spans="1:18" s="1562" customFormat="1" ht="13.5" thickBot="1">
      <c r="A70" s="1079"/>
      <c r="B70" s="1080"/>
      <c r="C70" s="316"/>
      <c r="D70" s="1091"/>
      <c r="E70" s="1075" t="s">
        <v>1442</v>
      </c>
      <c r="F70" s="1179"/>
      <c r="O70" s="1606" t="s">
        <v>1017</v>
      </c>
      <c r="P70" s="1645" t="s">
        <v>1550</v>
      </c>
      <c r="Q70" s="1598">
        <f ca="1">C13</f>
        <v>11910</v>
      </c>
      <c r="R70" s="1598" t="s">
        <v>1494</v>
      </c>
    </row>
    <row r="71" spans="1:18" s="1562" customFormat="1" ht="13.5" thickBot="1">
      <c r="A71" s="1096" t="s">
        <v>1001</v>
      </c>
      <c r="B71" s="1097" t="s">
        <v>1452</v>
      </c>
      <c r="C71" s="342">
        <f ca="1">ROUND(C68*10000/F71,0)</f>
        <v>-8438</v>
      </c>
      <c r="D71" s="1098" t="s">
        <v>1453</v>
      </c>
      <c r="E71" s="1099" t="s">
        <v>1454</v>
      </c>
      <c r="F71" s="345">
        <f ca="1">F43</f>
        <v>23509</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953</v>
      </c>
      <c r="D75" s="1562"/>
      <c r="E75" s="1562"/>
      <c r="F75" s="1562"/>
      <c r="K75" s="1580"/>
      <c r="L75" s="1562"/>
      <c r="O75" s="1596" t="s">
        <v>1014</v>
      </c>
      <c r="P75" s="1597" t="s">
        <v>1514</v>
      </c>
      <c r="Q75" s="1598">
        <f ca="1">Q65+Q66</f>
        <v>12189</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-0.83600000000000008</v>
      </c>
    </row>
    <row r="80" spans="1:18">
      <c r="B80" s="346" t="s">
        <v>1476</v>
      </c>
      <c r="C80" s="280">
        <f ca="1">ROUND(C75/C39,3)</f>
        <v>1.8360000000000001</v>
      </c>
    </row>
    <row r="81" spans="2:3">
      <c r="B81" s="276" t="s">
        <v>1477</v>
      </c>
      <c r="C81" s="244"/>
    </row>
    <row r="82" spans="2:3">
      <c r="B82" s="279" t="s">
        <v>1478</v>
      </c>
      <c r="C82" s="281">
        <f ca="1">1-C83</f>
        <v>2.300000000000002E-2</v>
      </c>
    </row>
    <row r="83" spans="2:3">
      <c r="B83" s="279" t="s">
        <v>1479</v>
      </c>
      <c r="C83" s="280">
        <f ca="1">ROUND(C13/C40,3)</f>
        <v>0.97699999999999998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2861</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42" t="s">
        <v>183</v>
      </c>
      <c r="B18" s="815" t="s">
        <v>560</v>
      </c>
      <c r="C18" s="816" t="s">
        <v>561</v>
      </c>
      <c r="D18" s="817"/>
      <c r="E18" s="815">
        <v>1</v>
      </c>
      <c r="F18" s="818" t="s">
        <v>562</v>
      </c>
      <c r="G18" s="819"/>
      <c r="H18" s="811"/>
      <c r="I18" s="811"/>
    </row>
    <row r="19" spans="1:9" s="820" customFormat="1" ht="19.5" customHeight="1">
      <c r="A19" s="3442"/>
      <c r="B19" s="3442" t="s">
        <v>563</v>
      </c>
      <c r="C19" s="816" t="s">
        <v>564</v>
      </c>
      <c r="D19" s="817"/>
      <c r="E19" s="815">
        <v>0.9</v>
      </c>
      <c r="F19" s="818" t="s">
        <v>565</v>
      </c>
      <c r="G19" s="819"/>
      <c r="H19" s="811"/>
      <c r="I19" s="811"/>
    </row>
    <row r="20" spans="1:9" s="820" customFormat="1" ht="19.5" customHeight="1">
      <c r="A20" s="3442"/>
      <c r="B20" s="3442"/>
      <c r="C20" s="816" t="s">
        <v>566</v>
      </c>
      <c r="D20" s="817"/>
      <c r="E20" s="815">
        <v>1.1000000000000001</v>
      </c>
      <c r="F20" s="818" t="s">
        <v>567</v>
      </c>
      <c r="G20" s="819"/>
      <c r="H20" s="811"/>
      <c r="I20" s="811"/>
    </row>
    <row r="21" spans="1:9" s="820" customFormat="1" ht="19.5" customHeight="1">
      <c r="A21" s="3442"/>
      <c r="B21" s="3442"/>
      <c r="C21" s="816" t="s">
        <v>568</v>
      </c>
      <c r="D21" s="817"/>
      <c r="E21" s="815">
        <v>0.8</v>
      </c>
      <c r="F21" s="818" t="s">
        <v>569</v>
      </c>
      <c r="G21" s="819"/>
      <c r="H21" s="811"/>
      <c r="I21" s="811"/>
    </row>
    <row r="22" spans="1:9" s="820" customFormat="1" ht="19.5" customHeight="1">
      <c r="A22" s="3442"/>
      <c r="B22" s="3442"/>
      <c r="C22" s="816" t="s">
        <v>570</v>
      </c>
      <c r="D22" s="817"/>
      <c r="E22" s="815">
        <v>0.5</v>
      </c>
      <c r="F22" s="818"/>
      <c r="G22" s="819"/>
      <c r="H22" s="811"/>
      <c r="I22" s="811"/>
    </row>
    <row r="23" spans="1:9" s="820" customFormat="1" ht="19.5" customHeight="1">
      <c r="A23" s="3442" t="s">
        <v>184</v>
      </c>
      <c r="B23" s="815" t="s">
        <v>560</v>
      </c>
      <c r="C23" s="816" t="s">
        <v>571</v>
      </c>
      <c r="D23" s="817"/>
      <c r="E23" s="815">
        <v>1</v>
      </c>
      <c r="F23" s="818" t="s">
        <v>572</v>
      </c>
      <c r="G23" s="819"/>
      <c r="H23" s="811"/>
      <c r="I23" s="811"/>
    </row>
    <row r="24" spans="1:9" s="820" customFormat="1" ht="19.5" customHeight="1">
      <c r="A24" s="3442"/>
      <c r="B24" s="3442" t="s">
        <v>563</v>
      </c>
      <c r="C24" s="816" t="s">
        <v>573</v>
      </c>
      <c r="D24" s="817"/>
      <c r="E24" s="815">
        <v>0.5</v>
      </c>
      <c r="F24" s="818"/>
      <c r="G24" s="819"/>
      <c r="H24" s="811"/>
      <c r="I24" s="811"/>
    </row>
    <row r="25" spans="1:9" s="820" customFormat="1" ht="19.5" customHeight="1">
      <c r="A25" s="3442"/>
      <c r="B25" s="3442"/>
      <c r="C25" s="816" t="s">
        <v>574</v>
      </c>
      <c r="D25" s="817"/>
      <c r="E25" s="815">
        <v>1.1000000000000001</v>
      </c>
      <c r="F25" s="818"/>
      <c r="G25" s="819"/>
      <c r="H25" s="811"/>
      <c r="I25" s="811"/>
    </row>
    <row r="26" spans="1:9" s="820" customFormat="1" ht="19.5" customHeight="1">
      <c r="A26" s="3442"/>
      <c r="B26" s="3442"/>
      <c r="C26" s="816" t="s">
        <v>575</v>
      </c>
      <c r="D26" s="817"/>
      <c r="E26" s="815">
        <v>1.1000000000000001</v>
      </c>
      <c r="F26" s="818"/>
      <c r="G26" s="819"/>
      <c r="H26" s="811"/>
      <c r="I26" s="811"/>
    </row>
    <row r="27" spans="1:9" s="820" customFormat="1" ht="19.5" customHeight="1">
      <c r="A27" s="3442"/>
      <c r="B27" s="3442"/>
      <c r="C27" s="816" t="s">
        <v>576</v>
      </c>
      <c r="D27" s="817"/>
      <c r="E27" s="815">
        <v>0.9</v>
      </c>
      <c r="F27" s="818" t="s">
        <v>577</v>
      </c>
      <c r="G27" s="819"/>
      <c r="H27" s="811"/>
      <c r="I27" s="811"/>
    </row>
    <row r="28" spans="1:9" s="820" customFormat="1" ht="19.5" customHeight="1">
      <c r="A28" s="3442"/>
      <c r="B28" s="3442"/>
      <c r="C28" s="816" t="s">
        <v>578</v>
      </c>
      <c r="D28" s="817"/>
      <c r="E28" s="815">
        <v>0.9</v>
      </c>
      <c r="F28" s="818" t="s">
        <v>579</v>
      </c>
      <c r="G28" s="819"/>
      <c r="H28" s="811"/>
      <c r="I28" s="811"/>
    </row>
    <row r="29" spans="1:9" s="820" customFormat="1" ht="19.5" customHeight="1">
      <c r="A29" s="3442"/>
      <c r="B29" s="3442"/>
      <c r="C29" s="816" t="s">
        <v>580</v>
      </c>
      <c r="D29" s="817"/>
      <c r="E29" s="815">
        <v>0.9</v>
      </c>
      <c r="F29" s="818" t="s">
        <v>581</v>
      </c>
      <c r="G29" s="819"/>
      <c r="H29" s="811"/>
      <c r="I29" s="811"/>
    </row>
    <row r="30" spans="1:9" s="820" customFormat="1" ht="19.5" customHeight="1">
      <c r="A30" s="3442"/>
      <c r="B30" s="3442"/>
      <c r="C30" s="816" t="s">
        <v>582</v>
      </c>
      <c r="D30" s="817"/>
      <c r="E30" s="815">
        <v>0.9</v>
      </c>
      <c r="F30" s="818" t="s">
        <v>583</v>
      </c>
      <c r="G30" s="819"/>
      <c r="H30" s="811"/>
      <c r="I30" s="811"/>
    </row>
    <row r="31" spans="1:9" s="820" customFormat="1" ht="19.5" customHeight="1">
      <c r="A31" s="3442"/>
      <c r="B31" s="3442"/>
      <c r="C31" s="816" t="s">
        <v>584</v>
      </c>
      <c r="D31" s="817"/>
      <c r="E31" s="815">
        <v>0.8</v>
      </c>
      <c r="F31" s="818" t="s">
        <v>585</v>
      </c>
      <c r="G31" s="819"/>
      <c r="H31" s="811"/>
      <c r="I31" s="811"/>
    </row>
    <row r="32" spans="1:9" s="820" customFormat="1" ht="19.5" customHeight="1">
      <c r="A32" s="3442"/>
      <c r="B32" s="3442"/>
      <c r="C32" s="816" t="s">
        <v>586</v>
      </c>
      <c r="D32" s="817"/>
      <c r="E32" s="815">
        <v>0.8</v>
      </c>
      <c r="F32" s="818" t="s">
        <v>587</v>
      </c>
      <c r="G32" s="819"/>
      <c r="H32" s="811"/>
      <c r="I32" s="811"/>
    </row>
    <row r="33" spans="1:9" s="820" customFormat="1" ht="19.5" customHeight="1">
      <c r="A33" s="3442" t="s">
        <v>185</v>
      </c>
      <c r="B33" s="815" t="s">
        <v>560</v>
      </c>
      <c r="C33" s="816" t="s">
        <v>588</v>
      </c>
      <c r="D33" s="817"/>
      <c r="E33" s="815">
        <v>1</v>
      </c>
      <c r="F33" s="818" t="s">
        <v>589</v>
      </c>
      <c r="G33" s="819"/>
      <c r="H33" s="811"/>
      <c r="I33" s="811"/>
    </row>
    <row r="34" spans="1:9" s="820" customFormat="1" ht="19.5" customHeight="1">
      <c r="A34" s="3442"/>
      <c r="B34" s="815" t="s">
        <v>563</v>
      </c>
      <c r="C34" s="816" t="s">
        <v>590</v>
      </c>
      <c r="D34" s="817"/>
      <c r="E34" s="815">
        <v>1.5</v>
      </c>
      <c r="F34" s="818" t="s">
        <v>591</v>
      </c>
      <c r="G34" s="819"/>
      <c r="H34" s="811"/>
      <c r="I34" s="811"/>
    </row>
    <row r="35" spans="1:9" s="820" customFormat="1" ht="19.5" customHeight="1">
      <c r="A35" s="3442" t="s">
        <v>186</v>
      </c>
      <c r="B35" s="815" t="s">
        <v>560</v>
      </c>
      <c r="C35" s="816" t="s">
        <v>592</v>
      </c>
      <c r="D35" s="817"/>
      <c r="E35" s="815">
        <v>1</v>
      </c>
      <c r="F35" s="818" t="s">
        <v>593</v>
      </c>
      <c r="G35" s="819"/>
      <c r="H35" s="811"/>
      <c r="I35" s="811"/>
    </row>
    <row r="36" spans="1:9" s="820" customFormat="1" ht="19.5" customHeight="1">
      <c r="A36" s="3442"/>
      <c r="B36" s="3442" t="s">
        <v>563</v>
      </c>
      <c r="C36" s="816" t="s">
        <v>594</v>
      </c>
      <c r="D36" s="817"/>
      <c r="E36" s="815">
        <v>1</v>
      </c>
      <c r="F36" s="818" t="s">
        <v>595</v>
      </c>
      <c r="G36" s="819"/>
      <c r="H36" s="811"/>
      <c r="I36" s="811"/>
    </row>
    <row r="37" spans="1:9" s="820" customFormat="1" ht="19.5" customHeight="1">
      <c r="A37" s="3442"/>
      <c r="B37" s="3442"/>
      <c r="C37" s="816" t="s">
        <v>596</v>
      </c>
      <c r="D37" s="817"/>
      <c r="E37" s="815">
        <v>1.5</v>
      </c>
      <c r="F37" s="818" t="s">
        <v>597</v>
      </c>
      <c r="G37" s="819"/>
      <c r="H37" s="811"/>
      <c r="I37" s="811"/>
    </row>
    <row r="38" spans="1:9" s="820" customFormat="1" ht="19.5" customHeight="1">
      <c r="A38" s="3442"/>
      <c r="B38" s="3442"/>
      <c r="C38" s="816" t="s">
        <v>598</v>
      </c>
      <c r="D38" s="817"/>
      <c r="E38" s="815">
        <v>1</v>
      </c>
      <c r="F38" s="818" t="s">
        <v>599</v>
      </c>
      <c r="G38" s="819"/>
      <c r="H38" s="811"/>
      <c r="I38" s="811"/>
    </row>
    <row r="39" spans="1:9" s="820" customFormat="1" ht="19.5" customHeight="1">
      <c r="A39" s="3442"/>
      <c r="B39" s="3442"/>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42" t="s">
        <v>614</v>
      </c>
      <c r="C61" s="751" t="s">
        <v>615</v>
      </c>
      <c r="D61" s="751" t="s">
        <v>616</v>
      </c>
      <c r="E61" s="828">
        <v>0.5</v>
      </c>
      <c r="F61" s="815">
        <v>80</v>
      </c>
    </row>
    <row r="62" spans="1:8" s="811" customFormat="1" ht="24">
      <c r="A62" s="815">
        <v>2</v>
      </c>
      <c r="B62" s="3442"/>
      <c r="C62" s="751" t="s">
        <v>617</v>
      </c>
      <c r="D62" s="751" t="s">
        <v>618</v>
      </c>
      <c r="E62" s="828">
        <v>0.5</v>
      </c>
      <c r="F62" s="815">
        <v>80</v>
      </c>
    </row>
    <row r="63" spans="1:8" s="811" customFormat="1" ht="36">
      <c r="A63" s="815">
        <v>3</v>
      </c>
      <c r="B63" s="3442"/>
      <c r="C63" s="751" t="s">
        <v>619</v>
      </c>
      <c r="D63" s="751" t="s">
        <v>620</v>
      </c>
      <c r="E63" s="828">
        <v>0.5</v>
      </c>
      <c r="F63" s="815">
        <v>80</v>
      </c>
    </row>
    <row r="64" spans="1:8" s="811" customFormat="1" ht="36">
      <c r="A64" s="815">
        <v>4</v>
      </c>
      <c r="B64" s="3442"/>
      <c r="C64" s="751" t="s">
        <v>621</v>
      </c>
      <c r="D64" s="751" t="s">
        <v>622</v>
      </c>
      <c r="E64" s="828">
        <v>0.4</v>
      </c>
      <c r="F64" s="815">
        <v>60</v>
      </c>
    </row>
    <row r="65" spans="1:6" s="811" customFormat="1" ht="36">
      <c r="A65" s="815">
        <v>5</v>
      </c>
      <c r="B65" s="3442"/>
      <c r="C65" s="751" t="s">
        <v>623</v>
      </c>
      <c r="D65" s="751" t="s">
        <v>624</v>
      </c>
      <c r="E65" s="828">
        <v>0.2</v>
      </c>
      <c r="F65" s="815">
        <v>30</v>
      </c>
    </row>
    <row r="66" spans="1:6" s="811" customFormat="1" ht="36">
      <c r="A66" s="815">
        <v>6</v>
      </c>
      <c r="B66" s="3442"/>
      <c r="C66" s="751" t="s">
        <v>625</v>
      </c>
      <c r="D66" s="751" t="s">
        <v>626</v>
      </c>
      <c r="E66" s="828">
        <v>0.3</v>
      </c>
      <c r="F66" s="815">
        <v>50</v>
      </c>
    </row>
    <row r="67" spans="1:6" s="811" customFormat="1" ht="36">
      <c r="A67" s="815">
        <v>7</v>
      </c>
      <c r="B67" s="3442"/>
      <c r="C67" s="751" t="s">
        <v>627</v>
      </c>
      <c r="D67" s="751" t="s">
        <v>628</v>
      </c>
      <c r="E67" s="828">
        <v>0.2</v>
      </c>
      <c r="F67" s="815">
        <v>30</v>
      </c>
    </row>
    <row r="68" spans="1:6" s="811" customFormat="1" ht="36">
      <c r="A68" s="815">
        <v>8</v>
      </c>
      <c r="B68" s="3442"/>
      <c r="C68" s="751" t="s">
        <v>629</v>
      </c>
      <c r="D68" s="751" t="s">
        <v>630</v>
      </c>
      <c r="E68" s="828">
        <v>0.2</v>
      </c>
      <c r="F68" s="815">
        <v>30</v>
      </c>
    </row>
    <row r="69" spans="1:6" s="811" customFormat="1" ht="36">
      <c r="A69" s="815">
        <v>9</v>
      </c>
      <c r="B69" s="3442"/>
      <c r="C69" s="751" t="s">
        <v>631</v>
      </c>
      <c r="D69" s="751" t="s">
        <v>632</v>
      </c>
      <c r="E69" s="828">
        <v>0.2</v>
      </c>
      <c r="F69" s="815">
        <v>30</v>
      </c>
    </row>
    <row r="70" spans="1:6" s="811" customFormat="1" ht="48">
      <c r="A70" s="815">
        <v>10</v>
      </c>
      <c r="B70" s="3442"/>
      <c r="C70" s="751" t="s">
        <v>633</v>
      </c>
      <c r="D70" s="751" t="s">
        <v>634</v>
      </c>
      <c r="E70" s="828">
        <v>0.2</v>
      </c>
      <c r="F70" s="815">
        <v>30</v>
      </c>
    </row>
    <row r="71" spans="1:6" s="811" customFormat="1" ht="48">
      <c r="A71" s="815">
        <v>11</v>
      </c>
      <c r="B71" s="3442"/>
      <c r="C71" s="751" t="s">
        <v>635</v>
      </c>
      <c r="D71" s="751" t="s">
        <v>636</v>
      </c>
      <c r="E71" s="828">
        <v>0.2</v>
      </c>
      <c r="F71" s="815">
        <v>30</v>
      </c>
    </row>
    <row r="72" spans="1:6" s="811" customFormat="1" ht="36">
      <c r="A72" s="815">
        <v>12</v>
      </c>
      <c r="B72" s="3442"/>
      <c r="C72" s="751" t="s">
        <v>637</v>
      </c>
      <c r="D72" s="751" t="s">
        <v>638</v>
      </c>
      <c r="E72" s="828">
        <v>0.5</v>
      </c>
      <c r="F72" s="815">
        <v>80</v>
      </c>
    </row>
    <row r="73" spans="1:6" s="811" customFormat="1" ht="24">
      <c r="A73" s="815">
        <v>13</v>
      </c>
      <c r="B73" s="3442"/>
      <c r="C73" s="751" t="s">
        <v>639</v>
      </c>
      <c r="D73" s="751" t="s">
        <v>640</v>
      </c>
      <c r="E73" s="828">
        <v>0.4</v>
      </c>
      <c r="F73" s="815">
        <v>60</v>
      </c>
    </row>
    <row r="74" spans="1:6" s="811" customFormat="1" ht="24">
      <c r="A74" s="815">
        <v>14</v>
      </c>
      <c r="B74" s="3442"/>
      <c r="C74" s="751" t="s">
        <v>641</v>
      </c>
      <c r="D74" s="751" t="s">
        <v>642</v>
      </c>
      <c r="E74" s="828">
        <v>0.2</v>
      </c>
      <c r="F74" s="815">
        <v>30</v>
      </c>
    </row>
    <row r="75" spans="1:6" s="811" customFormat="1" ht="24">
      <c r="A75" s="815">
        <v>15</v>
      </c>
      <c r="B75" s="3442"/>
      <c r="C75" s="751" t="s">
        <v>643</v>
      </c>
      <c r="D75" s="751" t="s">
        <v>644</v>
      </c>
      <c r="E75" s="828">
        <v>0.2</v>
      </c>
      <c r="F75" s="815">
        <v>30</v>
      </c>
    </row>
    <row r="76" spans="1:6" s="811" customFormat="1" ht="24">
      <c r="A76" s="815">
        <v>16</v>
      </c>
      <c r="B76" s="3442" t="s">
        <v>645</v>
      </c>
      <c r="C76" s="751" t="s">
        <v>646</v>
      </c>
      <c r="D76" s="751" t="s">
        <v>647</v>
      </c>
      <c r="E76" s="828">
        <v>0.5</v>
      </c>
      <c r="F76" s="815">
        <v>80</v>
      </c>
    </row>
    <row r="77" spans="1:6" s="811" customFormat="1" ht="24">
      <c r="A77" s="815">
        <v>17</v>
      </c>
      <c r="B77" s="3442"/>
      <c r="C77" s="751" t="s">
        <v>648</v>
      </c>
      <c r="D77" s="751" t="s">
        <v>649</v>
      </c>
      <c r="E77" s="828">
        <v>0.5</v>
      </c>
      <c r="F77" s="815">
        <v>80</v>
      </c>
    </row>
    <row r="78" spans="1:6" s="811" customFormat="1" ht="24">
      <c r="A78" s="815">
        <v>18</v>
      </c>
      <c r="B78" s="3442"/>
      <c r="C78" s="751" t="s">
        <v>650</v>
      </c>
      <c r="D78" s="751" t="s">
        <v>651</v>
      </c>
      <c r="E78" s="828">
        <v>0.2</v>
      </c>
      <c r="F78" s="815">
        <v>30</v>
      </c>
    </row>
    <row r="79" spans="1:6" s="811" customFormat="1" ht="24">
      <c r="A79" s="815">
        <v>19</v>
      </c>
      <c r="B79" s="3442"/>
      <c r="C79" s="751" t="s">
        <v>652</v>
      </c>
      <c r="D79" s="751" t="s">
        <v>653</v>
      </c>
      <c r="E79" s="828">
        <v>0.5</v>
      </c>
      <c r="F79" s="815">
        <v>80</v>
      </c>
    </row>
    <row r="80" spans="1:6" s="811" customFormat="1" ht="36">
      <c r="A80" s="815">
        <v>20</v>
      </c>
      <c r="B80" s="3442"/>
      <c r="C80" s="751" t="s">
        <v>654</v>
      </c>
      <c r="D80" s="751" t="s">
        <v>655</v>
      </c>
      <c r="E80" s="828">
        <v>0.2</v>
      </c>
      <c r="F80" s="815">
        <v>30</v>
      </c>
    </row>
    <row r="81" spans="1:6" s="811" customFormat="1" ht="36">
      <c r="A81" s="815">
        <v>21</v>
      </c>
      <c r="B81" s="3442"/>
      <c r="C81" s="751" t="s">
        <v>656</v>
      </c>
      <c r="D81" s="751" t="s">
        <v>657</v>
      </c>
      <c r="E81" s="828">
        <v>0.2</v>
      </c>
      <c r="F81" s="815">
        <v>30</v>
      </c>
    </row>
    <row r="82" spans="1:6" s="811" customFormat="1" ht="48">
      <c r="A82" s="815">
        <v>22</v>
      </c>
      <c r="B82" s="3442"/>
      <c r="C82" s="751" t="s">
        <v>658</v>
      </c>
      <c r="D82" s="751" t="s">
        <v>659</v>
      </c>
      <c r="E82" s="828">
        <v>0.2</v>
      </c>
      <c r="F82" s="815">
        <v>30</v>
      </c>
    </row>
    <row r="83" spans="1:6" s="811" customFormat="1" ht="48">
      <c r="A83" s="815">
        <v>23</v>
      </c>
      <c r="B83" s="3442"/>
      <c r="C83" s="751" t="s">
        <v>660</v>
      </c>
      <c r="D83" s="751" t="s">
        <v>661</v>
      </c>
      <c r="E83" s="828">
        <v>0.2</v>
      </c>
      <c r="F83" s="815">
        <v>30</v>
      </c>
    </row>
    <row r="84" spans="1:6" s="811" customFormat="1" ht="36">
      <c r="A84" s="815">
        <v>24</v>
      </c>
      <c r="B84" s="3442"/>
      <c r="C84" s="751" t="s">
        <v>662</v>
      </c>
      <c r="D84" s="751" t="s">
        <v>663</v>
      </c>
      <c r="E84" s="828">
        <v>0.2</v>
      </c>
      <c r="F84" s="815">
        <v>30</v>
      </c>
    </row>
    <row r="85" spans="1:6" s="811" customFormat="1" ht="36">
      <c r="A85" s="815">
        <v>25</v>
      </c>
      <c r="B85" s="3442"/>
      <c r="C85" s="751" t="s">
        <v>664</v>
      </c>
      <c r="D85" s="751" t="s">
        <v>665</v>
      </c>
      <c r="E85" s="828">
        <v>0.5</v>
      </c>
      <c r="F85" s="815">
        <v>80</v>
      </c>
    </row>
    <row r="86" spans="1:6" s="811" customFormat="1" ht="36">
      <c r="A86" s="815">
        <v>26</v>
      </c>
      <c r="B86" s="3442"/>
      <c r="C86" s="751" t="s">
        <v>666</v>
      </c>
      <c r="D86" s="751" t="s">
        <v>667</v>
      </c>
      <c r="E86" s="828">
        <v>0.2</v>
      </c>
      <c r="F86" s="815">
        <v>30</v>
      </c>
    </row>
    <row r="87" spans="1:6" s="811" customFormat="1" ht="36">
      <c r="A87" s="815">
        <v>27</v>
      </c>
      <c r="B87" s="3442"/>
      <c r="C87" s="751" t="s">
        <v>668</v>
      </c>
      <c r="D87" s="751" t="s">
        <v>669</v>
      </c>
      <c r="E87" s="828">
        <v>0.2</v>
      </c>
      <c r="F87" s="815">
        <v>30</v>
      </c>
    </row>
    <row r="88" spans="1:6" s="811" customFormat="1" ht="36">
      <c r="A88" s="815">
        <v>28</v>
      </c>
      <c r="B88" s="3442"/>
      <c r="C88" s="751" t="s">
        <v>670</v>
      </c>
      <c r="D88" s="751" t="s">
        <v>671</v>
      </c>
      <c r="E88" s="828">
        <v>0.2</v>
      </c>
      <c r="F88" s="815">
        <v>30</v>
      </c>
    </row>
    <row r="89" spans="1:6" s="811" customFormat="1" ht="24">
      <c r="A89" s="815">
        <v>29</v>
      </c>
      <c r="B89" s="3442"/>
      <c r="C89" s="751" t="s">
        <v>672</v>
      </c>
      <c r="D89" s="751" t="s">
        <v>673</v>
      </c>
      <c r="E89" s="828">
        <v>0.2</v>
      </c>
      <c r="F89" s="815">
        <v>30</v>
      </c>
    </row>
    <row r="90" spans="1:6" s="811" customFormat="1" ht="24">
      <c r="A90" s="815">
        <v>30</v>
      </c>
      <c r="B90" s="3442"/>
      <c r="C90" s="751" t="s">
        <v>674</v>
      </c>
      <c r="D90" s="751" t="s">
        <v>675</v>
      </c>
      <c r="E90" s="828">
        <v>0.2</v>
      </c>
      <c r="F90" s="815">
        <v>30</v>
      </c>
    </row>
    <row r="91" spans="1:6" s="811" customFormat="1" ht="36">
      <c r="A91" s="815">
        <v>31</v>
      </c>
      <c r="B91" s="3442"/>
      <c r="C91" s="751" t="s">
        <v>676</v>
      </c>
      <c r="D91" s="751" t="s">
        <v>677</v>
      </c>
      <c r="E91" s="828">
        <v>0.2</v>
      </c>
      <c r="F91" s="815">
        <v>30</v>
      </c>
    </row>
    <row r="92" spans="1:6" s="811" customFormat="1" ht="24">
      <c r="A92" s="815">
        <v>32</v>
      </c>
      <c r="B92" s="3442" t="s">
        <v>678</v>
      </c>
      <c r="C92" s="815" t="s">
        <v>679</v>
      </c>
      <c r="D92" s="751" t="s">
        <v>680</v>
      </c>
      <c r="E92" s="828">
        <v>0.2</v>
      </c>
      <c r="F92" s="815">
        <v>30</v>
      </c>
    </row>
    <row r="93" spans="1:6" s="811" customFormat="1" ht="36">
      <c r="A93" s="815">
        <v>33</v>
      </c>
      <c r="B93" s="3442"/>
      <c r="C93" s="815" t="s">
        <v>681</v>
      </c>
      <c r="D93" s="751" t="s">
        <v>682</v>
      </c>
      <c r="E93" s="828">
        <v>0.2</v>
      </c>
      <c r="F93" s="815">
        <v>30</v>
      </c>
    </row>
    <row r="94" spans="1:6" s="811" customFormat="1" ht="48">
      <c r="A94" s="815">
        <v>34</v>
      </c>
      <c r="B94" s="3442"/>
      <c r="C94" s="815" t="s">
        <v>683</v>
      </c>
      <c r="D94" s="751" t="s">
        <v>684</v>
      </c>
      <c r="E94" s="828">
        <v>0.2</v>
      </c>
      <c r="F94" s="815">
        <v>30</v>
      </c>
    </row>
    <row r="95" spans="1:6" s="811" customFormat="1" ht="36">
      <c r="A95" s="815">
        <v>35</v>
      </c>
      <c r="B95" s="3442"/>
      <c r="C95" s="815" t="s">
        <v>685</v>
      </c>
      <c r="D95" s="751" t="s">
        <v>686</v>
      </c>
      <c r="E95" s="828">
        <v>0.2</v>
      </c>
      <c r="F95" s="815">
        <v>30</v>
      </c>
    </row>
    <row r="96" spans="1:6" s="811" customFormat="1" ht="48">
      <c r="A96" s="815">
        <v>36</v>
      </c>
      <c r="B96" s="3442"/>
      <c r="C96" s="751" t="s">
        <v>687</v>
      </c>
      <c r="D96" s="751" t="s">
        <v>688</v>
      </c>
      <c r="E96" s="828">
        <v>0.2</v>
      </c>
      <c r="F96" s="815">
        <v>30</v>
      </c>
    </row>
    <row r="97" spans="1:6" s="811" customFormat="1" ht="36">
      <c r="A97" s="815">
        <v>37</v>
      </c>
      <c r="B97" s="3442"/>
      <c r="C97" s="815" t="s">
        <v>689</v>
      </c>
      <c r="D97" s="751" t="s">
        <v>690</v>
      </c>
      <c r="E97" s="828">
        <v>0.2</v>
      </c>
      <c r="F97" s="815">
        <v>30</v>
      </c>
    </row>
    <row r="98" spans="1:6" s="811" customFormat="1" ht="36">
      <c r="A98" s="815">
        <v>38</v>
      </c>
      <c r="B98" s="3442"/>
      <c r="C98" s="815" t="s">
        <v>691</v>
      </c>
      <c r="D98" s="751" t="s">
        <v>692</v>
      </c>
      <c r="E98" s="828">
        <v>0.2</v>
      </c>
      <c r="F98" s="815">
        <v>30</v>
      </c>
    </row>
    <row r="99" spans="1:6" s="811" customFormat="1" ht="36">
      <c r="A99" s="815">
        <v>39</v>
      </c>
      <c r="B99" s="3442" t="s">
        <v>693</v>
      </c>
      <c r="C99" s="815" t="s">
        <v>694</v>
      </c>
      <c r="D99" s="751" t="s">
        <v>695</v>
      </c>
      <c r="E99" s="828">
        <v>0.3</v>
      </c>
      <c r="F99" s="815">
        <v>50</v>
      </c>
    </row>
    <row r="100" spans="1:6" s="811" customFormat="1" ht="24">
      <c r="A100" s="815">
        <v>40</v>
      </c>
      <c r="B100" s="3442"/>
      <c r="C100" s="815" t="s">
        <v>696</v>
      </c>
      <c r="D100" s="751" t="s">
        <v>697</v>
      </c>
      <c r="E100" s="828">
        <v>0.2</v>
      </c>
      <c r="F100" s="815">
        <v>30</v>
      </c>
    </row>
    <row r="101" spans="1:6" s="811" customFormat="1" ht="36">
      <c r="A101" s="815">
        <v>41</v>
      </c>
      <c r="B101" s="3442"/>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42" t="s">
        <v>708</v>
      </c>
      <c r="C105" s="815" t="s">
        <v>709</v>
      </c>
      <c r="D105" s="751" t="s">
        <v>710</v>
      </c>
      <c r="E105" s="828">
        <v>0.2</v>
      </c>
      <c r="F105" s="815">
        <v>30</v>
      </c>
    </row>
    <row r="106" spans="1:6" s="811" customFormat="1" ht="36">
      <c r="A106" s="815">
        <v>46</v>
      </c>
      <c r="B106" s="3442"/>
      <c r="C106" s="815" t="s">
        <v>711</v>
      </c>
      <c r="D106" s="751" t="s">
        <v>712</v>
      </c>
      <c r="E106" s="828">
        <v>0.2</v>
      </c>
      <c r="F106" s="815">
        <v>30</v>
      </c>
    </row>
    <row r="107" spans="1:6" s="811" customFormat="1" ht="36">
      <c r="A107" s="815">
        <v>47</v>
      </c>
      <c r="B107" s="3442" t="s">
        <v>713</v>
      </c>
      <c r="C107" s="815" t="s">
        <v>714</v>
      </c>
      <c r="D107" s="751" t="s">
        <v>715</v>
      </c>
      <c r="E107" s="828">
        <v>0.3</v>
      </c>
      <c r="F107" s="815">
        <v>50</v>
      </c>
    </row>
    <row r="108" spans="1:6" s="811" customFormat="1" ht="36">
      <c r="A108" s="815">
        <v>48</v>
      </c>
      <c r="B108" s="3442"/>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42" t="s">
        <v>724</v>
      </c>
      <c r="C111" s="815" t="s">
        <v>725</v>
      </c>
      <c r="D111" s="751" t="s">
        <v>726</v>
      </c>
      <c r="E111" s="828">
        <v>0.2</v>
      </c>
      <c r="F111" s="815">
        <v>30</v>
      </c>
    </row>
    <row r="112" spans="1:6" s="811" customFormat="1" ht="24">
      <c r="A112" s="815">
        <v>52</v>
      </c>
      <c r="B112" s="3442"/>
      <c r="C112" s="815" t="s">
        <v>727</v>
      </c>
      <c r="D112" s="751" t="s">
        <v>728</v>
      </c>
      <c r="E112" s="828">
        <v>0.2</v>
      </c>
      <c r="F112" s="815">
        <v>30</v>
      </c>
    </row>
    <row r="113" spans="1:6" s="811" customFormat="1" ht="24">
      <c r="A113" s="815">
        <v>53</v>
      </c>
      <c r="B113" s="3442"/>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42" t="s">
        <v>737</v>
      </c>
      <c r="C116" s="815" t="s">
        <v>738</v>
      </c>
      <c r="D116" s="751" t="s">
        <v>739</v>
      </c>
      <c r="E116" s="828">
        <v>0.2</v>
      </c>
      <c r="F116" s="815">
        <v>30</v>
      </c>
    </row>
    <row r="117" spans="1:6" ht="36">
      <c r="A117" s="815">
        <v>57</v>
      </c>
      <c r="B117" s="3442"/>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48" t="s">
        <v>1117</v>
      </c>
      <c r="C1" s="3448"/>
      <c r="D1" s="3448"/>
      <c r="E1" s="3448"/>
      <c r="F1" s="3448"/>
      <c r="G1" s="3444" t="s">
        <v>1118</v>
      </c>
      <c r="H1" s="3444"/>
      <c r="I1" s="3444"/>
      <c r="J1" s="3444"/>
      <c r="K1" s="3444"/>
      <c r="L1" s="3444"/>
      <c r="N1" s="3444" t="s">
        <v>1119</v>
      </c>
      <c r="O1" s="3444"/>
      <c r="P1" s="3444"/>
      <c r="Q1" s="3444"/>
      <c r="S1" s="3444" t="s">
        <v>1120</v>
      </c>
      <c r="T1" s="3444"/>
      <c r="U1" s="3444"/>
      <c r="V1" s="3444"/>
      <c r="X1" s="3443" t="s">
        <v>1121</v>
      </c>
      <c r="Y1" s="3444"/>
      <c r="Z1" s="3444"/>
      <c r="AA1" s="3444"/>
      <c r="AB1" s="3444"/>
      <c r="AD1" s="3443" t="s">
        <v>1122</v>
      </c>
      <c r="AE1" s="3444"/>
      <c r="AF1" s="3444"/>
      <c r="AG1" s="3444"/>
      <c r="AH1" s="3444"/>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2851</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3356</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97">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2852</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3355</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97">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3051</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1">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3050</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8">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2868</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2866</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2865</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2864</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2862</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2860</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2863</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46">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2858</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46"/>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2857</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46"/>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2850</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53"/>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2848</v>
      </c>
      <c r="B19" s="2431">
        <v>439</v>
      </c>
      <c r="C19" s="2431">
        <v>327</v>
      </c>
      <c r="D19" s="2431">
        <f>C19</f>
        <v>327</v>
      </c>
      <c r="E19" s="2431">
        <v>627</v>
      </c>
      <c r="F19" s="2432">
        <v>283</v>
      </c>
      <c r="G19" s="3449">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2849</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46"/>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46"/>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53"/>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49">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46"/>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46"/>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47"/>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45">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46"/>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46"/>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47"/>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45">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46"/>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46"/>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47"/>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50">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51"/>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51"/>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52"/>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45">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46"/>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46"/>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47"/>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45">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46">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46">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47">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45">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46">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46">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47">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45">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46">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46">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47">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45">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46">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46">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47">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45">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46">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46">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47">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45">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46">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46">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47">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45">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46">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46">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47">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45">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46">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46">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47">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45">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46">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46">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47">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45">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46">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46">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47">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2820</v>
      </c>
      <c r="C1" s="3457" t="s">
        <v>2821</v>
      </c>
      <c r="D1" s="3458"/>
      <c r="E1" s="3458"/>
      <c r="F1" s="3458"/>
      <c r="G1" s="3458"/>
      <c r="H1" s="3458"/>
      <c r="I1" s="3458"/>
      <c r="J1" s="3458"/>
      <c r="K1" s="3458"/>
      <c r="L1" s="3458"/>
      <c r="M1" s="3458"/>
      <c r="N1" s="3458"/>
      <c r="O1" s="3458"/>
      <c r="P1" s="3458"/>
      <c r="Q1" s="3458"/>
      <c r="R1" s="3458"/>
      <c r="S1" s="3459"/>
      <c r="T1" s="1108" t="s">
        <v>2822</v>
      </c>
    </row>
    <row r="2" spans="1:45" s="663" customFormat="1">
      <c r="A2" s="1109"/>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1"/>
      <c r="G4" s="1471"/>
      <c r="H4" s="1471"/>
      <c r="I4" s="1471"/>
      <c r="J4" s="1471"/>
      <c r="K4" s="1471"/>
      <c r="L4" s="1471"/>
      <c r="M4" s="1472"/>
      <c r="N4" s="1472"/>
      <c r="O4" s="1471"/>
      <c r="P4" s="1471"/>
      <c r="Q4" s="1471"/>
      <c r="R4" s="1471"/>
      <c r="S4" s="1473"/>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500" t="s">
        <v>2824</v>
      </c>
      <c r="C5" s="1120"/>
      <c r="D5" s="1121"/>
      <c r="E5" s="1121"/>
      <c r="F5" s="1474"/>
      <c r="G5" s="1474"/>
      <c r="H5" s="1474"/>
      <c r="I5" s="1474"/>
      <c r="J5" s="1474"/>
      <c r="K5" s="1474"/>
      <c r="L5" s="1475"/>
      <c r="M5" s="1476"/>
      <c r="N5" s="1476"/>
      <c r="O5" s="1474"/>
      <c r="P5" s="1474"/>
      <c r="Q5" s="1474"/>
      <c r="R5" s="1474"/>
      <c r="S5" s="1477"/>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1" t="s">
        <v>2825</v>
      </c>
      <c r="C7" s="1029"/>
      <c r="D7" s="1023"/>
      <c r="E7" s="1023"/>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1" t="s">
        <v>2826</v>
      </c>
      <c r="C9" s="1029"/>
      <c r="D9" s="1023"/>
      <c r="E9" s="1023"/>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500" t="s">
        <v>2827</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500" t="s">
        <v>2828</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9" t="s">
        <v>2832</v>
      </c>
      <c r="E19" s="1518"/>
      <c r="F19" s="1518"/>
      <c r="G19" s="1518"/>
      <c r="H19" s="1184"/>
      <c r="I19" s="164"/>
      <c r="J19" s="164"/>
      <c r="K19" s="164"/>
      <c r="L19" s="164"/>
      <c r="M19" s="164"/>
      <c r="N19" s="164"/>
      <c r="O19" s="164"/>
      <c r="P19" s="164"/>
      <c r="Q19" s="164"/>
      <c r="R19" s="727"/>
      <c r="S19" s="134"/>
    </row>
    <row r="20" spans="1:45" ht="16.5" thickBot="1">
      <c r="A20" s="671" t="s">
        <v>2833</v>
      </c>
      <c r="B20" s="300" t="e">
        <f ca="1">IF(D20="——",S22,S22-F20)</f>
        <v>#REF!</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54" t="s">
        <v>33</v>
      </c>
      <c r="D22" s="3455"/>
      <c r="E22" s="3455"/>
      <c r="F22" s="3455"/>
      <c r="G22" s="3455"/>
      <c r="H22" s="3455"/>
      <c r="I22" s="3455"/>
      <c r="J22" s="3455"/>
      <c r="K22" s="3455"/>
      <c r="L22" s="3455"/>
      <c r="M22" s="3455"/>
      <c r="N22" s="3455"/>
      <c r="O22" s="3455"/>
      <c r="P22" s="3455"/>
      <c r="Q22" s="3456"/>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65277</v>
      </c>
      <c r="C2" s="2" t="s">
        <v>133</v>
      </c>
      <c r="D2" s="205"/>
      <c r="E2" s="205"/>
      <c r="F2" s="205"/>
      <c r="G2" s="205"/>
    </row>
    <row r="3" spans="1:7" s="206" customFormat="1" ht="18" customHeight="1" thickBot="1">
      <c r="A3" s="209" t="s">
        <v>85</v>
      </c>
      <c r="B3" s="210">
        <f ca="1">ROUND(B2*10000/'数据-汇总表'!E3,0)</f>
        <v>6020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2169</v>
      </c>
      <c r="D10" s="948">
        <f>'数据-汇总表'!E6</f>
        <v>108441.15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2169</v>
      </c>
      <c r="D19" s="952">
        <f>'数据-汇总表'!E3</f>
        <v>108441.15</v>
      </c>
      <c r="E19" s="217">
        <f>'数据-取费表'!B31</f>
        <v>200</v>
      </c>
      <c r="F19" s="237"/>
      <c r="G19" s="1" t="s">
        <v>1042</v>
      </c>
    </row>
    <row r="20" spans="1:7" s="220" customFormat="1" ht="13.5" customHeight="1">
      <c r="A20" s="879" t="s">
        <v>1025</v>
      </c>
      <c r="B20" s="216" t="s">
        <v>104</v>
      </c>
      <c r="C20" s="238">
        <f>ROUND((C5+C19)*F20,0)</f>
        <v>456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1517</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1359</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143</v>
      </c>
      <c r="D24" s="244"/>
      <c r="E24" s="244"/>
      <c r="F24" s="245"/>
      <c r="G24" s="246" t="s">
        <v>109</v>
      </c>
    </row>
    <row r="25" spans="1:7" s="220" customFormat="1" ht="24">
      <c r="A25" s="882" t="s">
        <v>793</v>
      </c>
      <c r="B25" s="221" t="s">
        <v>1026</v>
      </c>
      <c r="C25" s="1259">
        <f ca="1">ROUND(IF('数据-取费表'!B22&lt;=1,C20*F22*'数据-取费表'!B23/2,C20*(POWER((1+F22),'数据-取费表'!B23/2)-1)),0)</f>
        <v>15</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4.75">
      <c r="A27" s="879" t="s">
        <v>787</v>
      </c>
      <c r="B27" s="250" t="s">
        <v>112</v>
      </c>
      <c r="C27" s="251">
        <f>C28</f>
        <v>1673</v>
      </c>
      <c r="D27" s="241">
        <f>C29</f>
        <v>1.4E-3</v>
      </c>
      <c r="E27" s="242" t="s">
        <v>126</v>
      </c>
      <c r="F27" s="252">
        <f>'数据-取费表'!Q16</f>
        <v>0.12</v>
      </c>
      <c r="G27" s="253" t="s">
        <v>1037</v>
      </c>
    </row>
    <row r="28" spans="1:7" s="220" customFormat="1" ht="13.5" customHeight="1">
      <c r="A28" s="882" t="s">
        <v>794</v>
      </c>
      <c r="B28" s="254" t="s">
        <v>1030</v>
      </c>
      <c r="C28" s="255">
        <f>ROUND((C5+C19+C20)*F27*'数据-取费表'!B21/'数据-取费表'!B20,0)</f>
        <v>1673</v>
      </c>
      <c r="D28" s="241"/>
      <c r="E28" s="242"/>
      <c r="F28" s="252"/>
      <c r="G28" s="253"/>
    </row>
    <row r="29" spans="1:7" s="220" customFormat="1" ht="13.5" customHeight="1">
      <c r="A29" s="882" t="s">
        <v>792</v>
      </c>
      <c r="B29" s="254" t="s">
        <v>1031</v>
      </c>
      <c r="C29" s="244">
        <f>ROUND(C21*F27*'数据-取费表'!B21/'数据-取费表'!B20,4)</f>
        <v>1.4E-3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28578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28836</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26394</v>
      </c>
      <c r="D34" s="223"/>
      <c r="E34" s="226"/>
      <c r="F34" s="263">
        <f>IF('数据-取费表'!B24=0,1,'数据-取费表'!N16)</f>
        <v>0.57799999999999996</v>
      </c>
      <c r="G34" s="225" t="s">
        <v>116</v>
      </c>
    </row>
    <row r="35" spans="1:7" ht="13.5" customHeight="1">
      <c r="A35" s="882" t="s">
        <v>796</v>
      </c>
      <c r="B35" s="221" t="s">
        <v>60</v>
      </c>
      <c r="C35" s="226">
        <f>ROUND(C34*F35,0)</f>
        <v>792</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1254</v>
      </c>
      <c r="D37" s="223">
        <f>'数据-汇总表'!E3</f>
        <v>108441.15</v>
      </c>
      <c r="E37" s="255">
        <f>'数据-取费表'!B35</f>
        <v>200</v>
      </c>
      <c r="F37" s="265"/>
      <c r="G37" s="267" t="s">
        <v>119</v>
      </c>
    </row>
    <row r="38" spans="1:7" ht="13.5" customHeight="1">
      <c r="A38" s="882" t="s">
        <v>799</v>
      </c>
      <c r="B38" s="221" t="s">
        <v>63</v>
      </c>
      <c r="C38" s="226">
        <f>ROUND(C34*F38,0)</f>
        <v>396</v>
      </c>
      <c r="D38" s="226"/>
      <c r="E38" s="226"/>
      <c r="F38" s="265">
        <f>'数据-取费表'!B36</f>
        <v>1.4999999999999999E-2</v>
      </c>
      <c r="G38" s="225" t="s">
        <v>117</v>
      </c>
    </row>
    <row r="39" spans="1:7" s="220" customFormat="1" ht="13.5" customHeight="1">
      <c r="A39" s="879" t="s">
        <v>783</v>
      </c>
      <c r="B39" s="216" t="s">
        <v>104</v>
      </c>
      <c r="C39" s="238">
        <f>ROUND(C33*F20,0)</f>
        <v>577</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955</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936</v>
      </c>
      <c r="D42" s="244"/>
      <c r="E42" s="244"/>
      <c r="F42" s="245"/>
      <c r="G42" s="3375" t="s">
        <v>121</v>
      </c>
    </row>
    <row r="43" spans="1:7" ht="13.5" customHeight="1">
      <c r="A43" s="882" t="s">
        <v>792</v>
      </c>
      <c r="B43" s="221" t="s">
        <v>1032</v>
      </c>
      <c r="C43" s="244">
        <f ca="1">ROUND(IF('数据-取费表'!B22&lt;=1,C39*F22*'数据-取费表'!B21/2,C39*(POWER((1+F22),'数据-取费表'!B21/2)-1)),0)</f>
        <v>19</v>
      </c>
      <c r="D43" s="244"/>
      <c r="E43" s="244"/>
      <c r="F43" s="245"/>
      <c r="G43" s="3376"/>
    </row>
    <row r="44" spans="1:7" ht="13.5" customHeight="1">
      <c r="A44" s="882" t="s">
        <v>793</v>
      </c>
      <c r="B44" s="221" t="s">
        <v>1034</v>
      </c>
      <c r="C44" s="244">
        <f ca="1">ROUND(IF('数据-取费表'!B22&lt;=1,C40*F22*'数据-取费表'!B21/2,C40*(POWER((1+F22),'数据-取费表'!B21/2)-1)),4)</f>
        <v>5.9999999999999995E-4</v>
      </c>
      <c r="D44" s="244"/>
      <c r="E44" s="244"/>
      <c r="F44" s="245"/>
      <c r="G44" s="3377"/>
    </row>
    <row r="45" spans="1:7" s="220" customFormat="1" ht="13.5" customHeight="1">
      <c r="A45" s="879" t="s">
        <v>786</v>
      </c>
      <c r="B45" s="250" t="s">
        <v>112</v>
      </c>
      <c r="C45" s="251">
        <f>C46</f>
        <v>3530</v>
      </c>
      <c r="D45" s="241">
        <f>C47</f>
        <v>2.3999999999999998E-3</v>
      </c>
      <c r="E45" s="242" t="s">
        <v>129</v>
      </c>
      <c r="F45" s="252"/>
      <c r="G45" s="253" t="s">
        <v>1040</v>
      </c>
    </row>
    <row r="46" spans="1:7" s="220" customFormat="1" ht="13.5" customHeight="1">
      <c r="A46" s="882" t="s">
        <v>794</v>
      </c>
      <c r="B46" s="254" t="s">
        <v>1033</v>
      </c>
      <c r="C46" s="255">
        <f>ROUND((C33+C39)*F27,0)</f>
        <v>3530</v>
      </c>
      <c r="D46" s="269"/>
      <c r="E46" s="242"/>
      <c r="F46" s="252"/>
      <c r="G46" s="253"/>
    </row>
    <row r="47" spans="1:7" s="220" customFormat="1" ht="13.5" customHeight="1">
      <c r="A47" s="882" t="s">
        <v>792</v>
      </c>
      <c r="B47" s="254" t="s">
        <v>1035</v>
      </c>
      <c r="C47" s="244">
        <f>ROUND(C40*F27,4)</f>
        <v>2.3999999999999998E-3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36699</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36699</v>
      </c>
      <c r="D51" s="238"/>
      <c r="E51" s="238"/>
      <c r="F51" s="270"/>
      <c r="G51" s="240" t="s">
        <v>64</v>
      </c>
    </row>
    <row r="52" spans="1:7" s="214" customFormat="1" ht="16.5" thickBot="1">
      <c r="A52" s="271" t="s">
        <v>65</v>
      </c>
      <c r="B52" s="272"/>
      <c r="C52" s="273">
        <f ca="1">C31+C51</f>
        <v>65277</v>
      </c>
      <c r="D52" s="272"/>
      <c r="E52" s="272"/>
      <c r="F52" s="272"/>
      <c r="G52" s="274"/>
    </row>
    <row r="55" spans="1:7" ht="15">
      <c r="B55" s="276" t="s">
        <v>66</v>
      </c>
      <c r="C55" s="277"/>
    </row>
    <row r="56" spans="1:7">
      <c r="B56" s="279" t="s">
        <v>67</v>
      </c>
      <c r="C56" s="280">
        <f ca="1">ROUND(C51/C52,3)</f>
        <v>0.56200000000000006</v>
      </c>
    </row>
    <row r="57" spans="1:7">
      <c r="B57" s="279" t="s">
        <v>68</v>
      </c>
      <c r="C57" s="281">
        <f ca="1">1-C56</f>
        <v>0.43799999999999994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60" t="s">
        <v>156</v>
      </c>
      <c r="B1" s="3460"/>
      <c r="C1" s="3460"/>
      <c r="D1" s="3460"/>
      <c r="E1" s="3460"/>
      <c r="F1" s="3460"/>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61" t="s">
        <v>169</v>
      </c>
      <c r="B2" s="3461"/>
      <c r="C2" s="3461"/>
      <c r="D2" s="3461"/>
      <c r="E2" s="3461"/>
      <c r="F2" s="3461"/>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62"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63"/>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60" t="s">
        <v>839</v>
      </c>
      <c r="B1" s="3460"/>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44299</v>
      </c>
      <c r="D1" s="1464" t="s">
        <v>1268</v>
      </c>
      <c r="E1" s="1459">
        <f>'数据-取费表'!B22</f>
        <v>2.5</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39">
        <v>43941</v>
      </c>
      <c r="D13" s="3040">
        <v>3.85</v>
      </c>
      <c r="E13" s="3040">
        <v>3.85</v>
      </c>
      <c r="F13" s="3040">
        <v>3.85</v>
      </c>
      <c r="G13" s="3040">
        <v>3.85</v>
      </c>
      <c r="H13" s="3040">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5"/>
      <c r="C14" s="3036">
        <v>43881</v>
      </c>
      <c r="D14" s="3035">
        <v>4.05</v>
      </c>
      <c r="E14" s="3035">
        <v>4.05</v>
      </c>
      <c r="F14" s="3035">
        <v>4.05</v>
      </c>
      <c r="G14" s="3035">
        <v>4.05</v>
      </c>
      <c r="H14" s="3035">
        <v>4.75</v>
      </c>
      <c r="I14" s="3035"/>
      <c r="J14" s="3035"/>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5"/>
      <c r="C15" s="3036">
        <v>43789</v>
      </c>
      <c r="D15" s="3035">
        <v>4.1500000000000004</v>
      </c>
      <c r="E15" s="3035">
        <v>4.1500000000000004</v>
      </c>
      <c r="F15" s="3035">
        <v>4.1500000000000004</v>
      </c>
      <c r="G15" s="3035">
        <v>4.1500000000000004</v>
      </c>
      <c r="H15" s="3035">
        <v>4.8</v>
      </c>
      <c r="I15" s="3035"/>
      <c r="J15" s="3035"/>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5"/>
      <c r="C16" s="3036">
        <v>43728</v>
      </c>
      <c r="D16" s="3035">
        <v>4.2</v>
      </c>
      <c r="E16" s="3035">
        <v>4.2</v>
      </c>
      <c r="F16" s="3035">
        <v>4.2</v>
      </c>
      <c r="G16" s="3035">
        <v>4.2</v>
      </c>
      <c r="H16" s="3035">
        <v>4.8499999999999996</v>
      </c>
      <c r="I16" s="3035"/>
      <c r="J16" s="3035"/>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4" t="s">
        <v>3052</v>
      </c>
      <c r="C17" s="3037">
        <v>43697</v>
      </c>
      <c r="D17" s="3038">
        <v>4.25</v>
      </c>
      <c r="E17" s="3038">
        <v>4.25</v>
      </c>
      <c r="F17" s="3038">
        <v>4.25</v>
      </c>
      <c r="G17" s="3038">
        <v>4.25</v>
      </c>
      <c r="H17" s="3038">
        <v>4.8499999999999996</v>
      </c>
      <c r="I17" s="3038"/>
      <c r="J17" s="3038"/>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22"/>
      <c r="B3" s="3122"/>
      <c r="C3" s="3122"/>
      <c r="D3" s="957" t="s">
        <v>1603</v>
      </c>
      <c r="E3" s="957" t="s">
        <v>1609</v>
      </c>
      <c r="F3" s="957" t="s">
        <v>1603</v>
      </c>
      <c r="G3" s="957" t="s">
        <v>1604</v>
      </c>
      <c r="H3" s="957" t="s">
        <v>1603</v>
      </c>
      <c r="I3" s="957" t="s">
        <v>1604</v>
      </c>
    </row>
    <row r="4" spans="1:9" ht="45">
      <c r="A4" s="1684" t="str">
        <f>项目基本情况!S2</f>
        <v>北京市丰台区科技园东区三期1516-51地块出让国有建设用地使用权及在建建筑物房地产</v>
      </c>
      <c r="B4" s="957">
        <f>项目基本情况!C17</f>
        <v>108441.15</v>
      </c>
      <c r="C4" s="957">
        <f>项目基本情况!C18</f>
        <v>21904.55</v>
      </c>
      <c r="D4" s="957">
        <f ca="1">结果表!D118</f>
        <v>167671</v>
      </c>
      <c r="E4" s="957">
        <f ca="1">结果表!E118</f>
        <v>15462</v>
      </c>
      <c r="F4" s="957">
        <f ca="1">结果表!F118</f>
        <v>33133</v>
      </c>
      <c r="G4" s="957">
        <f ca="1">结果表!G118</f>
        <v>3055</v>
      </c>
      <c r="H4" s="957">
        <f ca="1">结果表!H118</f>
        <v>200804</v>
      </c>
      <c r="I4" s="957">
        <f ca="1">结果表!I118</f>
        <v>18517</v>
      </c>
    </row>
    <row r="5" spans="1:9" ht="30" customHeight="1">
      <c r="A5" s="3122" t="s">
        <v>1605</v>
      </c>
      <c r="B5" s="3122"/>
      <c r="C5" s="3122"/>
      <c r="D5" s="3123" t="str">
        <f ca="1">结果表!D119</f>
        <v>壹拾陆亿柒仟陆佰柒拾壹万元整</v>
      </c>
      <c r="E5" s="3123"/>
      <c r="F5" s="3123" t="str">
        <f ca="1">结果表!F119</f>
        <v>叁亿叁仟壹佰叁拾叁万元整</v>
      </c>
      <c r="G5" s="3123"/>
      <c r="H5" s="3123" t="str">
        <f ca="1">结果表!H119</f>
        <v>贰拾亿零捌佰零肆万元整</v>
      </c>
      <c r="I5" s="3123"/>
    </row>
    <row r="6" spans="1:9" ht="15.75">
      <c r="A6" s="3124" t="str">
        <f>结果表!A120</f>
        <v>估价师知悉的法定优先受偿款</v>
      </c>
      <c r="B6" s="3124"/>
      <c r="C6" s="3124"/>
      <c r="D6" s="3124">
        <f>结果表!D120</f>
        <v>0</v>
      </c>
      <c r="E6" s="3124"/>
      <c r="F6" s="3124"/>
      <c r="G6" s="3124"/>
      <c r="H6" s="3124"/>
      <c r="I6" s="3124"/>
    </row>
    <row r="7" spans="1:9" ht="15">
      <c r="A7" s="3122" t="s">
        <v>1605</v>
      </c>
      <c r="B7" s="3122"/>
      <c r="C7" s="3122"/>
      <c r="D7" s="3125" t="str">
        <f>结果表!D121</f>
        <v>零元整</v>
      </c>
      <c r="E7" s="3126"/>
      <c r="F7" s="3126"/>
      <c r="G7" s="3126"/>
      <c r="H7" s="3126"/>
      <c r="I7" s="3127"/>
    </row>
    <row r="8" spans="1:9" ht="15.75">
      <c r="A8" s="3124" t="str">
        <f>结果表!A122</f>
        <v/>
      </c>
      <c r="B8" s="3124"/>
      <c r="C8" s="3124"/>
      <c r="D8" s="3124" t="str">
        <f>结果表!D122</f>
        <v>——</v>
      </c>
      <c r="E8" s="3124"/>
      <c r="F8" s="3124"/>
      <c r="G8" s="3124"/>
      <c r="H8" s="3124"/>
      <c r="I8" s="3124"/>
    </row>
    <row r="9" spans="1:9" ht="15">
      <c r="A9" s="3122" t="s">
        <v>1605</v>
      </c>
      <c r="B9" s="3122"/>
      <c r="C9" s="3122"/>
      <c r="D9" s="3123" t="e">
        <f>结果表!D123</f>
        <v>#VALUE!</v>
      </c>
      <c r="E9" s="3123"/>
      <c r="F9" s="3123"/>
      <c r="G9" s="3123"/>
      <c r="H9" s="3123"/>
      <c r="I9" s="3123"/>
    </row>
    <row r="10" spans="1:9" ht="15.75">
      <c r="A10" s="3124" t="str">
        <f>结果表!A124</f>
        <v>抵押担保权已注销时的房地产抵押价值</v>
      </c>
      <c r="B10" s="3124"/>
      <c r="C10" s="3124"/>
      <c r="D10" s="3124">
        <f ca="1">结果表!D124</f>
        <v>200804</v>
      </c>
      <c r="E10" s="3124"/>
      <c r="F10" s="3124"/>
      <c r="G10" s="3124"/>
      <c r="H10" s="3124"/>
      <c r="I10" s="3124"/>
    </row>
    <row r="11" spans="1:9" ht="15">
      <c r="A11" s="3122" t="s">
        <v>1605</v>
      </c>
      <c r="B11" s="3122"/>
      <c r="C11" s="3122"/>
      <c r="D11" s="3123" t="str">
        <f ca="1">结果表!D125</f>
        <v>贰拾亿零捌佰零肆万元整</v>
      </c>
      <c r="E11" s="3123"/>
      <c r="F11" s="3123"/>
      <c r="G11" s="3123"/>
      <c r="H11" s="3123"/>
      <c r="I11" s="3123"/>
    </row>
    <row r="12" spans="1:9" ht="15.75">
      <c r="A12" s="3124" t="str">
        <f>结果表!A126</f>
        <v/>
      </c>
      <c r="B12" s="3124"/>
      <c r="C12" s="3124"/>
      <c r="D12" s="3124" t="str">
        <f>结果表!D126</f>
        <v>——</v>
      </c>
      <c r="E12" s="3124"/>
      <c r="F12" s="3124"/>
      <c r="G12" s="3124"/>
      <c r="H12" s="3124"/>
      <c r="I12" s="3124"/>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31" t="s">
        <v>1627</v>
      </c>
      <c r="B1" s="3131"/>
      <c r="C1" s="3131"/>
      <c r="D1" s="3131"/>
    </row>
    <row r="2" spans="1:4" ht="18">
      <c r="A2" s="3132" t="s">
        <v>1611</v>
      </c>
      <c r="B2" s="3132"/>
      <c r="C2" s="3132"/>
      <c r="D2" s="3132"/>
    </row>
    <row r="3" spans="1:4" ht="18.75">
      <c r="A3" s="1688" t="s">
        <v>1612</v>
      </c>
      <c r="B3" s="1688" t="s">
        <v>1613</v>
      </c>
      <c r="C3" s="1688" t="s">
        <v>1614</v>
      </c>
      <c r="D3" s="1688" t="s">
        <v>1615</v>
      </c>
    </row>
    <row r="4" spans="1:4" ht="56.25" customHeight="1">
      <c r="A4" s="1689" t="str">
        <f>项目基本情况!B4</f>
        <v>王鹏</v>
      </c>
      <c r="B4" s="1690">
        <f ca="1">项目基本情况!C4</f>
        <v>1120050019</v>
      </c>
      <c r="C4" s="1691"/>
      <c r="D4" s="1692" t="s">
        <v>1616</v>
      </c>
    </row>
    <row r="5" spans="1:4" ht="56.25" customHeight="1">
      <c r="A5" s="1689" t="str">
        <f>项目基本情况!D4</f>
        <v>郑燚</v>
      </c>
      <c r="B5" s="1690">
        <f ca="1">项目基本情况!E4</f>
        <v>1120070131</v>
      </c>
      <c r="C5" s="1693"/>
      <c r="D5" s="1692" t="s">
        <v>1616</v>
      </c>
    </row>
    <row r="6" spans="1:4" ht="18">
      <c r="A6" s="3132" t="s">
        <v>1617</v>
      </c>
      <c r="B6" s="3132"/>
      <c r="C6" s="3132"/>
      <c r="D6" s="3132"/>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133" t="s">
        <v>1620</v>
      </c>
      <c r="B11" s="3134"/>
      <c r="C11" s="3134"/>
      <c r="D11" s="3134"/>
    </row>
    <row r="12" spans="1:4" ht="15.7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5"/>
      <c r="C12" s="3135"/>
      <c r="D12" s="3135"/>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5"/>
      <c r="C13" s="3135"/>
      <c r="D13" s="3135"/>
    </row>
    <row r="14" spans="1:4" ht="15.75" customHeight="1">
      <c r="A14" s="3134" t="str">
        <f>IF(项目基本情况!B8="抵押","4.本次评估估价师所知悉的法定优先受偿款情况说明如下：","——")</f>
        <v>4.本次评估估价师所知悉的法定优先受偿款情况说明如下：</v>
      </c>
      <c r="B14" s="3135"/>
      <c r="C14" s="3135"/>
      <c r="D14" s="3135"/>
    </row>
    <row r="15" spans="1:4" ht="42" customHeight="1">
      <c r="A15" s="313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7" t="s">
        <v>1621</v>
      </c>
      <c r="B16" s="3137"/>
      <c r="C16" s="3137"/>
      <c r="D16" s="3137"/>
    </row>
    <row r="17" spans="1:4" ht="144" customHeight="1">
      <c r="A17" s="3137" t="s">
        <v>1622</v>
      </c>
      <c r="B17" s="3137"/>
      <c r="C17" s="3137"/>
      <c r="D17" s="3137"/>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8"/>
      <c r="C21" s="3138"/>
      <c r="D21" s="3138"/>
    </row>
    <row r="22" spans="1:4" ht="18.75" customHeight="1">
      <c r="A22" s="3139" t="s">
        <v>1623</v>
      </c>
      <c r="B22" s="3139"/>
      <c r="C22" s="3139"/>
      <c r="D22" s="3139"/>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36">
        <v>42551</v>
      </c>
      <c r="D31" s="31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45" t="s">
        <v>1634</v>
      </c>
      <c r="B15" s="3140" t="s">
        <v>136</v>
      </c>
      <c r="C15" s="3141"/>
    </row>
    <row r="16" spans="1:7" ht="13.5">
      <c r="A16" s="3146"/>
      <c r="B16" s="3140" t="s">
        <v>69</v>
      </c>
      <c r="C16" s="3141"/>
    </row>
    <row r="17" spans="1:3" ht="13.5">
      <c r="A17" s="3146"/>
      <c r="B17" s="3143" t="s">
        <v>1635</v>
      </c>
      <c r="C17" s="1711" t="s">
        <v>1634</v>
      </c>
    </row>
    <row r="18" spans="1:3" ht="13.5">
      <c r="A18" s="3146"/>
      <c r="B18" s="3143"/>
      <c r="C18" s="1711" t="s">
        <v>1636</v>
      </c>
    </row>
    <row r="19" spans="1:3" ht="13.5">
      <c r="A19" s="3146"/>
      <c r="B19" s="3143"/>
      <c r="C19" s="1711" t="s">
        <v>1637</v>
      </c>
    </row>
    <row r="20" spans="1:3" ht="13.5">
      <c r="A20" s="3147"/>
      <c r="B20" s="3142" t="s">
        <v>1638</v>
      </c>
      <c r="C20" s="3141"/>
    </row>
    <row r="21" spans="1:3" ht="13.5">
      <c r="A21" s="1712" t="s">
        <v>1639</v>
      </c>
      <c r="B21" s="1713"/>
      <c r="C21" s="1714"/>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1" t="s">
        <v>1645</v>
      </c>
    </row>
    <row r="26" spans="1:3" ht="13.5">
      <c r="A26" s="3144"/>
      <c r="B26" s="3143"/>
      <c r="C26" s="1711" t="s">
        <v>1646</v>
      </c>
    </row>
    <row r="27" spans="1:3" ht="13.5">
      <c r="A27" s="3144"/>
      <c r="B27" s="3143"/>
      <c r="C27" s="1711" t="s">
        <v>1647</v>
      </c>
    </row>
    <row r="28" spans="1:3" ht="13.5">
      <c r="A28" s="3144"/>
      <c r="B28" s="3143"/>
      <c r="C28" s="1711" t="s">
        <v>1648</v>
      </c>
    </row>
    <row r="29" spans="1:3" ht="13.5">
      <c r="A29" s="3144"/>
      <c r="B29" s="3143"/>
      <c r="C29" s="1711" t="s">
        <v>1649</v>
      </c>
    </row>
    <row r="30" spans="1:3" ht="13.5">
      <c r="A30" s="3144"/>
      <c r="B30" s="3143"/>
      <c r="C30" s="1711" t="s">
        <v>1650</v>
      </c>
    </row>
    <row r="31" spans="1:3" ht="13.5">
      <c r="A31" s="3144"/>
      <c r="B31" s="3143"/>
      <c r="C31" s="1711" t="s">
        <v>1651</v>
      </c>
    </row>
    <row r="32" spans="1:3" ht="13.5">
      <c r="A32" s="3144"/>
      <c r="B32" s="3143"/>
      <c r="C32" s="1711" t="s">
        <v>1652</v>
      </c>
    </row>
    <row r="33" spans="1:3" ht="13.5">
      <c r="A33" s="3144"/>
      <c r="B33" s="3143"/>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2877</v>
      </c>
      <c r="B2" s="2555">
        <f ca="1">TODAY()</f>
        <v>44316</v>
      </c>
      <c r="C2" s="2556" t="s">
        <v>2878</v>
      </c>
      <c r="D2" s="2556"/>
      <c r="E2" s="2556"/>
      <c r="F2" s="2552"/>
      <c r="G2" s="2552"/>
      <c r="H2" s="2552"/>
    </row>
    <row r="3" spans="1:8" ht="24" customHeight="1">
      <c r="A3" s="2557" t="s">
        <v>2879</v>
      </c>
      <c r="B3" s="2558" t="s">
        <v>2880</v>
      </c>
      <c r="C3" s="2558" t="s">
        <v>2881</v>
      </c>
      <c r="D3" s="2559" t="s">
        <v>2882</v>
      </c>
      <c r="E3" s="2560" t="s">
        <v>2883</v>
      </c>
      <c r="F3" s="1466" t="s">
        <v>2884</v>
      </c>
      <c r="G3" s="2558" t="s">
        <v>2881</v>
      </c>
      <c r="H3" s="2559" t="s">
        <v>2885</v>
      </c>
    </row>
    <row r="4" spans="1:8" ht="24" customHeight="1">
      <c r="A4" s="1466" t="s">
        <v>2886</v>
      </c>
      <c r="B4" s="1466">
        <f ca="1">IF(C4&lt;B2,"已过期",1119970066)</f>
        <v>1119970066</v>
      </c>
      <c r="C4" s="2561">
        <v>44876</v>
      </c>
      <c r="D4" s="2562" t="str">
        <f ca="1">A4&amp;"（注册号："&amp;B4&amp;"）"</f>
        <v>梁津（注册号：1119970066）</v>
      </c>
      <c r="E4" s="2563" t="s">
        <v>2886</v>
      </c>
      <c r="F4" s="1466">
        <f ca="1">IF(G4&lt;B2,"已过期",96010014)</f>
        <v>96010014</v>
      </c>
      <c r="G4" s="2564">
        <v>47118</v>
      </c>
      <c r="H4" s="2565" t="str">
        <f ca="1">E4&amp;"（注册号："&amp;F4&amp;"）"</f>
        <v>梁津（注册号：96010014）</v>
      </c>
    </row>
    <row r="5" spans="1:8" ht="24" customHeight="1">
      <c r="A5" s="1466" t="s">
        <v>2887</v>
      </c>
      <c r="B5" s="1466">
        <f ca="1">IF(C5&lt;B2,"已过期",1119970111)</f>
        <v>1119970111</v>
      </c>
      <c r="C5" s="2561">
        <v>44876</v>
      </c>
      <c r="D5" s="2562" t="str">
        <f t="shared" ref="D5:D15" ca="1" si="0">A5&amp;"（注册号："&amp;B5&amp;"）"</f>
        <v>叶凌（注册号：1119970111）</v>
      </c>
      <c r="E5" s="2563" t="s">
        <v>2887</v>
      </c>
      <c r="F5" s="1466">
        <f ca="1">IF(G5&lt;B2,"已过期",94010078)</f>
        <v>94010078</v>
      </c>
      <c r="G5" s="2564">
        <v>46387</v>
      </c>
      <c r="H5" s="2565" t="str">
        <f t="shared" ref="H5:H16" ca="1" si="1">E5&amp;"（注册号："&amp;F5&amp;"）"</f>
        <v>叶凌（注册号：94010078）</v>
      </c>
    </row>
    <row r="6" spans="1:8" ht="24" customHeight="1">
      <c r="A6" s="1466" t="s">
        <v>2888</v>
      </c>
      <c r="B6" s="1466">
        <f ca="1">IF(C6&lt;B2,"已过期",1120050019)</f>
        <v>1120050019</v>
      </c>
      <c r="C6" s="2561">
        <v>44395</v>
      </c>
      <c r="D6" s="2562" t="str">
        <f t="shared" ca="1" si="0"/>
        <v>王鹏（注册号：1120050019）</v>
      </c>
      <c r="E6" s="2563" t="s">
        <v>2888</v>
      </c>
      <c r="F6" s="1466">
        <f ca="1">IF(G6&lt;B2,"已过期",2002110030)</f>
        <v>2002110030</v>
      </c>
      <c r="G6" s="2564">
        <v>46387</v>
      </c>
      <c r="H6" s="2565" t="str">
        <f t="shared" ca="1" si="1"/>
        <v>王鹏（注册号：2002110030）</v>
      </c>
    </row>
    <row r="7" spans="1:8" ht="24" customHeight="1">
      <c r="A7" s="1466" t="s">
        <v>2889</v>
      </c>
      <c r="B7" s="1466">
        <f ca="1">IF(C7&lt;B2,"已过期",1120000080)</f>
        <v>1120000080</v>
      </c>
      <c r="C7" s="2561">
        <v>44876</v>
      </c>
      <c r="D7" s="2562" t="str">
        <f t="shared" ca="1" si="0"/>
        <v>欧红伟（注册号：1120000080）</v>
      </c>
      <c r="E7" s="2563" t="s">
        <v>2889</v>
      </c>
      <c r="F7" s="1466">
        <f ca="1">IF(G7&lt;B2,"已过期",2000110082)</f>
        <v>2000110082</v>
      </c>
      <c r="G7" s="2564">
        <v>46387</v>
      </c>
      <c r="H7" s="2565" t="str">
        <f t="shared" ca="1" si="1"/>
        <v>欧红伟（注册号：2000110082）</v>
      </c>
    </row>
    <row r="8" spans="1:8" ht="24" customHeight="1">
      <c r="A8" s="1466" t="s">
        <v>2890</v>
      </c>
      <c r="B8" s="1466">
        <f ca="1">IF(C8&lt;B2,"已过期",1419970001)</f>
        <v>1419970001</v>
      </c>
      <c r="C8" s="2561">
        <v>44899</v>
      </c>
      <c r="D8" s="2562" t="str">
        <f t="shared" ca="1" si="0"/>
        <v>吴薇（注册号：1419970001）</v>
      </c>
      <c r="E8" s="2563" t="s">
        <v>2890</v>
      </c>
      <c r="F8" s="1466">
        <f ca="1">IF(G8&lt;B2,"已过期",2002110125)</f>
        <v>2002110125</v>
      </c>
      <c r="G8" s="2564">
        <v>47118</v>
      </c>
      <c r="H8" s="2565" t="str">
        <f t="shared" ca="1" si="1"/>
        <v>吴薇（注册号：2002110125）</v>
      </c>
    </row>
    <row r="9" spans="1:8" ht="24" customHeight="1">
      <c r="A9" s="1466" t="s">
        <v>2891</v>
      </c>
      <c r="B9" s="1466">
        <f ca="1">IF(C9&lt;B2,"已过期",1120060040)</f>
        <v>1120060040</v>
      </c>
      <c r="C9" s="2566">
        <v>44554</v>
      </c>
      <c r="D9" s="2562" t="str">
        <f t="shared" ca="1" si="0"/>
        <v>陈颖（注册号：1120060040）</v>
      </c>
      <c r="E9" s="2563" t="s">
        <v>2891</v>
      </c>
      <c r="F9" s="1466">
        <f ca="1">IF(G9&lt;B2,"已过期",2004110096)</f>
        <v>2004110096</v>
      </c>
      <c r="G9" s="2564">
        <v>47118</v>
      </c>
      <c r="H9" s="2565" t="str">
        <f t="shared" ca="1" si="1"/>
        <v>陈颖（注册号：2004110096）</v>
      </c>
    </row>
    <row r="10" spans="1:8" ht="24" customHeight="1">
      <c r="A10" s="1466" t="s">
        <v>2892</v>
      </c>
      <c r="B10" s="1466">
        <f ca="1">IF(C10&lt;B2,"已过期",1120100036)</f>
        <v>1120100036</v>
      </c>
      <c r="C10" s="2566">
        <v>44675</v>
      </c>
      <c r="D10" s="2562" t="str">
        <f t="shared" ca="1" si="0"/>
        <v>崔锴（注册号：1120100036）</v>
      </c>
      <c r="E10" s="2563" t="s">
        <v>2892</v>
      </c>
      <c r="F10" s="1466">
        <f ca="1">IF(G10&lt;B2,"已过期",2010110070)</f>
        <v>2010110070</v>
      </c>
      <c r="G10" s="2564">
        <v>47907</v>
      </c>
      <c r="H10" s="2565" t="str">
        <f t="shared" ca="1" si="1"/>
        <v>崔锴（注册号：2010110070）</v>
      </c>
    </row>
    <row r="11" spans="1:8" ht="24" customHeight="1">
      <c r="A11" s="1466" t="s">
        <v>2893</v>
      </c>
      <c r="B11" s="1466">
        <f ca="1">IF(C11&lt;B2,"已过期",1120070131)</f>
        <v>1120070131</v>
      </c>
      <c r="C11" s="2561">
        <v>44849</v>
      </c>
      <c r="D11" s="2562" t="str">
        <f t="shared" ca="1" si="0"/>
        <v>郑燚（注册号：1120070131）</v>
      </c>
      <c r="E11" s="2563" t="s">
        <v>2893</v>
      </c>
      <c r="F11" s="1466">
        <f ca="1">IF(G11&lt;B2,"已过期",2014110011)</f>
        <v>2014110011</v>
      </c>
      <c r="G11" s="2564">
        <v>49302</v>
      </c>
      <c r="H11" s="2565" t="str">
        <f t="shared" ca="1" si="1"/>
        <v>郑燚（注册号：2014110011）</v>
      </c>
    </row>
    <row r="12" spans="1:8" ht="24" customHeight="1">
      <c r="A12" s="1466" t="s">
        <v>2894</v>
      </c>
      <c r="B12" s="1466">
        <f ca="1">IF(C12&lt;B2,"已过期",1120040230)</f>
        <v>1120040230</v>
      </c>
      <c r="C12" s="2566">
        <v>44864</v>
      </c>
      <c r="D12" s="2562" t="str">
        <f t="shared" ca="1" si="0"/>
        <v>苏海（注册号：1120040230）</v>
      </c>
      <c r="E12" s="2563" t="s">
        <v>2894</v>
      </c>
      <c r="F12" s="1466">
        <f ca="1">IF(G12&lt;B2,"已过期",98030020)</f>
        <v>98030020</v>
      </c>
      <c r="G12" s="2564">
        <v>47118</v>
      </c>
      <c r="H12" s="2565" t="str">
        <f t="shared" ca="1" si="1"/>
        <v>苏海（注册号：98030020）</v>
      </c>
    </row>
    <row r="13" spans="1:8" ht="24" customHeight="1">
      <c r="A13" s="1466" t="s">
        <v>2895</v>
      </c>
      <c r="B13" s="1466">
        <f ca="1">IF(C13&lt;B2,"已过期",1120020033)</f>
        <v>1120020033</v>
      </c>
      <c r="C13" s="2561">
        <v>44339</v>
      </c>
      <c r="D13" s="2562" t="str">
        <f t="shared" ca="1" si="0"/>
        <v>刘敬东（注册号：1120020033）</v>
      </c>
      <c r="E13" s="2563" t="s">
        <v>2895</v>
      </c>
      <c r="F13" s="1466">
        <f ca="1">IF(G13&lt;B2,"已过期",2000110137)</f>
        <v>2000110137</v>
      </c>
      <c r="G13" s="2564">
        <v>46387</v>
      </c>
      <c r="H13" s="2565" t="str">
        <f t="shared" ca="1" si="1"/>
        <v>刘敬东（注册号：2000110137）</v>
      </c>
    </row>
    <row r="14" spans="1:8" ht="24" customHeight="1">
      <c r="A14" s="1466" t="s">
        <v>2896</v>
      </c>
      <c r="B14" s="1466">
        <f ca="1">IF(C14&lt;B2,"已过期",1119980106)</f>
        <v>1119980106</v>
      </c>
      <c r="C14" s="2566">
        <v>44969</v>
      </c>
      <c r="D14" s="2562" t="str">
        <f t="shared" ca="1" si="0"/>
        <v>刘俊财（注册号：1119980106）</v>
      </c>
      <c r="E14" s="2563" t="s">
        <v>2896</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2897</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48" t="s">
        <v>2898</v>
      </c>
      <c r="B17" s="3148"/>
      <c r="C17" s="3148"/>
      <c r="D17" s="3148"/>
      <c r="E17" s="3148"/>
      <c r="F17" s="3148"/>
      <c r="G17" s="3148"/>
      <c r="H17" s="3148"/>
    </row>
    <row r="18" spans="1:8" ht="24" customHeight="1">
      <c r="A18" s="3149" t="s">
        <v>2899</v>
      </c>
      <c r="B18" s="3149"/>
      <c r="C18" s="3149"/>
      <c r="D18" s="2559"/>
      <c r="E18" s="3150" t="s">
        <v>2900</v>
      </c>
      <c r="F18" s="3149"/>
      <c r="G18" s="3149"/>
    </row>
    <row r="19" spans="1:8" s="2570" customFormat="1" ht="24" customHeight="1">
      <c r="A19" s="2569" t="s">
        <v>2901</v>
      </c>
      <c r="B19" s="2558" t="s">
        <v>2902</v>
      </c>
      <c r="C19" s="2558" t="s">
        <v>2881</v>
      </c>
      <c r="D19" s="2559"/>
      <c r="E19" s="2563" t="s">
        <v>2901</v>
      </c>
      <c r="F19" s="2558" t="s">
        <v>2902</v>
      </c>
      <c r="G19" s="2558" t="s">
        <v>2881</v>
      </c>
    </row>
    <row r="20" spans="1:8" s="2570" customFormat="1" ht="24" customHeight="1">
      <c r="A20" s="2571" t="s">
        <v>2903</v>
      </c>
      <c r="B20" s="2571" t="s">
        <v>2904</v>
      </c>
      <c r="C20" s="2564">
        <v>44820</v>
      </c>
      <c r="D20" s="2572"/>
      <c r="E20" s="2573" t="s">
        <v>2905</v>
      </c>
      <c r="F20" s="2571" t="s">
        <v>2906</v>
      </c>
      <c r="G20" s="2574">
        <v>44377</v>
      </c>
    </row>
    <row r="21" spans="1:8" s="2570" customFormat="1" ht="24" customHeight="1">
      <c r="A21" s="2571"/>
      <c r="B21" s="2571"/>
      <c r="C21" s="2575"/>
      <c r="D21" s="2576"/>
      <c r="E21" s="2573" t="s">
        <v>2907</v>
      </c>
      <c r="F21" s="2577" t="s">
        <v>2908</v>
      </c>
      <c r="G21" s="2578">
        <v>44012</v>
      </c>
    </row>
    <row r="22" spans="1:8" ht="24" customHeight="1">
      <c r="C22" s="2579"/>
      <c r="D22" s="2579"/>
      <c r="E22" s="2580"/>
      <c r="F22" s="2581"/>
      <c r="G22" s="2582"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2021-04-30T01:44:04Z</dcterms:modified>
</cp:coreProperties>
</file>