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15" windowWidth="14805" windowHeight="116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25" i="1" l="1"/>
  <c r="T26" i="1"/>
  <c r="T24" i="1"/>
  <c r="T27" i="1" s="1"/>
  <c r="I38" i="39" l="1"/>
  <c r="G38" i="39"/>
  <c r="E38" i="39"/>
  <c r="I5" i="39"/>
  <c r="G5" i="39"/>
  <c r="E5" i="39"/>
  <c r="I7" i="39"/>
  <c r="G7" i="39"/>
  <c r="E7" i="39"/>
  <c r="Q25" i="1"/>
  <c r="Q26" i="1"/>
  <c r="Q24" i="1"/>
  <c r="Q27" i="1" s="1"/>
  <c r="N6" i="1"/>
  <c r="Y6" i="1" s="1"/>
  <c r="F19" i="6"/>
  <c r="T28" i="1" s="1"/>
  <c r="O25" i="1" l="1"/>
  <c r="O23" i="1"/>
  <c r="O26" i="1" s="1"/>
  <c r="O24" i="1"/>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s="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P20" i="71"/>
  <c r="E19" i="71"/>
  <c r="E18" i="71" s="1"/>
  <c r="E17" i="71" s="1"/>
  <c r="O20" i="71"/>
  <c r="N20" i="71"/>
  <c r="A2" i="53"/>
  <c r="B19" i="72" s="1"/>
  <c r="K59" i="67"/>
  <c r="P61" i="67"/>
  <c r="K59" i="15"/>
  <c r="P74" i="15" s="1"/>
  <c r="P61" i="15"/>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4" i="71"/>
  <c r="F83" i="71"/>
  <c r="F82" i="71" s="1"/>
  <c r="F81" i="71" s="1"/>
  <c r="E83" i="71"/>
  <c r="E82" i="71" s="1"/>
  <c r="E81" i="71" s="1"/>
  <c r="C83" i="71"/>
  <c r="D83" i="71" s="1"/>
  <c r="B83" i="71"/>
  <c r="B82" i="71" s="1"/>
  <c r="B81" i="71"/>
  <c r="D80" i="71"/>
  <c r="F79" i="71"/>
  <c r="F78" i="71" s="1"/>
  <c r="F77" i="71" s="1"/>
  <c r="E79" i="71"/>
  <c r="E78" i="71"/>
  <c r="E77" i="71" s="1"/>
  <c r="C79" i="71"/>
  <c r="D79" i="71" s="1"/>
  <c r="B79" i="71"/>
  <c r="B78" i="71" s="1"/>
  <c r="B77" i="71" s="1"/>
  <c r="D76" i="71"/>
  <c r="Q75" i="71"/>
  <c r="P75" i="71"/>
  <c r="O75" i="71"/>
  <c r="N75" i="71"/>
  <c r="F75" i="71"/>
  <c r="E75" i="71"/>
  <c r="U75" i="71" s="1"/>
  <c r="C75" i="71"/>
  <c r="T75" i="71" s="1"/>
  <c r="B75" i="71"/>
  <c r="S75" i="71"/>
  <c r="Q74" i="71"/>
  <c r="P74" i="71"/>
  <c r="O74" i="71"/>
  <c r="N74" i="71"/>
  <c r="B74" i="71"/>
  <c r="B73" i="71"/>
  <c r="Q73" i="71"/>
  <c r="P73" i="71"/>
  <c r="O73" i="71"/>
  <c r="N73" i="71"/>
  <c r="Q72" i="71"/>
  <c r="P72" i="71"/>
  <c r="O72" i="71"/>
  <c r="N72" i="71"/>
  <c r="D72" i="71"/>
  <c r="Q71" i="71"/>
  <c r="P71" i="71"/>
  <c r="O71" i="71"/>
  <c r="N71" i="71"/>
  <c r="F71" i="71"/>
  <c r="V71" i="71" s="1"/>
  <c r="E71" i="71"/>
  <c r="U71" i="71" s="1"/>
  <c r="C71" i="71"/>
  <c r="D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P63" i="71" s="1"/>
  <c r="C63" i="71"/>
  <c r="D63" i="71" s="1"/>
  <c r="B63" i="71"/>
  <c r="S63" i="71"/>
  <c r="B62" i="71"/>
  <c r="N62"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B59" i="71" s="1"/>
  <c r="S59" i="71" s="1"/>
  <c r="D56" i="71"/>
  <c r="Q55" i="71"/>
  <c r="P55" i="71"/>
  <c r="O55" i="71"/>
  <c r="N55" i="71"/>
  <c r="Q54" i="71"/>
  <c r="P54" i="71"/>
  <c r="O54" i="71"/>
  <c r="N54" i="71"/>
  <c r="Q53" i="71"/>
  <c r="P53" i="71"/>
  <c r="O53" i="71"/>
  <c r="N53" i="71"/>
  <c r="Q52" i="71"/>
  <c r="F53" i="71"/>
  <c r="F54" i="71" s="1"/>
  <c r="F55" i="71" s="1"/>
  <c r="V55" i="71" s="1"/>
  <c r="P52" i="71"/>
  <c r="E53" i="71" s="1"/>
  <c r="O52" i="71"/>
  <c r="C53" i="71" s="1"/>
  <c r="D53" i="71" s="1"/>
  <c r="N52" i="71"/>
  <c r="B53" i="71" s="1"/>
  <c r="D52" i="71"/>
  <c r="Q51" i="71"/>
  <c r="P51" i="71"/>
  <c r="O51" i="71"/>
  <c r="N51" i="71"/>
  <c r="Q50" i="71"/>
  <c r="P50" i="71"/>
  <c r="O50" i="71"/>
  <c r="N50" i="71"/>
  <c r="Q49" i="71"/>
  <c r="P49" i="71"/>
  <c r="O49" i="71"/>
  <c r="N49" i="71"/>
  <c r="Q48" i="71"/>
  <c r="F49" i="71" s="1"/>
  <c r="F50" i="71" s="1"/>
  <c r="F51" i="71" s="1"/>
  <c r="V51" i="71" s="1"/>
  <c r="P48" i="71"/>
  <c r="E49" i="71" s="1"/>
  <c r="O48" i="71"/>
  <c r="C49" i="71" s="1"/>
  <c r="C50" i="71" s="1"/>
  <c r="N48" i="71"/>
  <c r="B49" i="71" s="1"/>
  <c r="B50" i="71" s="1"/>
  <c r="B51" i="71" s="1"/>
  <c r="S51" i="71" s="1"/>
  <c r="D48" i="71"/>
  <c r="Q47" i="71"/>
  <c r="P47" i="71"/>
  <c r="O47" i="71"/>
  <c r="N47" i="71"/>
  <c r="Q46" i="71"/>
  <c r="P46" i="71"/>
  <c r="O46" i="71"/>
  <c r="N46" i="71"/>
  <c r="Q45" i="71"/>
  <c r="P45" i="71"/>
  <c r="O45" i="71"/>
  <c r="C46" i="71" s="1"/>
  <c r="N45" i="71"/>
  <c r="Q44" i="71"/>
  <c r="F45" i="71" s="1"/>
  <c r="F46" i="71" s="1"/>
  <c r="F47" i="71" s="1"/>
  <c r="V47"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N36" i="71"/>
  <c r="B37" i="71" s="1"/>
  <c r="D36" i="71"/>
  <c r="Q35" i="71"/>
  <c r="P35" i="71"/>
  <c r="O35" i="71"/>
  <c r="N35" i="71"/>
  <c r="Q34" i="71"/>
  <c r="AB34" i="71" s="1"/>
  <c r="P34" i="71"/>
  <c r="O34" i="71"/>
  <c r="N34" i="71"/>
  <c r="X34" i="71"/>
  <c r="Q33" i="71"/>
  <c r="AB33" i="71"/>
  <c r="P33" i="71"/>
  <c r="O33" i="71"/>
  <c r="N33" i="71"/>
  <c r="Q32" i="71"/>
  <c r="F33" i="71" s="1"/>
  <c r="F34" i="71" s="1"/>
  <c r="F35" i="71" s="1"/>
  <c r="V35" i="71" s="1"/>
  <c r="P32" i="71"/>
  <c r="O32" i="71"/>
  <c r="C33" i="71" s="1"/>
  <c r="N32" i="71"/>
  <c r="D32" i="71"/>
  <c r="Q31" i="71"/>
  <c r="AB31" i="71"/>
  <c r="P31" i="71"/>
  <c r="O31" i="71"/>
  <c r="N31" i="71"/>
  <c r="Q30" i="71"/>
  <c r="P30" i="71"/>
  <c r="O30" i="71"/>
  <c r="N30" i="71"/>
  <c r="Q29" i="71"/>
  <c r="AB29" i="71" s="1"/>
  <c r="P29" i="71"/>
  <c r="AA28" i="71" s="1"/>
  <c r="O29" i="71"/>
  <c r="N29" i="71"/>
  <c r="Q28" i="71"/>
  <c r="F29" i="71" s="1"/>
  <c r="F30" i="71" s="1"/>
  <c r="F31" i="71" s="1"/>
  <c r="V31" i="71" s="1"/>
  <c r="P28" i="71"/>
  <c r="O28" i="71"/>
  <c r="Y24" i="71" s="1"/>
  <c r="Z24" i="71" s="1"/>
  <c r="N28" i="71"/>
  <c r="D28" i="71"/>
  <c r="Q27" i="71"/>
  <c r="P27" i="71"/>
  <c r="O27" i="71"/>
  <c r="N27" i="71"/>
  <c r="Q26" i="71"/>
  <c r="P26" i="71"/>
  <c r="AA26" i="71" s="1"/>
  <c r="O26" i="71"/>
  <c r="N26" i="71"/>
  <c r="Q25" i="71"/>
  <c r="P25" i="71"/>
  <c r="O25" i="71"/>
  <c r="N25" i="71"/>
  <c r="Q24" i="71"/>
  <c r="F25" i="71" s="1"/>
  <c r="F26" i="71" s="1"/>
  <c r="F27" i="71" s="1"/>
  <c r="V27" i="71" s="1"/>
  <c r="P24" i="71"/>
  <c r="O24" i="71"/>
  <c r="N24" i="71"/>
  <c r="X24" i="71" s="1"/>
  <c r="D24" i="71"/>
  <c r="O23" i="71"/>
  <c r="N23" i="71"/>
  <c r="B25" i="71"/>
  <c r="B29" i="71"/>
  <c r="B30" i="71" s="1"/>
  <c r="B33" i="71"/>
  <c r="B34" i="71"/>
  <c r="B35" i="71" s="1"/>
  <c r="S35" i="71" s="1"/>
  <c r="X32" i="71"/>
  <c r="E33" i="71"/>
  <c r="E34" i="71" s="1"/>
  <c r="E35" i="71" s="1"/>
  <c r="U35" i="71" s="1"/>
  <c r="AA32" i="71"/>
  <c r="N63" i="71"/>
  <c r="E29" i="71"/>
  <c r="E30" i="71" s="1"/>
  <c r="E31" i="71" s="1"/>
  <c r="U31" i="71" s="1"/>
  <c r="C25" i="71"/>
  <c r="C26" i="71" s="1"/>
  <c r="D26" i="71" s="1"/>
  <c r="AA25" i="71"/>
  <c r="AA27" i="71"/>
  <c r="X31" i="71"/>
  <c r="AB32" i="71"/>
  <c r="X33" i="71"/>
  <c r="Y21" i="71"/>
  <c r="Z21" i="71" s="1"/>
  <c r="B23" i="71"/>
  <c r="X23" i="71"/>
  <c r="D25" i="71"/>
  <c r="D37" i="71"/>
  <c r="D45" i="71"/>
  <c r="P23" i="71"/>
  <c r="E50" i="71"/>
  <c r="E51" i="71" s="1"/>
  <c r="U51" i="71" s="1"/>
  <c r="U63" i="71"/>
  <c r="E62" i="71"/>
  <c r="P62" i="71" s="1"/>
  <c r="Q23" i="71"/>
  <c r="C54" i="71"/>
  <c r="C55" i="71" s="1"/>
  <c r="B61" i="71"/>
  <c r="T63" i="71"/>
  <c r="Q63" i="71"/>
  <c r="C66" i="71"/>
  <c r="E66" i="71"/>
  <c r="E65" i="71" s="1"/>
  <c r="D67" i="71"/>
  <c r="E70" i="71"/>
  <c r="E69" i="71" s="1"/>
  <c r="C74" i="71"/>
  <c r="C73" i="71" s="1"/>
  <c r="D73" i="71" s="1"/>
  <c r="E74" i="71"/>
  <c r="E73" i="71" s="1"/>
  <c r="D75" i="71"/>
  <c r="C78" i="71"/>
  <c r="C82" i="71"/>
  <c r="C81" i="71" s="1"/>
  <c r="D81" i="71" s="1"/>
  <c r="F23" i="71"/>
  <c r="E23" i="71"/>
  <c r="E22" i="71" s="1"/>
  <c r="E21" i="71" s="1"/>
  <c r="AA21" i="71"/>
  <c r="D78" i="71"/>
  <c r="C77" i="71"/>
  <c r="D77" i="71" s="1"/>
  <c r="D82" i="71"/>
  <c r="D74" i="71"/>
  <c r="D66" i="71"/>
  <c r="C65" i="71"/>
  <c r="D65" i="71"/>
  <c r="D54" i="71"/>
  <c r="E61" i="71"/>
  <c r="P60" i="71" s="1"/>
  <c r="P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s="1"/>
  <c r="D66" i="36"/>
  <c r="E66" i="36" s="1"/>
  <c r="F66" i="36" s="1"/>
  <c r="G66" i="36" s="1"/>
  <c r="H18" i="36"/>
  <c r="F18" i="36"/>
  <c r="C18" i="36"/>
  <c r="Q18" i="35"/>
  <c r="Z18" i="35" s="1"/>
  <c r="D68" i="35"/>
  <c r="E68" i="35"/>
  <c r="F18" i="35"/>
  <c r="AA18" i="35"/>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S21" i="34"/>
  <c r="H25" i="40"/>
  <c r="J25" i="40"/>
  <c r="H29" i="39"/>
  <c r="AB29" i="39" s="1"/>
  <c r="J29" i="39"/>
  <c r="AC29" i="39" s="1"/>
  <c r="J18" i="36"/>
  <c r="AC18" i="36" s="1"/>
  <c r="F68" i="35"/>
  <c r="G68" i="35" s="1"/>
  <c r="H18" i="35"/>
  <c r="AB18" i="35" s="1"/>
  <c r="S18" i="35"/>
  <c r="J18" i="35"/>
  <c r="H21" i="37"/>
  <c r="U21" i="37" s="1"/>
  <c r="F21" i="37"/>
  <c r="S21" i="37" s="1"/>
  <c r="F84" i="34"/>
  <c r="H21" i="34"/>
  <c r="U21" i="34" s="1"/>
  <c r="F83" i="33"/>
  <c r="H21" i="33"/>
  <c r="AB21" i="33" s="1"/>
  <c r="F21" i="33"/>
  <c r="S21" i="33" s="1"/>
  <c r="E83" i="21"/>
  <c r="F83" i="21" s="1"/>
  <c r="G83" i="21" s="1"/>
  <c r="S21" i="21"/>
  <c r="H1" i="69"/>
  <c r="AC25" i="40"/>
  <c r="W25" i="40"/>
  <c r="AB25" i="40"/>
  <c r="U25" i="40"/>
  <c r="W18" i="36"/>
  <c r="AB21" i="37"/>
  <c r="AA21" i="37"/>
  <c r="AB21" i="34"/>
  <c r="U21" i="33"/>
  <c r="AA21" i="33"/>
  <c r="U18" i="35"/>
  <c r="G77" i="37"/>
  <c r="J21" i="37"/>
  <c r="W21" i="37" s="1"/>
  <c r="G84" i="34"/>
  <c r="J21" i="34"/>
  <c r="W21" i="34" s="1"/>
  <c r="G83" i="33"/>
  <c r="J21" i="33"/>
  <c r="W21" i="33" s="1"/>
  <c r="H21" i="21"/>
  <c r="U21" i="21" s="1"/>
  <c r="F38" i="69"/>
  <c r="E37" i="69"/>
  <c r="F36" i="69"/>
  <c r="F35" i="69"/>
  <c r="F21" i="69"/>
  <c r="F20" i="69"/>
  <c r="F39" i="69" s="1"/>
  <c r="E10" i="69"/>
  <c r="E9" i="69"/>
  <c r="C7" i="69"/>
  <c r="AC21" i="37"/>
  <c r="AC21" i="34"/>
  <c r="AC21" i="33"/>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S2" i="4"/>
  <c r="C51" i="10" s="1"/>
  <c r="A13" i="51" s="1"/>
  <c r="B11" i="72" s="1"/>
  <c r="S1" i="4"/>
  <c r="B1" i="4"/>
  <c r="C27" i="66"/>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G8" i="1" s="1"/>
  <c r="F9" i="1"/>
  <c r="F10" i="1"/>
  <c r="F11" i="1"/>
  <c r="F12" i="1"/>
  <c r="F13" i="1"/>
  <c r="D6" i="1"/>
  <c r="D9" i="1"/>
  <c r="D10" i="1"/>
  <c r="D11" i="1"/>
  <c r="D12" i="1"/>
  <c r="G12" i="1" s="1"/>
  <c r="D13" i="1"/>
  <c r="D7" i="1"/>
  <c r="D8" i="1"/>
  <c r="A7" i="1"/>
  <c r="A8" i="1"/>
  <c r="B8" i="1"/>
  <c r="E8" i="1" s="1"/>
  <c r="A9" i="1"/>
  <c r="A10" i="1"/>
  <c r="A11" i="1"/>
  <c r="B11" i="1" s="1"/>
  <c r="A12" i="1"/>
  <c r="A13" i="1"/>
  <c r="A6" i="1"/>
  <c r="E11" i="1"/>
  <c r="K10" i="1"/>
  <c r="B13" i="1"/>
  <c r="E13" i="1"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c r="R260" i="31"/>
  <c r="R261" i="31"/>
  <c r="S261" i="31" s="1"/>
  <c r="R262" i="31"/>
  <c r="S262" i="31" s="1"/>
  <c r="R263" i="31"/>
  <c r="S263" i="31" s="1"/>
  <c r="R264" i="31"/>
  <c r="R265" i="31"/>
  <c r="S265" i="31" s="1"/>
  <c r="R266" i="31"/>
  <c r="S266" i="31" s="1"/>
  <c r="R267" i="31"/>
  <c r="S267" i="31"/>
  <c r="R268" i="31"/>
  <c r="R269" i="31"/>
  <c r="S269" i="31" s="1"/>
  <c r="R270" i="31"/>
  <c r="S270" i="31" s="1"/>
  <c r="R271" i="31"/>
  <c r="S271" i="31" s="1"/>
  <c r="R272" i="31"/>
  <c r="R273" i="31"/>
  <c r="S273" i="31" s="1"/>
  <c r="R274" i="31"/>
  <c r="S274" i="31" s="1"/>
  <c r="R275" i="31"/>
  <c r="S275" i="31"/>
  <c r="R276" i="31"/>
  <c r="R277" i="31"/>
  <c r="S277" i="31" s="1"/>
  <c r="R278" i="31"/>
  <c r="S278" i="31" s="1"/>
  <c r="R279" i="31"/>
  <c r="S279" i="31" s="1"/>
  <c r="R280" i="31"/>
  <c r="R281" i="31"/>
  <c r="S281" i="31" s="1"/>
  <c r="R282" i="31"/>
  <c r="S282" i="31" s="1"/>
  <c r="R283" i="31"/>
  <c r="S283" i="31"/>
  <c r="R284" i="31"/>
  <c r="R285" i="31"/>
  <c r="S285" i="31" s="1"/>
  <c r="R286" i="31"/>
  <c r="S286" i="31" s="1"/>
  <c r="R287" i="31"/>
  <c r="S287" i="31" s="1"/>
  <c r="R288" i="31"/>
  <c r="R289" i="31"/>
  <c r="S289" i="31" s="1"/>
  <c r="R290" i="31"/>
  <c r="S290" i="31" s="1"/>
  <c r="R291" i="31"/>
  <c r="S291" i="31"/>
  <c r="R292" i="31"/>
  <c r="R293" i="31"/>
  <c r="S293" i="31" s="1"/>
  <c r="R294" i="31"/>
  <c r="S294" i="31" s="1"/>
  <c r="R295" i="31"/>
  <c r="S295" i="31" s="1"/>
  <c r="R296" i="31"/>
  <c r="R297" i="31"/>
  <c r="S297" i="31" s="1"/>
  <c r="R298" i="31"/>
  <c r="S298" i="31" s="1"/>
  <c r="R299" i="31"/>
  <c r="S299" i="31"/>
  <c r="R300" i="31"/>
  <c r="R301" i="31"/>
  <c r="S301" i="31" s="1"/>
  <c r="R302" i="31"/>
  <c r="S302" i="31" s="1"/>
  <c r="R303" i="31"/>
  <c r="S303" i="31" s="1"/>
  <c r="R304" i="31"/>
  <c r="R305" i="31"/>
  <c r="S305" i="31" s="1"/>
  <c r="R306" i="31"/>
  <c r="S306" i="31" s="1"/>
  <c r="R307" i="31"/>
  <c r="S307" i="31"/>
  <c r="R308" i="31"/>
  <c r="R309" i="31"/>
  <c r="S309" i="31" s="1"/>
  <c r="R310" i="31"/>
  <c r="S310" i="31" s="1"/>
  <c r="R311" i="31"/>
  <c r="S311" i="31" s="1"/>
  <c r="R312" i="31"/>
  <c r="R313" i="31"/>
  <c r="S313" i="31" s="1"/>
  <c r="R314" i="31"/>
  <c r="S314" i="31" s="1"/>
  <c r="R315" i="31"/>
  <c r="S315" i="31"/>
  <c r="R316" i="31"/>
  <c r="R317" i="31"/>
  <c r="S317" i="31" s="1"/>
  <c r="R318" i="31"/>
  <c r="S318" i="31" s="1"/>
  <c r="R319" i="31"/>
  <c r="S319" i="31" s="1"/>
  <c r="R320" i="31"/>
  <c r="R321" i="31"/>
  <c r="S321" i="31" s="1"/>
  <c r="R322" i="31"/>
  <c r="R323" i="31"/>
  <c r="S323" i="31"/>
  <c r="R324" i="31"/>
  <c r="R325" i="31"/>
  <c r="S325" i="31" s="1"/>
  <c r="R326" i="31"/>
  <c r="S326" i="31" s="1"/>
  <c r="R327" i="31"/>
  <c r="S327" i="31" s="1"/>
  <c r="R328" i="31"/>
  <c r="R329" i="31"/>
  <c r="S329" i="31" s="1"/>
  <c r="R330" i="31"/>
  <c r="R331" i="31"/>
  <c r="S331" i="31"/>
  <c r="R332" i="31"/>
  <c r="R333" i="31"/>
  <c r="S333" i="31" s="1"/>
  <c r="R334" i="31"/>
  <c r="S334" i="31" s="1"/>
  <c r="R335" i="31"/>
  <c r="S335" i="31" s="1"/>
  <c r="R336" i="31"/>
  <c r="R337" i="31"/>
  <c r="S337" i="31" s="1"/>
  <c r="R338" i="31"/>
  <c r="R339" i="31"/>
  <c r="S339" i="31"/>
  <c r="R340" i="31"/>
  <c r="R341" i="31"/>
  <c r="S341" i="31" s="1"/>
  <c r="R342" i="31"/>
  <c r="S342" i="31" s="1"/>
  <c r="R343" i="31"/>
  <c r="S343" i="31" s="1"/>
  <c r="R344" i="31"/>
  <c r="R345" i="31"/>
  <c r="S345" i="31" s="1"/>
  <c r="R346" i="31"/>
  <c r="R347" i="31"/>
  <c r="S347" i="31"/>
  <c r="R348" i="31"/>
  <c r="R349" i="31"/>
  <c r="S349" i="31" s="1"/>
  <c r="R350" i="31"/>
  <c r="S350" i="31" s="1"/>
  <c r="R351" i="31"/>
  <c r="S351" i="31" s="1"/>
  <c r="R352" i="31"/>
  <c r="R353" i="31"/>
  <c r="S353" i="31" s="1"/>
  <c r="R354" i="31"/>
  <c r="R355" i="31"/>
  <c r="S355" i="31"/>
  <c r="R356" i="31"/>
  <c r="R357" i="31"/>
  <c r="S357" i="31" s="1"/>
  <c r="R358" i="31"/>
  <c r="S358" i="31" s="1"/>
  <c r="R359" i="31"/>
  <c r="S359" i="31" s="1"/>
  <c r="R360" i="31"/>
  <c r="R361" i="31"/>
  <c r="S361" i="31" s="1"/>
  <c r="R362" i="31"/>
  <c r="R363" i="31"/>
  <c r="S363" i="31"/>
  <c r="R364" i="31"/>
  <c r="R365" i="31"/>
  <c r="S365" i="31" s="1"/>
  <c r="R366" i="31"/>
  <c r="S366" i="31" s="1"/>
  <c r="R367" i="31"/>
  <c r="S367" i="31" s="1"/>
  <c r="R368" i="31"/>
  <c r="R369" i="31"/>
  <c r="S369" i="31" s="1"/>
  <c r="R370" i="31"/>
  <c r="R371" i="31"/>
  <c r="S371" i="31"/>
  <c r="R372" i="31"/>
  <c r="R373" i="31"/>
  <c r="S373" i="31" s="1"/>
  <c r="R374" i="31"/>
  <c r="S374" i="31" s="1"/>
  <c r="R375" i="31"/>
  <c r="S375" i="31" s="1"/>
  <c r="R376" i="31"/>
  <c r="R377" i="31"/>
  <c r="S377" i="31" s="1"/>
  <c r="R378" i="31"/>
  <c r="R379" i="31"/>
  <c r="S379" i="31"/>
  <c r="R380" i="31"/>
  <c r="R381" i="31"/>
  <c r="S381" i="31" s="1"/>
  <c r="R382" i="31"/>
  <c r="S382" i="31" s="1"/>
  <c r="R383" i="31"/>
  <c r="S383" i="31" s="1"/>
  <c r="R384" i="31"/>
  <c r="R385" i="31"/>
  <c r="S385" i="31" s="1"/>
  <c r="R386" i="31"/>
  <c r="R387" i="31"/>
  <c r="S387" i="31"/>
  <c r="R388" i="31"/>
  <c r="R389" i="31"/>
  <c r="S389" i="31" s="1"/>
  <c r="R390" i="31"/>
  <c r="S390" i="31" s="1"/>
  <c r="R391" i="31"/>
  <c r="S391" i="31" s="1"/>
  <c r="R392" i="31"/>
  <c r="R393" i="31"/>
  <c r="S393" i="31" s="1"/>
  <c r="R394" i="31"/>
  <c r="R395" i="31"/>
  <c r="S395" i="31"/>
  <c r="R396" i="31"/>
  <c r="R397" i="31"/>
  <c r="S397" i="31" s="1"/>
  <c r="R398" i="31"/>
  <c r="S398" i="31" s="1"/>
  <c r="R399" i="31"/>
  <c r="S399" i="31" s="1"/>
  <c r="R400" i="31"/>
  <c r="R401" i="31"/>
  <c r="S401" i="31" s="1"/>
  <c r="R402" i="31"/>
  <c r="R403" i="31"/>
  <c r="S403" i="31"/>
  <c r="R404" i="31"/>
  <c r="R405" i="31"/>
  <c r="S405" i="31" s="1"/>
  <c r="R406" i="31"/>
  <c r="S406" i="31" s="1"/>
  <c r="R407" i="31"/>
  <c r="S407" i="31" s="1"/>
  <c r="R408" i="31"/>
  <c r="R409" i="31"/>
  <c r="S409" i="31" s="1"/>
  <c r="R410" i="31"/>
  <c r="R411" i="31"/>
  <c r="S411" i="31"/>
  <c r="R412" i="31"/>
  <c r="R413" i="31"/>
  <c r="S413" i="31" s="1"/>
  <c r="R414" i="31"/>
  <c r="S414" i="31" s="1"/>
  <c r="R415" i="31"/>
  <c r="S415" i="31" s="1"/>
  <c r="R416" i="31"/>
  <c r="R417" i="31"/>
  <c r="S417" i="31" s="1"/>
  <c r="R418" i="31"/>
  <c r="R419" i="31"/>
  <c r="S419" i="31"/>
  <c r="R420" i="31"/>
  <c r="R421" i="31"/>
  <c r="S421" i="31" s="1"/>
  <c r="R422" i="31"/>
  <c r="S422" i="31" s="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F23" i="15"/>
  <c r="D24" i="15" s="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8"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1" i="31"/>
  <c r="S119" i="31"/>
  <c r="S117" i="31"/>
  <c r="S115" i="31"/>
  <c r="S113" i="31"/>
  <c r="S506" i="31"/>
  <c r="S504" i="31"/>
  <c r="S502" i="31"/>
  <c r="S500" i="31"/>
  <c r="S498" i="31"/>
  <c r="S466" i="31"/>
  <c r="S464" i="31"/>
  <c r="S462" i="31"/>
  <c r="S460" i="31"/>
  <c r="S458" i="31"/>
  <c r="S456" i="31"/>
  <c r="S454" i="31"/>
  <c r="S452" i="31"/>
  <c r="S450"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AA27" i="39" s="1"/>
  <c r="F11" i="21"/>
  <c r="S11" i="21" s="1"/>
  <c r="S40" i="21"/>
  <c r="U34" i="21"/>
  <c r="S34" i="21"/>
  <c r="C25" i="39"/>
  <c r="C27" i="39"/>
  <c r="C21" i="39"/>
  <c r="H11" i="39"/>
  <c r="AB11" i="39" s="1"/>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AZ514" i="3" s="1"/>
  <c r="BA512" i="3"/>
  <c r="AZ512" i="3" s="1"/>
  <c r="BA510" i="3"/>
  <c r="AZ510" i="3" s="1"/>
  <c r="BA508" i="3"/>
  <c r="BA506" i="3"/>
  <c r="BA504" i="3"/>
  <c r="BA502" i="3"/>
  <c r="BA500" i="3"/>
  <c r="BA498" i="3"/>
  <c r="AZ498" i="3" s="1"/>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AZ508" i="3" s="1"/>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J19" i="40"/>
  <c r="AC19" i="40" s="1"/>
  <c r="J50" i="40"/>
  <c r="H103" i="9"/>
  <c r="D8" i="53" s="1"/>
  <c r="B16" i="53"/>
  <c r="B33" i="72" s="1"/>
  <c r="C7" i="34"/>
  <c r="W35" i="40"/>
  <c r="A118" i="9"/>
  <c r="A4" i="52"/>
  <c r="B41" i="72" s="1"/>
  <c r="J11" i="39"/>
  <c r="W11" i="39" s="1"/>
  <c r="F11" i="39"/>
  <c r="AA11" i="39" s="1"/>
  <c r="G4" i="4"/>
  <c r="I4" i="4"/>
  <c r="K5" i="4" s="1"/>
  <c r="B47" i="48" s="1"/>
  <c r="A2" i="9"/>
  <c r="F59" i="43"/>
  <c r="H62" i="43" s="1"/>
  <c r="AZ20" i="3"/>
  <c r="AZ28" i="3"/>
  <c r="BL549" i="3"/>
  <c r="AZ502"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G125" i="3"/>
  <c r="BA127" i="3"/>
  <c r="BL128" i="3"/>
  <c r="G129" i="3"/>
  <c r="BA131" i="3"/>
  <c r="AZ131" i="3" s="1"/>
  <c r="BL132" i="3"/>
  <c r="AZ132" i="3" s="1"/>
  <c r="G133" i="3"/>
  <c r="BA135" i="3"/>
  <c r="BL136" i="3"/>
  <c r="G137" i="3"/>
  <c r="BA139" i="3"/>
  <c r="AZ139" i="3" s="1"/>
  <c r="BL140" i="3"/>
  <c r="AZ140" i="3" s="1"/>
  <c r="G141" i="3"/>
  <c r="BA143" i="3"/>
  <c r="AZ143" i="3"/>
  <c r="BL144" i="3"/>
  <c r="G145" i="3"/>
  <c r="BA147" i="3"/>
  <c r="BL148" i="3"/>
  <c r="AZ148" i="3"/>
  <c r="G149" i="3"/>
  <c r="BA151" i="3"/>
  <c r="AZ151" i="3" s="1"/>
  <c r="BL152" i="3"/>
  <c r="G153" i="3"/>
  <c r="BA155" i="3"/>
  <c r="AZ155" i="3" s="1"/>
  <c r="BL156" i="3"/>
  <c r="AZ156" i="3" s="1"/>
  <c r="G157" i="3"/>
  <c r="BA159" i="3"/>
  <c r="BL160" i="3"/>
  <c r="G161" i="3"/>
  <c r="BA163" i="3"/>
  <c r="BL164" i="3"/>
  <c r="AZ164" i="3" s="1"/>
  <c r="G165" i="3"/>
  <c r="BA167" i="3"/>
  <c r="AZ167" i="3" s="1"/>
  <c r="BL168" i="3"/>
  <c r="G169" i="3"/>
  <c r="BA171" i="3"/>
  <c r="AZ171" i="3" s="1"/>
  <c r="BL172" i="3"/>
  <c r="AZ172" i="3" s="1"/>
  <c r="G173" i="3"/>
  <c r="BA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5" i="3"/>
  <c r="AZ71" i="3"/>
  <c r="AZ75" i="3"/>
  <c r="AZ79" i="3"/>
  <c r="AZ136" i="3"/>
  <c r="AZ144" i="3"/>
  <c r="AZ160" i="3"/>
  <c r="AZ176" i="3"/>
  <c r="AZ200" i="3"/>
  <c r="AZ105"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38" i="3"/>
  <c r="AZ142" i="3"/>
  <c r="AZ154" i="3"/>
  <c r="AZ170" i="3"/>
  <c r="AZ178" i="3"/>
  <c r="AZ182" i="3"/>
  <c r="AZ190" i="3"/>
  <c r="AZ194" i="3"/>
  <c r="AZ198"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14" i="3"/>
  <c r="AZ222" i="3"/>
  <c r="AZ303" i="3"/>
  <c r="AZ335" i="3"/>
  <c r="G342" i="3"/>
  <c r="BL345" i="3"/>
  <c r="AZ345" i="3" s="1"/>
  <c r="G346" i="3"/>
  <c r="BL349" i="3"/>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G375" i="3"/>
  <c r="BA377" i="3"/>
  <c r="AZ377" i="3" s="1"/>
  <c r="AZ229" i="3"/>
  <c r="AZ241" i="3"/>
  <c r="AZ245" i="3"/>
  <c r="AZ249" i="3"/>
  <c r="AZ257" i="3"/>
  <c r="AZ269" i="3"/>
  <c r="BA379" i="3"/>
  <c r="AZ379" i="3" s="1"/>
  <c r="BL380" i="3"/>
  <c r="G381" i="3"/>
  <c r="BA383" i="3"/>
  <c r="AZ383" i="3" s="1"/>
  <c r="BL384" i="3"/>
  <c r="G385" i="3"/>
  <c r="BA387" i="3"/>
  <c r="AZ387" i="3" s="1"/>
  <c r="BL388" i="3"/>
  <c r="G389" i="3"/>
  <c r="BA391" i="3"/>
  <c r="BL392" i="3"/>
  <c r="G393" i="3"/>
  <c r="AZ279" i="3"/>
  <c r="AZ283" i="3"/>
  <c r="AZ287" i="3"/>
  <c r="AZ295" i="3"/>
  <c r="AZ299" i="3"/>
  <c r="BO5" i="3"/>
  <c r="BM5" i="3"/>
  <c r="BJ5" i="3"/>
  <c r="BH5" i="3"/>
  <c r="BF5" i="3"/>
  <c r="BD5" i="3"/>
  <c r="AZ325"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4" i="3"/>
  <c r="AZ499" i="3"/>
  <c r="AZ509" i="3"/>
  <c r="E8" i="6"/>
  <c r="F27" i="6" s="1"/>
  <c r="G509" i="3"/>
  <c r="BL493" i="3"/>
  <c r="AZ493" i="3" s="1"/>
  <c r="AZ376" i="3"/>
  <c r="AZ390" i="3"/>
  <c r="AZ382" i="3"/>
  <c r="U36" i="40"/>
  <c r="F36" i="43"/>
  <c r="F81" i="43"/>
  <c r="H83" i="43" s="1"/>
  <c r="H113" i="43"/>
  <c r="F48" i="43"/>
  <c r="H52" i="43" s="1"/>
  <c r="F70" i="43"/>
  <c r="H73" i="43" s="1"/>
  <c r="M11" i="43"/>
  <c r="D17" i="43"/>
  <c r="F39" i="43"/>
  <c r="I17" i="43"/>
  <c r="F35" i="43"/>
  <c r="J17" i="43"/>
  <c r="F6" i="1"/>
  <c r="S14" i="35"/>
  <c r="U43" i="21"/>
  <c r="U35" i="21"/>
  <c r="AC35" i="21"/>
  <c r="U10" i="21"/>
  <c r="G9"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27" i="3"/>
  <c r="AZ232" i="3"/>
  <c r="AZ243" i="3"/>
  <c r="AZ251" i="3"/>
  <c r="AZ268" i="3"/>
  <c r="AZ271" i="3"/>
  <c r="AZ280" i="3"/>
  <c r="AZ296" i="3"/>
  <c r="AZ114" i="3"/>
  <c r="AZ130" i="3"/>
  <c r="AZ21" i="3"/>
  <c r="AZ29" i="3"/>
  <c r="AZ31" i="3"/>
  <c r="AZ33" i="3"/>
  <c r="AZ37" i="3"/>
  <c r="AZ42" i="3"/>
  <c r="AZ50" i="3"/>
  <c r="AZ53" i="3"/>
  <c r="AZ58" i="3"/>
  <c r="AZ66" i="3"/>
  <c r="AZ69" i="3"/>
  <c r="AZ74" i="3"/>
  <c r="AZ77"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12" i="3"/>
  <c r="AZ417" i="3"/>
  <c r="AZ428" i="3"/>
  <c r="AZ433" i="3"/>
  <c r="AZ465" i="3"/>
  <c r="F22" i="43"/>
  <c r="B113" i="43"/>
  <c r="K101" i="43"/>
  <c r="K103" i="43" s="1"/>
  <c r="F101" i="43"/>
  <c r="F104" i="43" s="1"/>
  <c r="N101" i="43"/>
  <c r="N102" i="43" s="1"/>
  <c r="E22" i="43"/>
  <c r="G101" i="43"/>
  <c r="G105" i="43" s="1"/>
  <c r="C101" i="43"/>
  <c r="C104" i="43" s="1"/>
  <c r="J101" i="43"/>
  <c r="J104" i="43" s="1"/>
  <c r="N104" i="46"/>
  <c r="AC12" i="33"/>
  <c r="AA32" i="36"/>
  <c r="S32" i="36"/>
  <c r="AZ441" i="3"/>
  <c r="AZ457" i="3"/>
  <c r="AZ473" i="3"/>
  <c r="AZ490" i="3"/>
  <c r="AA39" i="34"/>
  <c r="F28" i="6"/>
  <c r="BL14" i="3"/>
  <c r="AZ266" i="3"/>
  <c r="U30" i="33"/>
  <c r="AC13" i="34"/>
  <c r="AA47" i="34"/>
  <c r="W28" i="37"/>
  <c r="S19" i="39"/>
  <c r="F12" i="33"/>
  <c r="H12" i="39"/>
  <c r="AB12" i="39" s="1"/>
  <c r="F39" i="40"/>
  <c r="BA14" i="3"/>
  <c r="AZ14" i="3"/>
  <c r="AZ224" i="3"/>
  <c r="AZ234" i="3"/>
  <c r="AZ281" i="3"/>
  <c r="AZ297" i="3"/>
  <c r="AZ149" i="3"/>
  <c r="AZ165" i="3"/>
  <c r="AZ189" i="3"/>
  <c r="AZ19" i="3"/>
  <c r="AZ35" i="3"/>
  <c r="S12" i="1"/>
  <c r="R12" i="1"/>
  <c r="B12" i="1"/>
  <c r="E12" i="1" s="1"/>
  <c r="S10" i="1"/>
  <c r="AQ10" i="1" s="1"/>
  <c r="R10" i="1"/>
  <c r="B10" i="1"/>
  <c r="E10" i="1"/>
  <c r="D1" i="66"/>
  <c r="E10" i="66"/>
  <c r="AZ80" i="3"/>
  <c r="AZ84" i="3"/>
  <c r="AZ107" i="3"/>
  <c r="K12" i="1"/>
  <c r="M12" i="1" s="1"/>
  <c r="S13" i="1"/>
  <c r="AR13" i="1" s="1"/>
  <c r="R13" i="1"/>
  <c r="S11" i="1"/>
  <c r="AQ11" i="1"/>
  <c r="R11" i="1"/>
  <c r="S9" i="1"/>
  <c r="AR9" i="1" s="1"/>
  <c r="R9" i="1"/>
  <c r="J51" i="67"/>
  <c r="C42" i="1"/>
  <c r="H100" i="43"/>
  <c r="C30" i="66"/>
  <c r="AC34" i="33"/>
  <c r="B41" i="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s="1"/>
  <c r="U25" i="39"/>
  <c r="AB27" i="39"/>
  <c r="U31" i="39"/>
  <c r="S25" i="39"/>
  <c r="J21" i="39"/>
  <c r="AC21" i="39" s="1"/>
  <c r="F21" i="39"/>
  <c r="G95" i="39"/>
  <c r="H21" i="39"/>
  <c r="W19" i="39"/>
  <c r="U19"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AZ13" i="3" s="1"/>
  <c r="E10" i="6"/>
  <c r="E11" i="6"/>
  <c r="E61" i="39" s="1"/>
  <c r="BL17" i="3"/>
  <c r="AZ17" i="3" s="1"/>
  <c r="BL13" i="3"/>
  <c r="E65" i="39"/>
  <c r="J56" i="9"/>
  <c r="J57" i="9" s="1"/>
  <c r="J59" i="9" s="1"/>
  <c r="J61" i="9" s="1"/>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11" i="43"/>
  <c r="E10" i="43"/>
  <c r="E9" i="43"/>
  <c r="E8" i="43"/>
  <c r="C7" i="43" s="1"/>
  <c r="E81" i="43"/>
  <c r="B79" i="43" s="1"/>
  <c r="F109" i="43"/>
  <c r="AJ11" i="43"/>
  <c r="AJ13" i="43" s="1"/>
  <c r="AH11" i="43"/>
  <c r="AF11" i="43"/>
  <c r="AD11" i="43"/>
  <c r="AB11" i="43"/>
  <c r="AB13" i="43" s="1"/>
  <c r="Z11" i="43"/>
  <c r="Z7" i="43"/>
  <c r="S5" i="43"/>
  <c r="AI11" i="43"/>
  <c r="AI13" i="43" s="1"/>
  <c r="AG11" i="43"/>
  <c r="AE11" i="43"/>
  <c r="AE13" i="43" s="1"/>
  <c r="AC11" i="43"/>
  <c r="AA11" i="43"/>
  <c r="AA13" i="43" s="1"/>
  <c r="Y11" i="43"/>
  <c r="Y13" i="43" s="1"/>
  <c r="E48" i="43"/>
  <c r="B46" i="43" s="1"/>
  <c r="E70" i="43"/>
  <c r="B68" i="43" s="1"/>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0" i="11"/>
  <c r="F28" i="67"/>
  <c r="F31" i="12"/>
  <c r="F52" i="9"/>
  <c r="M18" i="67"/>
  <c r="F32" i="67"/>
  <c r="F60" i="67" s="1"/>
  <c r="F30" i="69"/>
  <c r="F32" i="15"/>
  <c r="F60" i="15" s="1"/>
  <c r="M18" i="15"/>
  <c r="F28" i="15"/>
  <c r="C28" i="15" s="1"/>
  <c r="E63" i="39"/>
  <c r="T11" i="1"/>
  <c r="D19" i="12"/>
  <c r="C19" i="12" s="1"/>
  <c r="AR11" i="1"/>
  <c r="T9" i="1"/>
  <c r="T13" i="1"/>
  <c r="S7" i="1"/>
  <c r="AQ7" i="1" s="1"/>
  <c r="E7" i="70"/>
  <c r="AA39" i="40"/>
  <c r="S39" i="40"/>
  <c r="S12" i="33"/>
  <c r="AA12" i="33"/>
  <c r="D68" i="9"/>
  <c r="F54" i="9"/>
  <c r="J32" i="39"/>
  <c r="H107" i="39"/>
  <c r="I107" i="39" s="1"/>
  <c r="J107" i="39" s="1"/>
  <c r="K107" i="39" s="1"/>
  <c r="L107" i="39" s="1"/>
  <c r="M107" i="39" s="1"/>
  <c r="H32" i="39"/>
  <c r="U32" i="39" s="1"/>
  <c r="AA32" i="39"/>
  <c r="S32" i="39"/>
  <c r="AB21" i="39"/>
  <c r="U21" i="39"/>
  <c r="AA21" i="39"/>
  <c r="S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S6" i="43"/>
  <c r="C23" i="43"/>
  <c r="C21" i="43" s="1"/>
  <c r="S4" i="43"/>
  <c r="S3" i="43"/>
  <c r="S7" i="43"/>
  <c r="J22" i="43"/>
  <c r="E102" i="43"/>
  <c r="E106" i="43"/>
  <c r="E103" i="43"/>
  <c r="M102" i="43"/>
  <c r="M106" i="43"/>
  <c r="M103" i="43"/>
  <c r="H102" i="43"/>
  <c r="H103" i="43"/>
  <c r="H104" i="43"/>
  <c r="H109" i="43"/>
  <c r="I102" i="43"/>
  <c r="I104" i="43"/>
  <c r="I106" i="43"/>
  <c r="I107" i="43"/>
  <c r="I103" i="43"/>
  <c r="I105" i="43"/>
  <c r="D103" i="43"/>
  <c r="D105" i="43"/>
  <c r="D104" i="43"/>
  <c r="D106" i="43"/>
  <c r="D107" i="43"/>
  <c r="D102" i="43"/>
  <c r="L102" i="43"/>
  <c r="L106" i="43"/>
  <c r="L105" i="43"/>
  <c r="L107" i="43"/>
  <c r="L104" i="43"/>
  <c r="L103" i="43"/>
  <c r="AR8" i="1"/>
  <c r="T8" i="1"/>
  <c r="R22" i="31"/>
  <c r="AP7" i="1"/>
  <c r="C36" i="69" s="1"/>
  <c r="AC33" i="21"/>
  <c r="S33" i="21"/>
  <c r="AA33" i="21"/>
  <c r="W32" i="21"/>
  <c r="AB9" i="21"/>
  <c r="AA32" i="21"/>
  <c r="S32" i="21"/>
  <c r="W9" i="21"/>
  <c r="AC9" i="21"/>
  <c r="AB32" i="21"/>
  <c r="U32" i="21"/>
  <c r="AA10" i="21"/>
  <c r="AR7" i="1"/>
  <c r="AB32" i="39"/>
  <c r="AC32" i="39"/>
  <c r="W32" i="39"/>
  <c r="AC19" i="37"/>
  <c r="W23" i="37"/>
  <c r="AC23" i="37"/>
  <c r="U11" i="37"/>
  <c r="H63" i="37"/>
  <c r="I63" i="37"/>
  <c r="J63" i="37" s="1"/>
  <c r="K63" i="37" s="1"/>
  <c r="L63" i="37" s="1"/>
  <c r="M63" i="37" s="1"/>
  <c r="J11" i="37"/>
  <c r="W11" i="37" s="1"/>
  <c r="W10" i="37"/>
  <c r="AC10" i="37"/>
  <c r="U11" i="34"/>
  <c r="AC10" i="34"/>
  <c r="W10" i="34"/>
  <c r="H70" i="34"/>
  <c r="I70" i="34" s="1"/>
  <c r="J70" i="34" s="1"/>
  <c r="K70" i="34" s="1"/>
  <c r="L70" i="34" s="1"/>
  <c r="M70" i="34" s="1"/>
  <c r="J11" i="34"/>
  <c r="AC36" i="33"/>
  <c r="W36" i="33"/>
  <c r="AB36" i="33"/>
  <c r="AC27" i="33"/>
  <c r="AC25" i="33"/>
  <c r="AA23" i="33"/>
  <c r="S23" i="33"/>
  <c r="S17" i="33"/>
  <c r="U17" i="33"/>
  <c r="AB17" i="33"/>
  <c r="U23" i="21"/>
  <c r="AB23" i="21"/>
  <c r="AC11" i="37"/>
  <c r="W11" i="34"/>
  <c r="AC11" i="34"/>
  <c r="R7" i="1"/>
  <c r="F34" i="11"/>
  <c r="C36" i="11" s="1"/>
  <c r="F11" i="12"/>
  <c r="C23" i="12" s="1"/>
  <c r="F34" i="68"/>
  <c r="R8" i="1"/>
  <c r="AE7" i="1"/>
  <c r="AE8" i="1"/>
  <c r="AG6" i="1"/>
  <c r="H109" i="9"/>
  <c r="D16" i="53" s="1"/>
  <c r="H110" i="9"/>
  <c r="D18" i="53" s="1"/>
  <c r="B35" i="72" s="1"/>
  <c r="D124" i="9"/>
  <c r="H14" i="74" s="1"/>
  <c r="B7" i="74" s="1"/>
  <c r="H112" i="9"/>
  <c r="D21" i="53" s="1"/>
  <c r="B39" i="72" s="1"/>
  <c r="H111" i="9"/>
  <c r="D126" i="9"/>
  <c r="I14" i="74" s="1"/>
  <c r="B8" i="74" s="1"/>
  <c r="D19" i="53"/>
  <c r="B38" i="72"/>
  <c r="D20" i="53"/>
  <c r="B40" i="72"/>
  <c r="AD3" i="71"/>
  <c r="J1" i="73"/>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AB17" i="71"/>
  <c r="X15" i="71"/>
  <c r="X14" i="71"/>
  <c r="AA15" i="71"/>
  <c r="AA14" i="71"/>
  <c r="X18" i="71"/>
  <c r="Y14" i="71"/>
  <c r="Z14" i="71" s="1"/>
  <c r="AB15" i="71"/>
  <c r="AB14" i="71"/>
  <c r="Y15" i="71"/>
  <c r="Z15" i="71" s="1"/>
  <c r="X3" i="71"/>
  <c r="E16" i="71"/>
  <c r="E15" i="71" s="1"/>
  <c r="G20" i="43"/>
  <c r="E41" i="43" s="1"/>
  <c r="C41" i="43" s="1"/>
  <c r="G17" i="43"/>
  <c r="C16" i="43" s="1"/>
  <c r="M9" i="67"/>
  <c r="M28" i="67"/>
  <c r="D4" i="73"/>
  <c r="E11" i="76"/>
  <c r="F4" i="73"/>
  <c r="D2" i="21"/>
  <c r="M6" i="67"/>
  <c r="D2" i="37"/>
  <c r="F5" i="73"/>
  <c r="F13" i="15"/>
  <c r="F6" i="67"/>
  <c r="E13" i="76"/>
  <c r="D2" i="35"/>
  <c r="M23" i="67"/>
  <c r="L48" i="67"/>
  <c r="AO9" i="1"/>
  <c r="F38" i="15"/>
  <c r="F7" i="67"/>
  <c r="M27" i="67"/>
  <c r="F43" i="67"/>
  <c r="B7" i="76"/>
  <c r="F37" i="67"/>
  <c r="F43" i="15"/>
  <c r="M26" i="67"/>
  <c r="J15" i="15"/>
  <c r="E12" i="76"/>
  <c r="D3" i="73"/>
  <c r="E7" i="76"/>
  <c r="E10" i="76"/>
  <c r="F6" i="73"/>
  <c r="F9" i="15"/>
  <c r="F42" i="67"/>
  <c r="E8" i="76"/>
  <c r="C76" i="15"/>
  <c r="D2" i="36"/>
  <c r="B10" i="76"/>
  <c r="F8" i="67"/>
  <c r="D7" i="73"/>
  <c r="F26" i="15"/>
  <c r="B13" i="76"/>
  <c r="F36" i="67"/>
  <c r="M9" i="15"/>
  <c r="F20" i="31"/>
  <c r="M23" i="15"/>
  <c r="M29" i="15"/>
  <c r="M28" i="15"/>
  <c r="B9" i="76"/>
  <c r="F36" i="15"/>
  <c r="D35" i="9"/>
  <c r="M29" i="67"/>
  <c r="F41" i="67"/>
  <c r="M27" i="15"/>
  <c r="J15" i="67"/>
  <c r="D2" i="33"/>
  <c r="M22" i="15"/>
  <c r="F13" i="67"/>
  <c r="AO12" i="1"/>
  <c r="F16" i="15"/>
  <c r="F35" i="67"/>
  <c r="F40" i="67"/>
  <c r="E9" i="76"/>
  <c r="AO8" i="1"/>
  <c r="E2" i="69"/>
  <c r="AO13" i="1"/>
  <c r="F37" i="15"/>
  <c r="F6" i="15"/>
  <c r="E2" i="68"/>
  <c r="F38" i="67"/>
  <c r="M6" i="15"/>
  <c r="AO11" i="1"/>
  <c r="AO10" i="1"/>
  <c r="D5" i="73"/>
  <c r="F7" i="73"/>
  <c r="L48" i="15"/>
  <c r="F16" i="67"/>
  <c r="B12" i="76"/>
  <c r="M26" i="15"/>
  <c r="L47" i="15"/>
  <c r="F40" i="15"/>
  <c r="L47" i="67"/>
  <c r="F26" i="67"/>
  <c r="D2" i="34"/>
  <c r="D6" i="73"/>
  <c r="M22" i="67"/>
  <c r="M24" i="67"/>
  <c r="M8" i="15"/>
  <c r="M24" i="15"/>
  <c r="F3" i="73"/>
  <c r="F8" i="15"/>
  <c r="F7" i="15"/>
  <c r="AO7" i="1"/>
  <c r="B8" i="76"/>
  <c r="F42" i="15"/>
  <c r="M8" i="67"/>
  <c r="M21" i="67"/>
  <c r="B11" i="76"/>
  <c r="C76" i="67"/>
  <c r="D34" i="9"/>
  <c r="F9" i="67"/>
  <c r="U29" i="39" l="1"/>
  <c r="W29" i="39"/>
  <c r="S29" i="39"/>
  <c r="W23" i="39"/>
  <c r="F91" i="39"/>
  <c r="G91" i="39" s="1"/>
  <c r="F17" i="39"/>
  <c r="H17" i="39"/>
  <c r="AB17" i="39" s="1"/>
  <c r="J17" i="39"/>
  <c r="U17" i="39"/>
  <c r="D5" i="43"/>
  <c r="C5" i="43"/>
  <c r="T14" i="43" s="1"/>
  <c r="V14" i="43" s="1"/>
  <c r="AZ127" i="3"/>
  <c r="AC12" i="36"/>
  <c r="W12" i="36"/>
  <c r="W12" i="40"/>
  <c r="AC12" i="40"/>
  <c r="W23" i="21"/>
  <c r="U19" i="33"/>
  <c r="F48" i="9"/>
  <c r="O52" i="9" s="1"/>
  <c r="F53" i="9"/>
  <c r="B115" i="43"/>
  <c r="C115" i="43" s="1"/>
  <c r="D117" i="43"/>
  <c r="E117" i="43" s="1"/>
  <c r="F117" i="43" s="1"/>
  <c r="G117" i="43" s="1"/>
  <c r="H117" i="43" s="1"/>
  <c r="AZ163" i="3"/>
  <c r="AC24" i="36"/>
  <c r="W24" i="36"/>
  <c r="AC32" i="40"/>
  <c r="W32" i="40"/>
  <c r="F29" i="6"/>
  <c r="AZ391" i="3"/>
  <c r="AZ349" i="3"/>
  <c r="AZ389" i="3"/>
  <c r="AZ342" i="3"/>
  <c r="AZ152" i="3"/>
  <c r="AZ362" i="3"/>
  <c r="AZ583" i="3"/>
  <c r="AZ548" i="3"/>
  <c r="BL586" i="3"/>
  <c r="AZ586" i="3" s="1"/>
  <c r="BL585" i="3"/>
  <c r="AZ585" i="3" s="1"/>
  <c r="AB33" i="40"/>
  <c r="AA25" i="21"/>
  <c r="AC12" i="37"/>
  <c r="W40" i="37"/>
  <c r="U11" i="33"/>
  <c r="U43" i="33"/>
  <c r="AZ495" i="3"/>
  <c r="AZ513" i="3"/>
  <c r="AZ567" i="3"/>
  <c r="AZ575" i="3"/>
  <c r="AZ511" i="3"/>
  <c r="AZ515" i="3"/>
  <c r="AZ519" i="3"/>
  <c r="AZ565" i="3"/>
  <c r="AZ569" i="3"/>
  <c r="AZ573" i="3"/>
  <c r="AZ577" i="3"/>
  <c r="AZ587" i="3"/>
  <c r="AZ504" i="3"/>
  <c r="AZ520" i="3"/>
  <c r="AZ534" i="3"/>
  <c r="AZ542" i="3"/>
  <c r="AZ556" i="3"/>
  <c r="S44" i="34"/>
  <c r="U13" i="33"/>
  <c r="AB45" i="33"/>
  <c r="AA14" i="34"/>
  <c r="AB46" i="34"/>
  <c r="W11" i="36"/>
  <c r="U46" i="33"/>
  <c r="S28" i="34"/>
  <c r="S41" i="33"/>
  <c r="AB23" i="34"/>
  <c r="W33" i="37"/>
  <c r="AC11" i="40"/>
  <c r="F9" i="34"/>
  <c r="G570" i="3"/>
  <c r="G556" i="3"/>
  <c r="BL550" i="3"/>
  <c r="BA550" i="3"/>
  <c r="AZ550" i="3" s="1"/>
  <c r="G526" i="3"/>
  <c r="A15" i="62"/>
  <c r="B61" i="72" s="1"/>
  <c r="G398" i="3"/>
  <c r="BL398" i="3"/>
  <c r="AZ398" i="3" s="1"/>
  <c r="BA399" i="3"/>
  <c r="AZ399" i="3" s="1"/>
  <c r="BL401" i="3"/>
  <c r="AZ401" i="3" s="1"/>
  <c r="G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G441" i="3"/>
  <c r="G442" i="3"/>
  <c r="BA445" i="3"/>
  <c r="AZ445" i="3" s="1"/>
  <c r="BA446" i="3"/>
  <c r="BL446" i="3"/>
  <c r="G448" i="3"/>
  <c r="BL448" i="3"/>
  <c r="G450" i="3"/>
  <c r="BA453" i="3"/>
  <c r="AZ453" i="3" s="1"/>
  <c r="BA454" i="3"/>
  <c r="BL454" i="3"/>
  <c r="G456" i="3"/>
  <c r="BL456" i="3"/>
  <c r="BA459" i="3"/>
  <c r="BL459" i="3"/>
  <c r="BA460" i="3"/>
  <c r="AZ460" i="3" s="1"/>
  <c r="G465" i="3"/>
  <c r="G466" i="3"/>
  <c r="BL466" i="3"/>
  <c r="BA467" i="3"/>
  <c r="AZ467" i="3" s="1"/>
  <c r="G472" i="3"/>
  <c r="BL472" i="3"/>
  <c r="BA474" i="3"/>
  <c r="AZ474" i="3" s="1"/>
  <c r="BA476" i="3"/>
  <c r="AZ476" i="3" s="1"/>
  <c r="BA477" i="3"/>
  <c r="AZ477" i="3" s="1"/>
  <c r="BL477" i="3"/>
  <c r="G479" i="3"/>
  <c r="BL479" i="3"/>
  <c r="G481" i="3"/>
  <c r="BA482" i="3"/>
  <c r="AZ482" i="3" s="1"/>
  <c r="BA484" i="3"/>
  <c r="AZ484" i="3" s="1"/>
  <c r="BA486" i="3"/>
  <c r="AZ486" i="3" s="1"/>
  <c r="BA487" i="3"/>
  <c r="AZ487" i="3" s="1"/>
  <c r="BL487" i="3"/>
  <c r="G489" i="3"/>
  <c r="BL489" i="3"/>
  <c r="BL491" i="3"/>
  <c r="AZ491" i="3" s="1"/>
  <c r="G311" i="3"/>
  <c r="G315" i="3"/>
  <c r="BA317" i="3"/>
  <c r="AZ317" i="3" s="1"/>
  <c r="G327" i="3"/>
  <c r="G331" i="3"/>
  <c r="BA333" i="3"/>
  <c r="AZ333" i="3" s="1"/>
  <c r="G343" i="3"/>
  <c r="BA348" i="3"/>
  <c r="AZ348" i="3" s="1"/>
  <c r="BA349" i="3"/>
  <c r="G351" i="3"/>
  <c r="BA354" i="3"/>
  <c r="AZ354" i="3" s="1"/>
  <c r="AZ231" i="3"/>
  <c r="AZ270" i="3"/>
  <c r="BA551" i="3"/>
  <c r="AZ551" i="3" s="1"/>
  <c r="BL548" i="3"/>
  <c r="BL16" i="3"/>
  <c r="AZ406" i="3"/>
  <c r="AZ413" i="3"/>
  <c r="AZ424" i="3"/>
  <c r="AZ429" i="3"/>
  <c r="AZ443" i="3"/>
  <c r="AZ451" i="3"/>
  <c r="AZ466" i="3"/>
  <c r="AZ472" i="3"/>
  <c r="G366" i="3"/>
  <c r="BA367" i="3"/>
  <c r="AZ367" i="3" s="1"/>
  <c r="BA370" i="3"/>
  <c r="AZ370" i="3" s="1"/>
  <c r="BA374" i="3"/>
  <c r="AZ374" i="3" s="1"/>
  <c r="G380" i="3"/>
  <c r="G384" i="3"/>
  <c r="BA386" i="3"/>
  <c r="AZ386" i="3" s="1"/>
  <c r="BA395" i="3"/>
  <c r="AZ395" i="3" s="1"/>
  <c r="BA396" i="3"/>
  <c r="AZ396" i="3" s="1"/>
  <c r="BA208" i="3"/>
  <c r="AZ208" i="3" s="1"/>
  <c r="BA209" i="3"/>
  <c r="AZ209" i="3" s="1"/>
  <c r="BA211" i="3"/>
  <c r="AZ211" i="3" s="1"/>
  <c r="BL213" i="3"/>
  <c r="AZ213" i="3" s="1"/>
  <c r="BL215" i="3"/>
  <c r="AZ215" i="3" s="1"/>
  <c r="BA216" i="3"/>
  <c r="AZ216" i="3" s="1"/>
  <c r="BL218" i="3"/>
  <c r="AZ218" i="3" s="1"/>
  <c r="G220" i="3"/>
  <c r="BL220" i="3"/>
  <c r="G222" i="3"/>
  <c r="G223" i="3"/>
  <c r="G224" i="3"/>
  <c r="G225" i="3"/>
  <c r="BL225" i="3"/>
  <c r="G227" i="3"/>
  <c r="G228" i="3"/>
  <c r="BL228" i="3"/>
  <c r="G231" i="3"/>
  <c r="BL231" i="3"/>
  <c r="BL233" i="3"/>
  <c r="AZ233" i="3" s="1"/>
  <c r="BL235" i="3"/>
  <c r="AZ235" i="3" s="1"/>
  <c r="BA236" i="3"/>
  <c r="AZ236" i="3" s="1"/>
  <c r="BA237" i="3"/>
  <c r="AZ237" i="3" s="1"/>
  <c r="BA238" i="3"/>
  <c r="AZ238" i="3" s="1"/>
  <c r="BL240" i="3"/>
  <c r="AZ240" i="3" s="1"/>
  <c r="G243" i="3"/>
  <c r="G244" i="3"/>
  <c r="BL244" i="3"/>
  <c r="AZ244" i="3" s="1"/>
  <c r="BA246" i="3"/>
  <c r="AZ246" i="3" s="1"/>
  <c r="BL248" i="3"/>
  <c r="AZ248" i="3" s="1"/>
  <c r="BL250" i="3"/>
  <c r="AZ250" i="3" s="1"/>
  <c r="BA252" i="3"/>
  <c r="AZ252" i="3" s="1"/>
  <c r="BA253" i="3"/>
  <c r="AZ253" i="3" s="1"/>
  <c r="BA254" i="3"/>
  <c r="AZ254" i="3" s="1"/>
  <c r="BL256" i="3"/>
  <c r="AZ256" i="3" s="1"/>
  <c r="BA258" i="3"/>
  <c r="AZ258" i="3" s="1"/>
  <c r="BA259" i="3"/>
  <c r="AZ259" i="3" s="1"/>
  <c r="BL261" i="3"/>
  <c r="AZ261" i="3" s="1"/>
  <c r="BA262" i="3"/>
  <c r="AZ262" i="3" s="1"/>
  <c r="BA263" i="3"/>
  <c r="AZ263" i="3" s="1"/>
  <c r="BL265" i="3"/>
  <c r="AZ265" i="3" s="1"/>
  <c r="G268" i="3"/>
  <c r="G269" i="3"/>
  <c r="G270" i="3"/>
  <c r="BL270" i="3"/>
  <c r="BA272" i="3"/>
  <c r="AZ272" i="3" s="1"/>
  <c r="BA273" i="3"/>
  <c r="AZ273" i="3" s="1"/>
  <c r="BL275" i="3"/>
  <c r="AZ275" i="3" s="1"/>
  <c r="BA276" i="3"/>
  <c r="AZ276" i="3" s="1"/>
  <c r="G279" i="3"/>
  <c r="G280" i="3"/>
  <c r="G281" i="3"/>
  <c r="G282" i="3"/>
  <c r="BL282" i="3"/>
  <c r="AZ282" i="3" s="1"/>
  <c r="BA284" i="3"/>
  <c r="AZ284" i="3" s="1"/>
  <c r="BL286" i="3"/>
  <c r="AZ286" i="3" s="1"/>
  <c r="BL288" i="3"/>
  <c r="AZ288" i="3" s="1"/>
  <c r="BA289" i="3"/>
  <c r="AZ289" i="3" s="1"/>
  <c r="BL291" i="3"/>
  <c r="AZ291" i="3" s="1"/>
  <c r="G293" i="3"/>
  <c r="BL293" i="3"/>
  <c r="G295" i="3"/>
  <c r="G296" i="3"/>
  <c r="G297" i="3"/>
  <c r="G298" i="3"/>
  <c r="BL298" i="3"/>
  <c r="G301" i="3"/>
  <c r="BL301" i="3"/>
  <c r="BA302" i="3"/>
  <c r="AZ302" i="3" s="1"/>
  <c r="G114" i="3"/>
  <c r="G115" i="3"/>
  <c r="BL117" i="3"/>
  <c r="AZ117" i="3" s="1"/>
  <c r="G119" i="3"/>
  <c r="G122" i="3"/>
  <c r="BL122" i="3"/>
  <c r="BA124" i="3"/>
  <c r="AZ124" i="3" s="1"/>
  <c r="BL125" i="3"/>
  <c r="BA126" i="3"/>
  <c r="AZ126" i="3" s="1"/>
  <c r="BL127" i="3"/>
  <c r="G130" i="3"/>
  <c r="G131" i="3"/>
  <c r="BL133" i="3"/>
  <c r="AZ133" i="3" s="1"/>
  <c r="BA134" i="3"/>
  <c r="AZ134" i="3" s="1"/>
  <c r="BL135" i="3"/>
  <c r="AZ135" i="3" s="1"/>
  <c r="G138" i="3"/>
  <c r="G139" i="3"/>
  <c r="G142" i="3"/>
  <c r="G143" i="3"/>
  <c r="BA145" i="3"/>
  <c r="AZ145" i="3" s="1"/>
  <c r="BA146" i="3"/>
  <c r="AZ146" i="3" s="1"/>
  <c r="BL147" i="3"/>
  <c r="AZ147" i="3" s="1"/>
  <c r="BL150" i="3"/>
  <c r="AZ150" i="3" s="1"/>
  <c r="BA152" i="3"/>
  <c r="BL153" i="3"/>
  <c r="AZ153" i="3" s="1"/>
  <c r="G156" i="3"/>
  <c r="BA157" i="3"/>
  <c r="AZ157" i="3" s="1"/>
  <c r="BA158" i="3"/>
  <c r="AZ158" i="3" s="1"/>
  <c r="BL159" i="3"/>
  <c r="AZ159" i="3" s="1"/>
  <c r="BA161" i="3"/>
  <c r="AZ161" i="3" s="1"/>
  <c r="BA162" i="3"/>
  <c r="AZ162" i="3" s="1"/>
  <c r="BL163" i="3"/>
  <c r="BL166" i="3"/>
  <c r="AZ166" i="3" s="1"/>
  <c r="BA168" i="3"/>
  <c r="AZ168" i="3" s="1"/>
  <c r="BL169" i="3"/>
  <c r="AZ169" i="3" s="1"/>
  <c r="G172" i="3"/>
  <c r="BA173" i="3"/>
  <c r="AZ173" i="3" s="1"/>
  <c r="BA174" i="3"/>
  <c r="AZ174" i="3" s="1"/>
  <c r="BL175" i="3"/>
  <c r="AZ175" i="3" s="1"/>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5" i="3" s="1"/>
  <c r="B3" i="3" s="1"/>
  <c r="G20" i="3"/>
  <c r="G21" i="3"/>
  <c r="G22" i="3"/>
  <c r="BL22" i="3"/>
  <c r="BA23" i="3"/>
  <c r="BA24" i="3"/>
  <c r="AZ24" i="3" s="1"/>
  <c r="BL26" i="3"/>
  <c r="AZ26" i="3" s="1"/>
  <c r="G28" i="3"/>
  <c r="G29" i="3"/>
  <c r="G30" i="3"/>
  <c r="BL30" i="3"/>
  <c r="AZ30" i="3" s="1"/>
  <c r="BL32" i="3"/>
  <c r="AZ32" i="3" s="1"/>
  <c r="G35" i="3"/>
  <c r="G36" i="3"/>
  <c r="BL36" i="3"/>
  <c r="AZ36" i="3" s="1"/>
  <c r="BA38" i="3"/>
  <c r="AZ38" i="3" s="1"/>
  <c r="BA39" i="3"/>
  <c r="AZ39" i="3" s="1"/>
  <c r="BL41" i="3"/>
  <c r="AZ41" i="3" s="1"/>
  <c r="BL43" i="3"/>
  <c r="AZ43" i="3" s="1"/>
  <c r="BA44" i="3"/>
  <c r="AZ44" i="3" s="1"/>
  <c r="BA45" i="3"/>
  <c r="AZ45" i="3" s="1"/>
  <c r="BL47" i="3"/>
  <c r="AZ47" i="3" s="1"/>
  <c r="AZ301" i="3"/>
  <c r="AZ122" i="3"/>
  <c r="AZ125" i="3"/>
  <c r="AZ22" i="3"/>
  <c r="G10" i="1"/>
  <c r="C39" i="71"/>
  <c r="D38" i="71"/>
  <c r="D46" i="71"/>
  <c r="C47" i="71"/>
  <c r="G49" i="3"/>
  <c r="BL49" i="3"/>
  <c r="AZ49" i="3" s="1"/>
  <c r="BL51" i="3"/>
  <c r="AZ51" i="3" s="1"/>
  <c r="G53" i="3"/>
  <c r="G54" i="3"/>
  <c r="BL54" i="3"/>
  <c r="G57" i="3"/>
  <c r="BL57" i="3"/>
  <c r="AZ57" i="3" s="1"/>
  <c r="BL59" i="3"/>
  <c r="AZ59" i="3" s="1"/>
  <c r="BA60" i="3"/>
  <c r="AZ60" i="3" s="1"/>
  <c r="BA61" i="3"/>
  <c r="AZ61" i="3" s="1"/>
  <c r="BL63" i="3"/>
  <c r="AZ63" i="3" s="1"/>
  <c r="G65" i="3"/>
  <c r="BL65" i="3"/>
  <c r="AZ65" i="3" s="1"/>
  <c r="BL67" i="3"/>
  <c r="AZ67" i="3" s="1"/>
  <c r="G69" i="3"/>
  <c r="G70" i="3"/>
  <c r="BL70" i="3"/>
  <c r="BL72" i="3"/>
  <c r="AZ72" i="3" s="1"/>
  <c r="G74" i="3"/>
  <c r="G75" i="3"/>
  <c r="G76" i="3"/>
  <c r="BL76" i="3"/>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T55" i="71"/>
  <c r="D55" i="71"/>
  <c r="D33" i="71"/>
  <c r="C34" i="71"/>
  <c r="C35" i="71" s="1"/>
  <c r="BA100" i="3"/>
  <c r="AZ100" i="3" s="1"/>
  <c r="BA101" i="3"/>
  <c r="AZ101" i="3" s="1"/>
  <c r="BA102" i="3"/>
  <c r="AZ102" i="3" s="1"/>
  <c r="G105" i="3"/>
  <c r="G106" i="3"/>
  <c r="BL106" i="3"/>
  <c r="AZ106" i="3" s="1"/>
  <c r="BA108" i="3"/>
  <c r="AZ108" i="3" s="1"/>
  <c r="BA109" i="3"/>
  <c r="AZ109" i="3" s="1"/>
  <c r="BA110" i="3"/>
  <c r="AZ110" i="3" s="1"/>
  <c r="BA111" i="3"/>
  <c r="AZ111" i="3" s="1"/>
  <c r="V23" i="71"/>
  <c r="AB23" i="71"/>
  <c r="F22" i="71"/>
  <c r="F21" i="71" s="1"/>
  <c r="C29" i="71"/>
  <c r="D29" i="71" s="1"/>
  <c r="AB26" i="71"/>
  <c r="B38" i="71"/>
  <c r="B39" i="71" s="1"/>
  <c r="S39" i="71" s="1"/>
  <c r="AJ10" i="43"/>
  <c r="AA13" i="71"/>
  <c r="V19" i="71"/>
  <c r="M100" i="43"/>
  <c r="I100" i="43"/>
  <c r="E100" i="43"/>
  <c r="D100" i="43"/>
  <c r="C29" i="39"/>
  <c r="B66" i="43"/>
  <c r="C70" i="39"/>
  <c r="D68" i="39"/>
  <c r="D70" i="39" s="1"/>
  <c r="C7" i="36"/>
  <c r="C46" i="36" s="1"/>
  <c r="D46" i="36" s="1"/>
  <c r="E46" i="36" s="1"/>
  <c r="F46" i="36" s="1"/>
  <c r="G46" i="36" s="1"/>
  <c r="H46" i="36" s="1"/>
  <c r="I46" i="36" s="1"/>
  <c r="J51" i="15"/>
  <c r="C92" i="9"/>
  <c r="C94" i="9"/>
  <c r="C40" i="68"/>
  <c r="C21" i="68"/>
  <c r="C5" i="11"/>
  <c r="S11" i="39"/>
  <c r="W8" i="39"/>
  <c r="E109" i="43"/>
  <c r="H105" i="43"/>
  <c r="H106" i="43"/>
  <c r="M105" i="43"/>
  <c r="M107" i="43"/>
  <c r="M104" i="43"/>
  <c r="E105" i="43"/>
  <c r="E107" i="43"/>
  <c r="AQ9" i="1"/>
  <c r="E59" i="40"/>
  <c r="E16" i="6"/>
  <c r="D9" i="69"/>
  <c r="C9" i="69" s="1"/>
  <c r="E66" i="39"/>
  <c r="E29" i="6"/>
  <c r="K15" i="1" s="1"/>
  <c r="F30" i="6"/>
  <c r="T7" i="1"/>
  <c r="P6" i="1"/>
  <c r="L27" i="6"/>
  <c r="F31" i="6"/>
  <c r="E68" i="39"/>
  <c r="B34" i="72"/>
  <c r="D17" i="53"/>
  <c r="B36" i="72" s="1"/>
  <c r="D125" i="9"/>
  <c r="D11" i="52" s="1"/>
  <c r="D10" i="52"/>
  <c r="E14" i="71"/>
  <c r="E13" i="71" s="1"/>
  <c r="E12" i="71" s="1"/>
  <c r="E11" i="71" s="1"/>
  <c r="V15" i="71"/>
  <c r="U45" i="21"/>
  <c r="AB45" i="21"/>
  <c r="P11" i="1"/>
  <c r="G30" i="6"/>
  <c r="G31" i="6" s="1"/>
  <c r="E28" i="6"/>
  <c r="C20" i="43"/>
  <c r="D12" i="52"/>
  <c r="D127" i="9"/>
  <c r="D13" i="52" s="1"/>
  <c r="F48" i="69"/>
  <c r="C48" i="69"/>
  <c r="C48" i="11"/>
  <c r="C30" i="11"/>
  <c r="M7" i="1"/>
  <c r="Q16" i="1"/>
  <c r="H16" i="1"/>
  <c r="O12" i="1"/>
  <c r="P12" i="1" s="1"/>
  <c r="E56" i="40"/>
  <c r="U44" i="34"/>
  <c r="AB27" i="36"/>
  <c r="U12" i="39"/>
  <c r="AA27" i="40"/>
  <c r="AB27" i="40"/>
  <c r="AA34" i="33"/>
  <c r="D113" i="43"/>
  <c r="AZ321" i="3"/>
  <c r="AZ521" i="3"/>
  <c r="S12" i="34"/>
  <c r="AA12" i="34"/>
  <c r="C31" i="12"/>
  <c r="W9" i="34"/>
  <c r="AC9" i="34"/>
  <c r="AC34" i="35"/>
  <c r="W34" i="35"/>
  <c r="AB11" i="36"/>
  <c r="AA14" i="33"/>
  <c r="AA44" i="33"/>
  <c r="H9" i="34"/>
  <c r="F34" i="35"/>
  <c r="H34" i="35"/>
  <c r="J36" i="35"/>
  <c r="P13" i="1"/>
  <c r="B7" i="1"/>
  <c r="E7" i="1" s="1"/>
  <c r="F3" i="35"/>
  <c r="C31" i="66"/>
  <c r="E26" i="66" s="1"/>
  <c r="C32" i="66"/>
  <c r="F40" i="69"/>
  <c r="C21" i="69"/>
  <c r="C40" i="69"/>
  <c r="AB18" i="36"/>
  <c r="U18" i="36"/>
  <c r="D34" i="71"/>
  <c r="Y29" i="71"/>
  <c r="Z29" i="71" s="1"/>
  <c r="Y28" i="71"/>
  <c r="Z28" i="71" s="1"/>
  <c r="Y25" i="71"/>
  <c r="Z25" i="71" s="1"/>
  <c r="C30" i="71"/>
  <c r="Y23" i="71"/>
  <c r="Z23" i="71" s="1"/>
  <c r="X26" i="71"/>
  <c r="X27" i="71"/>
  <c r="X28" i="71"/>
  <c r="X30" i="71"/>
  <c r="B31" i="71"/>
  <c r="S31" i="71" s="1"/>
  <c r="C42" i="71"/>
  <c r="D42" i="71" s="1"/>
  <c r="D41" i="71"/>
  <c r="C51" i="71"/>
  <c r="D50" i="71"/>
  <c r="A122" i="9"/>
  <c r="A8" i="52" s="1"/>
  <c r="B54" i="72" s="1"/>
  <c r="B13" i="53"/>
  <c r="B29" i="72" s="1"/>
  <c r="X16" i="71"/>
  <c r="X13" i="71"/>
  <c r="P8" i="1"/>
  <c r="AZ405" i="3"/>
  <c r="AZ407" i="3"/>
  <c r="AZ419" i="3"/>
  <c r="AZ435" i="3"/>
  <c r="AZ439" i="3"/>
  <c r="AZ444" i="3"/>
  <c r="AZ448" i="3"/>
  <c r="AZ452" i="3"/>
  <c r="AZ456" i="3"/>
  <c r="AZ458" i="3"/>
  <c r="AZ462" i="3"/>
  <c r="AZ469" i="3"/>
  <c r="AZ475" i="3"/>
  <c r="AZ479" i="3"/>
  <c r="AZ483" i="3"/>
  <c r="AZ485" i="3"/>
  <c r="AZ489" i="3"/>
  <c r="AZ385" i="3"/>
  <c r="AZ397" i="3"/>
  <c r="AZ210" i="3"/>
  <c r="AZ212" i="3"/>
  <c r="AZ220" i="3"/>
  <c r="AZ225" i="3"/>
  <c r="AZ228" i="3"/>
  <c r="AZ247" i="3"/>
  <c r="AZ255" i="3"/>
  <c r="AZ260" i="3"/>
  <c r="AZ274" i="3"/>
  <c r="AZ285" i="3"/>
  <c r="AZ293" i="3"/>
  <c r="AZ298" i="3"/>
  <c r="N61" i="71"/>
  <c r="N60" i="71"/>
  <c r="D49" i="71"/>
  <c r="X29" i="71"/>
  <c r="X25" i="71"/>
  <c r="G7" i="1"/>
  <c r="AZ201" i="3"/>
  <c r="AZ40" i="3"/>
  <c r="AZ54" i="3"/>
  <c r="AZ70" i="3"/>
  <c r="AZ76" i="3"/>
  <c r="AZ90" i="3"/>
  <c r="AZ92" i="3"/>
  <c r="AZ96" i="3"/>
  <c r="AZ112" i="3"/>
  <c r="W18" i="35"/>
  <c r="AC18" i="35"/>
  <c r="B26" i="71"/>
  <c r="B27" i="71" s="1"/>
  <c r="S27" i="71" s="1"/>
  <c r="C23" i="71"/>
  <c r="Y20" i="71"/>
  <c r="Z20" i="71" s="1"/>
  <c r="Y22" i="71"/>
  <c r="Z22" i="71" s="1"/>
  <c r="X20" i="71"/>
  <c r="X22" i="71"/>
  <c r="X21" i="71"/>
  <c r="E25" i="71"/>
  <c r="E26" i="71" s="1"/>
  <c r="E27" i="71" s="1"/>
  <c r="U27" i="71" s="1"/>
  <c r="AA24" i="71"/>
  <c r="AA20" i="71"/>
  <c r="AA22" i="71"/>
  <c r="AA3" i="71"/>
  <c r="AA23" i="71"/>
  <c r="AB25" i="71"/>
  <c r="AB24" i="71"/>
  <c r="AB21" i="71"/>
  <c r="D24" i="67"/>
  <c r="D22" i="67"/>
  <c r="AA18" i="36"/>
  <c r="S18" i="36"/>
  <c r="AB20" i="71"/>
  <c r="AB22" i="71"/>
  <c r="B22" i="71"/>
  <c r="B21" i="71" s="1"/>
  <c r="S23" i="71"/>
  <c r="Y26" i="71"/>
  <c r="Z26" i="71" s="1"/>
  <c r="C27" i="71"/>
  <c r="AB30" i="71"/>
  <c r="AB27" i="71"/>
  <c r="AB28" i="71"/>
  <c r="Y33" i="71"/>
  <c r="Z33" i="71" s="1"/>
  <c r="Y30" i="71"/>
  <c r="Z30" i="71" s="1"/>
  <c r="Y32" i="71"/>
  <c r="Z32" i="71" s="1"/>
  <c r="AA5" i="71"/>
  <c r="AA34" i="71"/>
  <c r="AA29" i="71"/>
  <c r="AA30" i="71"/>
  <c r="AA31" i="71"/>
  <c r="AA33" i="71"/>
  <c r="B54" i="71"/>
  <c r="B55" i="71" s="1"/>
  <c r="S55" i="71" s="1"/>
  <c r="E54" i="71"/>
  <c r="E55" i="71" s="1"/>
  <c r="U55" i="71" s="1"/>
  <c r="C58" i="71"/>
  <c r="O63" i="71"/>
  <c r="C62" i="71"/>
  <c r="V63" i="71"/>
  <c r="F62" i="71"/>
  <c r="T71" i="71"/>
  <c r="C70" i="71"/>
  <c r="Y27" i="71"/>
  <c r="Z27" i="71" s="1"/>
  <c r="Y31" i="71"/>
  <c r="Z31" i="71" s="1"/>
  <c r="Y5" i="71"/>
  <c r="Z5" i="71" s="1"/>
  <c r="Y34" i="71"/>
  <c r="Z34" i="71" s="1"/>
  <c r="V75" i="71"/>
  <c r="F74" i="71"/>
  <c r="F73" i="71" s="1"/>
  <c r="Z12" i="43"/>
  <c r="Z13" i="43" s="1"/>
  <c r="Z10" i="43"/>
  <c r="AD12" i="43"/>
  <c r="AD13" i="43" s="1"/>
  <c r="AD10" i="43"/>
  <c r="AF12" i="43"/>
  <c r="AF13" i="43" s="1"/>
  <c r="AF10" i="43"/>
  <c r="AH12" i="43"/>
  <c r="AH13" i="43" s="1"/>
  <c r="AH10" i="43"/>
  <c r="Y16" i="71"/>
  <c r="Z16" i="71" s="1"/>
  <c r="X5" i="71"/>
  <c r="AC12" i="43"/>
  <c r="AC13" i="43" s="1"/>
  <c r="AC10" i="43"/>
  <c r="AG12" i="43"/>
  <c r="AG13" i="43" s="1"/>
  <c r="AG10" i="43"/>
  <c r="X19" i="71"/>
  <c r="Y17" i="71"/>
  <c r="Z17" i="71" s="1"/>
  <c r="Y18" i="71"/>
  <c r="Z18" i="71" s="1"/>
  <c r="C19" i="71"/>
  <c r="AB18" i="71"/>
  <c r="AB19" i="71"/>
  <c r="Y13" i="71"/>
  <c r="Z13" i="71" s="1"/>
  <c r="AB13" i="71"/>
  <c r="Y8" i="71"/>
  <c r="Z8" i="71" s="1"/>
  <c r="Y12" i="71"/>
  <c r="Z12" i="71" s="1"/>
  <c r="AB12" i="71"/>
  <c r="AB7" i="71"/>
  <c r="Y7" i="71"/>
  <c r="Z7" i="71" s="1"/>
  <c r="X7" i="71"/>
  <c r="Y19" i="71"/>
  <c r="Z19" i="71" s="1"/>
  <c r="F19" i="71"/>
  <c r="F18" i="71" s="1"/>
  <c r="F17" i="71" s="1"/>
  <c r="F16" i="71" s="1"/>
  <c r="F15" i="71" s="1"/>
  <c r="F14" i="71" s="1"/>
  <c r="F13" i="71" s="1"/>
  <c r="F12" i="71" s="1"/>
  <c r="AA18" i="71"/>
  <c r="AA19" i="71"/>
  <c r="X17" i="71"/>
  <c r="B19" i="71"/>
  <c r="AA17" i="71"/>
  <c r="AB16" i="71"/>
  <c r="AA16" i="71"/>
  <c r="X10" i="71"/>
  <c r="X9" i="71"/>
  <c r="X6" i="71"/>
  <c r="AA10" i="71"/>
  <c r="AA9" i="71"/>
  <c r="AA7" i="71"/>
  <c r="AA6" i="71"/>
  <c r="X12" i="71"/>
  <c r="AA12" i="71"/>
  <c r="AB6" i="71"/>
  <c r="AB9" i="71"/>
  <c r="Y9" i="71"/>
  <c r="Z9" i="71" s="1"/>
  <c r="AA8" i="71"/>
  <c r="X8" i="71"/>
  <c r="AB10" i="71"/>
  <c r="AB5" i="71"/>
  <c r="AB8" i="71"/>
  <c r="Y6" i="71"/>
  <c r="Z6"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1" i="71"/>
  <c r="Z11" i="71" s="1"/>
  <c r="Y10" i="71"/>
  <c r="Z10" i="71" s="1"/>
  <c r="AA11" i="71"/>
  <c r="AB3" i="71"/>
  <c r="C35" i="43"/>
  <c r="E35" i="43" s="1"/>
  <c r="C36" i="43"/>
  <c r="E36" i="43" s="1"/>
  <c r="T9" i="43"/>
  <c r="V9" i="43" s="1"/>
  <c r="C39" i="43"/>
  <c r="C37" i="43"/>
  <c r="E37" i="43" s="1"/>
  <c r="X11" i="71"/>
  <c r="AB11" i="71"/>
  <c r="T4" i="43"/>
  <c r="V4" i="43" s="1"/>
  <c r="T15" i="43"/>
  <c r="V15" i="43" s="1"/>
  <c r="T6" i="43"/>
  <c r="V6" i="43" s="1"/>
  <c r="Y3" i="71"/>
  <c r="Z3" i="71" s="1"/>
  <c r="F11" i="71"/>
  <c r="F10" i="71" s="1"/>
  <c r="F9" i="71" s="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7" i="67"/>
  <c r="C16" i="67"/>
  <c r="C36" i="68"/>
  <c r="D9" i="68"/>
  <c r="G1" i="73"/>
  <c r="AC17" i="39" l="1"/>
  <c r="W17" i="39"/>
  <c r="AA17" i="39"/>
  <c r="S17" i="39"/>
  <c r="E76" i="3"/>
  <c r="E195" i="3"/>
  <c r="E179" i="3"/>
  <c r="E143" i="3"/>
  <c r="E122" i="3"/>
  <c r="E297" i="3"/>
  <c r="E268" i="3"/>
  <c r="E224" i="3"/>
  <c r="E222" i="3"/>
  <c r="E567" i="3"/>
  <c r="E165" i="3"/>
  <c r="E390" i="3"/>
  <c r="S6" i="3"/>
  <c r="E523" i="3"/>
  <c r="E506" i="3"/>
  <c r="E338" i="3"/>
  <c r="E321" i="3"/>
  <c r="E169" i="3"/>
  <c r="E61" i="3"/>
  <c r="E290" i="3"/>
  <c r="E117" i="3"/>
  <c r="E77" i="3"/>
  <c r="E253" i="3"/>
  <c r="E199" i="3"/>
  <c r="E313" i="3"/>
  <c r="E519" i="3"/>
  <c r="E532" i="3"/>
  <c r="E573" i="3"/>
  <c r="E529" i="3"/>
  <c r="E458" i="3"/>
  <c r="E474" i="3"/>
  <c r="E527" i="3"/>
  <c r="E438" i="3"/>
  <c r="E457" i="3"/>
  <c r="E288" i="3"/>
  <c r="E562" i="3"/>
  <c r="W6" i="3"/>
  <c r="E571" i="3"/>
  <c r="E498" i="3"/>
  <c r="E494" i="3"/>
  <c r="E419" i="3"/>
  <c r="E452" i="3"/>
  <c r="E483" i="3"/>
  <c r="E470" i="3"/>
  <c r="E401" i="3"/>
  <c r="E420" i="3"/>
  <c r="E463" i="3"/>
  <c r="E26" i="3"/>
  <c r="E40" i="3"/>
  <c r="E104" i="3"/>
  <c r="E25" i="3"/>
  <c r="E41" i="3"/>
  <c r="E108" i="3"/>
  <c r="E198" i="3"/>
  <c r="E202" i="3"/>
  <c r="E242" i="3"/>
  <c r="E226" i="3"/>
  <c r="E276" i="3"/>
  <c r="E332" i="3"/>
  <c r="E346" i="3"/>
  <c r="E391" i="3"/>
  <c r="E333" i="3"/>
  <c r="E356" i="3"/>
  <c r="E372" i="3"/>
  <c r="AL6" i="3"/>
  <c r="L6" i="3"/>
  <c r="E42" i="3"/>
  <c r="E60" i="3"/>
  <c r="E94" i="3"/>
  <c r="E43" i="3"/>
  <c r="E488" i="3"/>
  <c r="E482" i="3"/>
  <c r="E18" i="3"/>
  <c r="E96" i="3"/>
  <c r="E78" i="3"/>
  <c r="E129" i="3"/>
  <c r="E174" i="3"/>
  <c r="E275" i="3"/>
  <c r="E235" i="3"/>
  <c r="E324" i="3"/>
  <c r="E383" i="3"/>
  <c r="E342" i="3"/>
  <c r="E522" i="3"/>
  <c r="E86" i="3"/>
  <c r="E34" i="3"/>
  <c r="E206" i="3"/>
  <c r="E232" i="3"/>
  <c r="E251" i="3"/>
  <c r="E370" i="3"/>
  <c r="AF6" i="3"/>
  <c r="E102" i="3"/>
  <c r="E113" i="3"/>
  <c r="E158" i="3"/>
  <c r="E287" i="3"/>
  <c r="E308" i="3"/>
  <c r="E326" i="3"/>
  <c r="E83" i="3"/>
  <c r="E539" i="3"/>
  <c r="E461" i="3"/>
  <c r="E205" i="3"/>
  <c r="E128" i="3"/>
  <c r="E533" i="3"/>
  <c r="AR6" i="3"/>
  <c r="E561" i="3"/>
  <c r="E538" i="3"/>
  <c r="E216" i="3"/>
  <c r="E185" i="3"/>
  <c r="E135" i="3"/>
  <c r="E161" i="3"/>
  <c r="E149" i="3"/>
  <c r="E212" i="3"/>
  <c r="E167" i="3"/>
  <c r="E141" i="3"/>
  <c r="E330" i="3"/>
  <c r="K6" i="3"/>
  <c r="Q6" i="3"/>
  <c r="E560" i="3"/>
  <c r="E437" i="3"/>
  <c r="E406" i="3"/>
  <c r="E344" i="3"/>
  <c r="E587" i="3"/>
  <c r="AE6" i="3"/>
  <c r="E577" i="3"/>
  <c r="E537" i="3"/>
  <c r="E468" i="3"/>
  <c r="E471" i="3"/>
  <c r="E496" i="3"/>
  <c r="E454" i="3"/>
  <c r="E475" i="3"/>
  <c r="E55" i="3"/>
  <c r="E72" i="3"/>
  <c r="E73" i="3"/>
  <c r="E111" i="3"/>
  <c r="E146" i="3"/>
  <c r="E168" i="3"/>
  <c r="E203" i="3"/>
  <c r="E150" i="3"/>
  <c r="E171" i="3"/>
  <c r="E208" i="3"/>
  <c r="E256" i="3"/>
  <c r="E214" i="3"/>
  <c r="E257" i="3"/>
  <c r="E274" i="3"/>
  <c r="E357" i="3"/>
  <c r="E394" i="3"/>
  <c r="E318" i="3"/>
  <c r="E362" i="3"/>
  <c r="E14" i="3"/>
  <c r="E580" i="3"/>
  <c r="E31" i="3"/>
  <c r="E93" i="3"/>
  <c r="E32" i="3"/>
  <c r="E409" i="3"/>
  <c r="E473" i="3"/>
  <c r="E15" i="3"/>
  <c r="E455" i="3"/>
  <c r="E38" i="3"/>
  <c r="E100" i="3"/>
  <c r="E170" i="3"/>
  <c r="E137" i="3"/>
  <c r="E234" i="3"/>
  <c r="E219" i="3"/>
  <c r="E299" i="3"/>
  <c r="E339" i="3"/>
  <c r="E325" i="3"/>
  <c r="E392" i="3"/>
  <c r="AQ6" i="3"/>
  <c r="E52" i="3"/>
  <c r="E112" i="3"/>
  <c r="E123" i="3"/>
  <c r="E147" i="3"/>
  <c r="E289" i="3"/>
  <c r="E340" i="3"/>
  <c r="E364" i="3"/>
  <c r="E50" i="3"/>
  <c r="E62" i="3"/>
  <c r="E176" i="3"/>
  <c r="E218" i="3"/>
  <c r="E265" i="3"/>
  <c r="E365" i="3"/>
  <c r="E524" i="3"/>
  <c r="E101" i="3"/>
  <c r="E175" i="3"/>
  <c r="E530" i="3"/>
  <c r="E343" i="3"/>
  <c r="E305" i="3"/>
  <c r="E508" i="3"/>
  <c r="E347" i="3"/>
  <c r="AA6" i="3"/>
  <c r="E399" i="3"/>
  <c r="E280" i="3"/>
  <c r="E124" i="3"/>
  <c r="E311" i="3"/>
  <c r="E514" i="3"/>
  <c r="E570" i="3"/>
  <c r="M6" i="3"/>
  <c r="AB6" i="3"/>
  <c r="E387" i="3"/>
  <c r="E335" i="3"/>
  <c r="E215" i="3"/>
  <c r="E189" i="3"/>
  <c r="E134" i="3"/>
  <c r="E91" i="3"/>
  <c r="E180" i="3"/>
  <c r="E252" i="3"/>
  <c r="E204" i="3"/>
  <c r="E164" i="3"/>
  <c r="E369" i="3"/>
  <c r="E525" i="3"/>
  <c r="E534" i="3"/>
  <c r="T6" i="3"/>
  <c r="E405" i="3"/>
  <c r="E456" i="3"/>
  <c r="E469" i="3"/>
  <c r="E512" i="3"/>
  <c r="E408" i="3"/>
  <c r="E451" i="3"/>
  <c r="E360" i="3"/>
  <c r="E497" i="3"/>
  <c r="E13" i="3"/>
  <c r="E217" i="3"/>
  <c r="E526" i="3"/>
  <c r="E322" i="3"/>
  <c r="AJ6" i="3"/>
  <c r="E510" i="3"/>
  <c r="E329" i="3"/>
  <c r="E237" i="3"/>
  <c r="E261" i="3"/>
  <c r="E304" i="3"/>
  <c r="E528" i="3"/>
  <c r="E565" i="3"/>
  <c r="E183" i="3"/>
  <c r="E213" i="3"/>
  <c r="E361" i="3"/>
  <c r="E17" i="3"/>
  <c r="E503" i="3"/>
  <c r="E302" i="3"/>
  <c r="E388" i="3"/>
  <c r="O6" i="3"/>
  <c r="E555" i="3"/>
  <c r="E574" i="3"/>
  <c r="E410" i="3"/>
  <c r="E359" i="3"/>
  <c r="E337" i="3"/>
  <c r="E285" i="3"/>
  <c r="E97" i="3"/>
  <c r="E397" i="3"/>
  <c r="E314" i="3"/>
  <c r="E568" i="3"/>
  <c r="E511" i="3"/>
  <c r="I6" i="3"/>
  <c r="E16" i="3"/>
  <c r="E536" i="3"/>
  <c r="AK6" i="3"/>
  <c r="E549" i="3"/>
  <c r="E453" i="3"/>
  <c r="E306" i="3"/>
  <c r="E368" i="3"/>
  <c r="E296" i="3"/>
  <c r="E244" i="3"/>
  <c r="E262" i="3"/>
  <c r="E196" i="3"/>
  <c r="E136" i="3"/>
  <c r="E156" i="3"/>
  <c r="E236" i="3"/>
  <c r="E148" i="3"/>
  <c r="E269" i="3"/>
  <c r="E89" i="3"/>
  <c r="E120" i="3"/>
  <c r="E45" i="3"/>
  <c r="E277"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35" i="3"/>
  <c r="E460" i="3"/>
  <c r="E491" i="3"/>
  <c r="E520" i="3"/>
  <c r="E417" i="3"/>
  <c r="E436" i="3"/>
  <c r="E39" i="3"/>
  <c r="E56" i="3"/>
  <c r="E90" i="3"/>
  <c r="E37" i="3"/>
  <c r="E57" i="3"/>
  <c r="E95" i="3"/>
  <c r="E131" i="3"/>
  <c r="E152" i="3"/>
  <c r="E187" i="3"/>
  <c r="E132" i="3"/>
  <c r="E155" i="3"/>
  <c r="E192" i="3"/>
  <c r="E240" i="3"/>
  <c r="E258" i="3"/>
  <c r="E241" i="3"/>
  <c r="E259" i="3"/>
  <c r="E292" i="3"/>
  <c r="E348" i="3"/>
  <c r="E363" i="3"/>
  <c r="E378" i="3"/>
  <c r="E349" i="3"/>
  <c r="E375" i="3"/>
  <c r="E389" i="3"/>
  <c r="E504" i="3"/>
  <c r="E544" i="3"/>
  <c r="E58" i="3"/>
  <c r="E110" i="3"/>
  <c r="E59" i="3"/>
  <c r="E540" i="3"/>
  <c r="E462" i="3"/>
  <c r="E521" i="3"/>
  <c r="E446" i="3"/>
  <c r="E47" i="3"/>
  <c r="E98" i="3"/>
  <c r="E65" i="3"/>
  <c r="E138" i="3"/>
  <c r="E163" i="3"/>
  <c r="E248" i="3"/>
  <c r="E209" i="3"/>
  <c r="E266" i="3"/>
  <c r="E307" i="3"/>
  <c r="E386" i="3"/>
  <c r="E354" i="3"/>
  <c r="E584" i="3"/>
  <c r="E66" i="3"/>
  <c r="E24" i="3"/>
  <c r="E48" i="3"/>
  <c r="E87" i="3"/>
  <c r="E127" i="3"/>
  <c r="E250" i="3"/>
  <c r="E284" i="3"/>
  <c r="E341" i="3"/>
  <c r="Y6" i="3"/>
  <c r="E51" i="3"/>
  <c r="E19" i="3"/>
  <c r="E154" i="3"/>
  <c r="E323" i="3"/>
  <c r="E373" i="3"/>
  <c r="E82" i="3"/>
  <c r="E319" i="3"/>
  <c r="E153" i="3"/>
  <c r="E328" i="3"/>
  <c r="X6" i="3"/>
  <c r="E336" i="3"/>
  <c r="E293" i="3"/>
  <c r="E559" i="3"/>
  <c r="V6" i="3"/>
  <c r="E407" i="3"/>
  <c r="E294" i="3"/>
  <c r="E130" i="3"/>
  <c r="E221" i="3"/>
  <c r="E271" i="3"/>
  <c r="E107" i="3"/>
  <c r="E493" i="3"/>
  <c r="E543" i="3"/>
  <c r="E486" i="3"/>
  <c r="E422" i="3"/>
  <c r="E440" i="3"/>
  <c r="E376" i="3"/>
  <c r="J6" i="3"/>
  <c r="E366" i="3"/>
  <c r="E282" i="3"/>
  <c r="E352" i="3"/>
  <c r="E69" i="3"/>
  <c r="E278" i="3"/>
  <c r="E563" i="3"/>
  <c r="E395" i="3"/>
  <c r="E260" i="3"/>
  <c r="E550" i="3"/>
  <c r="E239" i="3"/>
  <c r="E516" i="3"/>
  <c r="E569" i="3"/>
  <c r="E396" i="3"/>
  <c r="E247" i="3"/>
  <c r="E151" i="3"/>
  <c r="E353" i="3"/>
  <c r="E495" i="3"/>
  <c r="AN6" i="3"/>
  <c r="AI6" i="3"/>
  <c r="E578" i="3"/>
  <c r="E423" i="3"/>
  <c r="E382" i="3"/>
  <c r="E263" i="3"/>
  <c r="E245" i="3"/>
  <c r="E191" i="3"/>
  <c r="E188" i="3"/>
  <c r="E181" i="3"/>
  <c r="E140" i="3"/>
  <c r="E223" i="3"/>
  <c r="E197" i="3"/>
  <c r="E173" i="3"/>
  <c r="E327" i="3"/>
  <c r="E576" i="3"/>
  <c r="E585" i="3"/>
  <c r="E515" i="3"/>
  <c r="E448" i="3"/>
  <c r="E485" i="3"/>
  <c r="P6" i="3"/>
  <c r="E414" i="3"/>
  <c r="E432" i="3"/>
  <c r="E477" i="3"/>
  <c r="E367" i="3"/>
  <c r="E505" i="3"/>
  <c r="E547" i="3"/>
  <c r="AS6" i="3"/>
  <c r="E531" i="3"/>
  <c r="E444" i="3"/>
  <c r="E489" i="3"/>
  <c r="E404" i="3"/>
  <c r="E28" i="3"/>
  <c r="E71" i="3"/>
  <c r="E27" i="3"/>
  <c r="E92" i="3"/>
  <c r="E162" i="3"/>
  <c r="E126" i="3"/>
  <c r="E186" i="3"/>
  <c r="E272" i="3"/>
  <c r="E210" i="3"/>
  <c r="E291" i="3"/>
  <c r="E331" i="3"/>
  <c r="E317" i="3"/>
  <c r="E334" i="3"/>
  <c r="E572" i="3"/>
  <c r="E44" i="3"/>
  <c r="E29" i="3"/>
  <c r="E441" i="3"/>
  <c r="E425" i="3"/>
  <c r="E467" i="3"/>
  <c r="E46" i="3"/>
  <c r="E160" i="3"/>
  <c r="E200" i="3"/>
  <c r="E249" i="3"/>
  <c r="E371" i="3"/>
  <c r="E492" i="3"/>
  <c r="E23" i="3"/>
  <c r="E67" i="3"/>
  <c r="E144" i="3"/>
  <c r="E233" i="3"/>
  <c r="E381" i="3"/>
  <c r="E63" i="3"/>
  <c r="E118" i="3"/>
  <c r="E283" i="3"/>
  <c r="E513" i="3"/>
  <c r="E53" i="3"/>
  <c r="E501" i="3"/>
  <c r="E426" i="3"/>
  <c r="E583" i="3"/>
  <c r="E246" i="3"/>
  <c r="E358" i="3"/>
  <c r="E551" i="3"/>
  <c r="E320" i="3"/>
  <c r="E230" i="3"/>
  <c r="E254" i="3"/>
  <c r="E207" i="3"/>
  <c r="E145" i="3"/>
  <c r="E393" i="3"/>
  <c r="E564" i="3"/>
  <c r="E427" i="3"/>
  <c r="E507" i="3"/>
  <c r="E490" i="3"/>
  <c r="AH6" i="3"/>
  <c r="E125" i="3"/>
  <c r="E553" i="3"/>
  <c r="N6" i="3"/>
  <c r="E545" i="3"/>
  <c r="E114" i="3"/>
  <c r="E415" i="3"/>
  <c r="E172" i="3"/>
  <c r="E445" i="3"/>
  <c r="E535" i="3"/>
  <c r="E509" i="3"/>
  <c r="E579" i="3"/>
  <c r="E431" i="3"/>
  <c r="E229" i="3"/>
  <c r="E201" i="3"/>
  <c r="E385" i="3"/>
  <c r="E518" i="3"/>
  <c r="E586" i="3"/>
  <c r="E402" i="3"/>
  <c r="E350" i="3"/>
  <c r="E303" i="3"/>
  <c r="E301" i="3"/>
  <c r="E159" i="3"/>
  <c r="E99" i="3"/>
  <c r="E228" i="3"/>
  <c r="E157" i="3"/>
  <c r="E85" i="3"/>
  <c r="E238" i="3"/>
  <c r="E116" i="3"/>
  <c r="E105" i="3"/>
  <c r="E379" i="3"/>
  <c r="Z6" i="3"/>
  <c r="U6" i="3"/>
  <c r="AG6" i="3"/>
  <c r="AO6" i="3"/>
  <c r="E411" i="3"/>
  <c r="E478" i="3"/>
  <c r="E548" i="3"/>
  <c r="E400" i="3"/>
  <c r="E443" i="3"/>
  <c r="E345" i="3"/>
  <c r="E558" i="3"/>
  <c r="E557" i="3"/>
  <c r="E581" i="3"/>
  <c r="E403" i="3"/>
  <c r="E476" i="3"/>
  <c r="E546" i="3"/>
  <c r="E447" i="3"/>
  <c r="E88" i="3"/>
  <c r="E70" i="3"/>
  <c r="E121" i="3"/>
  <c r="E182" i="3"/>
  <c r="E166" i="3"/>
  <c r="E211" i="3"/>
  <c r="E295" i="3"/>
  <c r="E273" i="3"/>
  <c r="E316" i="3"/>
  <c r="E377" i="3"/>
  <c r="E384" i="3"/>
  <c r="AM6" i="3"/>
  <c r="E30" i="3"/>
  <c r="E109" i="3"/>
  <c r="E480" i="3"/>
  <c r="E484" i="3"/>
  <c r="E64" i="3"/>
  <c r="E103" i="3"/>
  <c r="E142" i="3"/>
  <c r="E267" i="3"/>
  <c r="E300" i="3"/>
  <c r="E310" i="3"/>
  <c r="E84" i="3"/>
  <c r="E33" i="3"/>
  <c r="E184" i="3"/>
  <c r="E355" i="3"/>
  <c r="E68" i="3"/>
  <c r="E81" i="3"/>
  <c r="E264" i="3"/>
  <c r="E309" i="3"/>
  <c r="E21" i="3"/>
  <c r="E479" i="3"/>
  <c r="E434" i="3"/>
  <c r="E413" i="3"/>
  <c r="E556" i="3"/>
  <c r="E79" i="3"/>
  <c r="E74" i="3"/>
  <c r="T47" i="71"/>
  <c r="D47" i="71"/>
  <c r="E35" i="3"/>
  <c r="AZ23" i="3"/>
  <c r="BA5" i="3"/>
  <c r="E27" i="6" s="1"/>
  <c r="E22" i="3"/>
  <c r="E20" i="3"/>
  <c r="E139" i="3"/>
  <c r="E281" i="3"/>
  <c r="E279" i="3"/>
  <c r="E270" i="3"/>
  <c r="E243" i="3"/>
  <c r="E231" i="3"/>
  <c r="E220" i="3"/>
  <c r="E380" i="3"/>
  <c r="AZ16" i="3"/>
  <c r="AZ5" i="3" s="1"/>
  <c r="BL5" i="3"/>
  <c r="E351" i="3"/>
  <c r="E315" i="3"/>
  <c r="E481" i="3"/>
  <c r="E472" i="3"/>
  <c r="E465" i="3"/>
  <c r="E439" i="3"/>
  <c r="E429" i="3"/>
  <c r="E424" i="3"/>
  <c r="E418" i="3"/>
  <c r="AA9" i="34"/>
  <c r="S9" i="34"/>
  <c r="J7" i="36"/>
  <c r="H7" i="34"/>
  <c r="E106" i="3"/>
  <c r="E80" i="3"/>
  <c r="E75" i="3"/>
  <c r="E54" i="3"/>
  <c r="E49" i="3"/>
  <c r="D39" i="71"/>
  <c r="T39" i="71"/>
  <c r="E36" i="3"/>
  <c r="E194" i="3"/>
  <c r="E190" i="3"/>
  <c r="E178" i="3"/>
  <c r="E119" i="3"/>
  <c r="E115" i="3"/>
  <c r="E298" i="3"/>
  <c r="E227" i="3"/>
  <c r="E225" i="3"/>
  <c r="AZ459" i="3"/>
  <c r="AZ454" i="3"/>
  <c r="E450" i="3"/>
  <c r="AZ446" i="3"/>
  <c r="E433" i="3"/>
  <c r="E428" i="3"/>
  <c r="E412" i="3"/>
  <c r="J7" i="34"/>
  <c r="H7" i="36"/>
  <c r="F7" i="34"/>
  <c r="C9" i="68"/>
  <c r="AC6" i="3"/>
  <c r="H6" i="3"/>
  <c r="F68" i="39"/>
  <c r="E70" i="39"/>
  <c r="J10" i="40"/>
  <c r="AC10" i="40" s="1"/>
  <c r="G36" i="43"/>
  <c r="I36" i="43" s="1"/>
  <c r="H10" i="39"/>
  <c r="AB10" i="39" s="1"/>
  <c r="F10" i="40"/>
  <c r="S10" i="40" s="1"/>
  <c r="J10" i="39"/>
  <c r="W10" i="39" s="1"/>
  <c r="H10" i="40"/>
  <c r="AB10" i="40" s="1"/>
  <c r="B18" i="71"/>
  <c r="B17" i="71" s="1"/>
  <c r="B16" i="71" s="1"/>
  <c r="B15" i="71" s="1"/>
  <c r="S19" i="71"/>
  <c r="C18" i="71"/>
  <c r="T19" i="71"/>
  <c r="D19" i="71"/>
  <c r="U19" i="71" s="1"/>
  <c r="D70" i="71"/>
  <c r="C69" i="71"/>
  <c r="D69" i="71" s="1"/>
  <c r="F61" i="71"/>
  <c r="Q62" i="71"/>
  <c r="C61" i="71"/>
  <c r="D62" i="71"/>
  <c r="O62" i="71"/>
  <c r="D58" i="71"/>
  <c r="C59" i="71"/>
  <c r="C31" i="71"/>
  <c r="D30" i="71"/>
  <c r="W36" i="35"/>
  <c r="AC36" i="35"/>
  <c r="S34" i="35"/>
  <c r="AA34" i="35"/>
  <c r="F27" i="69"/>
  <c r="F28" i="12"/>
  <c r="C29" i="12" s="1"/>
  <c r="D28" i="12" s="1"/>
  <c r="F27" i="11"/>
  <c r="D27" i="71"/>
  <c r="T27" i="71"/>
  <c r="T23" i="71"/>
  <c r="D23" i="71"/>
  <c r="U23" i="71" s="1"/>
  <c r="C22" i="71"/>
  <c r="D51" i="71"/>
  <c r="T51" i="71"/>
  <c r="D35" i="71"/>
  <c r="T35" i="71"/>
  <c r="AB34" i="35"/>
  <c r="U34" i="35"/>
  <c r="U9" i="34"/>
  <c r="AB9" i="34"/>
  <c r="O7" i="1"/>
  <c r="P7" i="1" s="1"/>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E6" i="3"/>
  <c r="E10" i="71"/>
  <c r="E9" i="71" s="1"/>
  <c r="E8" i="71" s="1"/>
  <c r="E7" i="71" s="1"/>
  <c r="V11" i="7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F27" i="68"/>
  <c r="AY6" i="3" l="1"/>
  <c r="E3" i="6"/>
  <c r="E6" i="70"/>
  <c r="E2" i="70" s="1"/>
  <c r="U7" i="37"/>
  <c r="AA10" i="40"/>
  <c r="U10" i="40"/>
  <c r="AQ6" i="1"/>
  <c r="S16" i="1"/>
  <c r="AR6" i="1"/>
  <c r="T6" i="1"/>
  <c r="F70" i="39"/>
  <c r="G68" i="39"/>
  <c r="U10" i="39"/>
  <c r="AC10" i="39"/>
  <c r="E6" i="71"/>
  <c r="E5" i="71" s="1"/>
  <c r="V7" i="71"/>
  <c r="M14" i="1"/>
  <c r="C34" i="69"/>
  <c r="K16" i="1"/>
  <c r="C47" i="11"/>
  <c r="D45" i="11" s="1"/>
  <c r="C29" i="11"/>
  <c r="D27" i="11" s="1"/>
  <c r="C29" i="68"/>
  <c r="D27" i="68" s="1"/>
  <c r="F45" i="68"/>
  <c r="C47" i="68"/>
  <c r="D45" i="68" s="1"/>
  <c r="D59" i="71"/>
  <c r="T59" i="71"/>
  <c r="O61" i="71"/>
  <c r="O60" i="71"/>
  <c r="D61" i="71"/>
  <c r="Q61" i="71"/>
  <c r="Q60" i="71"/>
  <c r="D3" i="21"/>
  <c r="D19" i="11"/>
  <c r="C19" i="11" s="1"/>
  <c r="C17" i="4"/>
  <c r="B4" i="52" s="1"/>
  <c r="B43" i="72" s="1"/>
  <c r="L18" i="9"/>
  <c r="D3" i="37"/>
  <c r="D3" i="33"/>
  <c r="E6" i="6"/>
  <c r="D14" i="12"/>
  <c r="D3" i="34"/>
  <c r="D37" i="11"/>
  <c r="C37" i="11" s="1"/>
  <c r="M18" i="9"/>
  <c r="B118" i="9" s="1"/>
  <c r="B14" i="74" s="1"/>
  <c r="B1" i="74" s="1"/>
  <c r="M19" i="6"/>
  <c r="K27" i="6"/>
  <c r="C21" i="71"/>
  <c r="D21" i="71" s="1"/>
  <c r="D22" i="71"/>
  <c r="C47" i="69"/>
  <c r="D45" i="69" s="1"/>
  <c r="F45" i="69"/>
  <c r="C29" i="69"/>
  <c r="D27" i="69" s="1"/>
  <c r="D31" i="71"/>
  <c r="T31" i="71"/>
  <c r="C17" i="71"/>
  <c r="D18" i="71"/>
  <c r="B14" i="71"/>
  <c r="B13" i="71" s="1"/>
  <c r="B12" i="71" s="1"/>
  <c r="B11" i="71" s="1"/>
  <c r="S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C14" i="15"/>
  <c r="F41" i="15"/>
  <c r="C18" i="15" l="1"/>
  <c r="C15" i="15"/>
  <c r="F69" i="15"/>
  <c r="J29" i="15"/>
  <c r="H68" i="39"/>
  <c r="G70" i="39"/>
  <c r="B10" i="71"/>
  <c r="B9" i="71" s="1"/>
  <c r="B8" i="71" s="1"/>
  <c r="B7" i="71" s="1"/>
  <c r="S11" i="71"/>
  <c r="C16" i="71"/>
  <c r="D17" i="71"/>
  <c r="D17" i="12"/>
  <c r="C17" i="12" s="1"/>
  <c r="C14" i="12"/>
  <c r="C20" i="11"/>
  <c r="C28" i="11" s="1"/>
  <c r="C27" i="11" s="1"/>
  <c r="T16" i="1"/>
  <c r="O14" i="1"/>
  <c r="O16" i="1" s="1"/>
  <c r="M16" i="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M27" i="6"/>
  <c r="I19" i="6"/>
  <c r="C8" i="74"/>
  <c r="C7" i="74"/>
  <c r="D10" i="11"/>
  <c r="C10" i="11" s="1"/>
  <c r="D20" i="12"/>
  <c r="C20" i="12" s="1"/>
  <c r="C18" i="12" s="1"/>
  <c r="D10" i="69"/>
  <c r="C35" i="69"/>
  <c r="C38" i="6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B6" i="76"/>
  <c r="C19" i="15" l="1"/>
  <c r="C20" i="15" s="1"/>
  <c r="C26" i="15" s="1"/>
  <c r="D16" i="6"/>
  <c r="H70" i="39"/>
  <c r="I68" i="39"/>
  <c r="C10" i="68"/>
  <c r="C8" i="68" s="1"/>
  <c r="D19" i="68"/>
  <c r="R26" i="6"/>
  <c r="D8" i="74"/>
  <c r="D7" i="74"/>
  <c r="R24" i="6"/>
  <c r="R22" i="6"/>
  <c r="R25" i="6"/>
  <c r="N16" i="1"/>
  <c r="C34" i="11"/>
  <c r="L16" i="1"/>
  <c r="C10" i="69"/>
  <c r="C8" i="69" s="1"/>
  <c r="C5" i="69" s="1"/>
  <c r="D19" i="69"/>
  <c r="S19" i="6"/>
  <c r="S27" i="6" s="1"/>
  <c r="I27" i="6"/>
  <c r="H19" i="6"/>
  <c r="H27" i="6" s="1"/>
  <c r="R23" i="6"/>
  <c r="A7" i="51"/>
  <c r="B7" i="72" s="1"/>
  <c r="C4" i="52"/>
  <c r="B45" i="72" s="1"/>
  <c r="A10" i="51"/>
  <c r="B9" i="72" s="1"/>
  <c r="D27" i="6"/>
  <c r="D31" i="6" s="1"/>
  <c r="R19" i="6"/>
  <c r="R21" i="6"/>
  <c r="P14" i="1"/>
  <c r="P16" i="1" s="1"/>
  <c r="C11" i="12" s="1"/>
  <c r="C15" i="71"/>
  <c r="D16" i="71"/>
  <c r="B6" i="71"/>
  <c r="B5" i="71" s="1"/>
  <c r="S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1" i="11" s="1"/>
  <c r="C36" i="67"/>
  <c r="C33" i="67"/>
  <c r="C31" i="67" s="1"/>
  <c r="J14" i="67"/>
  <c r="C13" i="67"/>
  <c r="J19" i="67"/>
  <c r="J17" i="67" s="1"/>
  <c r="C57" i="67"/>
  <c r="C61" i="67" s="1"/>
  <c r="Q49" i="67"/>
  <c r="J59" i="67"/>
  <c r="J60" i="67" s="1"/>
  <c r="C34" i="68"/>
  <c r="C23" i="15" l="1"/>
  <c r="C29" i="15" s="1"/>
  <c r="R27" i="6"/>
  <c r="R6" i="1"/>
  <c r="J68" i="39"/>
  <c r="I70" i="39"/>
  <c r="C15" i="12"/>
  <c r="C12" i="12"/>
  <c r="I6" i="6"/>
  <c r="I5" i="6"/>
  <c r="C19" i="69"/>
  <c r="C24" i="69" s="1"/>
  <c r="D37" i="69"/>
  <c r="C37" i="69" s="1"/>
  <c r="C33" i="69" s="1"/>
  <c r="C35" i="68"/>
  <c r="C38" i="68"/>
  <c r="C38" i="11"/>
  <c r="C35" i="11"/>
  <c r="C19" i="68"/>
  <c r="D37" i="68"/>
  <c r="C37" i="68" s="1"/>
  <c r="C14" i="71"/>
  <c r="T15" i="71"/>
  <c r="D15" i="71"/>
  <c r="U15" i="71" s="1"/>
  <c r="C23" i="69"/>
  <c r="F50" i="69"/>
  <c r="F50" i="11"/>
  <c r="F50" i="68"/>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M21" i="15"/>
  <c r="F35" i="15"/>
  <c r="L51" i="67"/>
  <c r="C57" i="15" l="1"/>
  <c r="Q49" i="15"/>
  <c r="J14" i="15"/>
  <c r="C36" i="15"/>
  <c r="C13" i="15"/>
  <c r="J19" i="15"/>
  <c r="J20" i="15"/>
  <c r="C34" i="15"/>
  <c r="C31" i="15" s="1"/>
  <c r="F63" i="15"/>
  <c r="C62" i="15" s="1"/>
  <c r="R16" i="1"/>
  <c r="K68" i="39"/>
  <c r="J70" i="39"/>
  <c r="C20" i="69"/>
  <c r="C25" i="69" s="1"/>
  <c r="C22" i="69" s="1"/>
  <c r="C33" i="68"/>
  <c r="C42" i="68" s="1"/>
  <c r="C16" i="12"/>
  <c r="C21" i="12" s="1"/>
  <c r="C22" i="12" s="1"/>
  <c r="C30" i="12" s="1"/>
  <c r="C28" i="12" s="1"/>
  <c r="C24" i="68"/>
  <c r="C13" i="71"/>
  <c r="D14" i="71"/>
  <c r="C33" i="11"/>
  <c r="C39" i="69"/>
  <c r="C43" i="69" s="1"/>
  <c r="C42" i="6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J17" i="15" l="1"/>
  <c r="C56" i="15"/>
  <c r="C65" i="15" s="1"/>
  <c r="C37" i="15"/>
  <c r="C30" i="15" s="1"/>
  <c r="C39" i="15" s="1"/>
  <c r="Q70" i="15"/>
  <c r="C75" i="15"/>
  <c r="J22" i="15"/>
  <c r="J13" i="15"/>
  <c r="J23" i="15" s="1"/>
  <c r="C61" i="15"/>
  <c r="C59" i="15" s="1"/>
  <c r="C64" i="15"/>
  <c r="L68" i="39"/>
  <c r="K70" i="39"/>
  <c r="C28" i="69"/>
  <c r="C27" i="69" s="1"/>
  <c r="C31" i="69" s="1"/>
  <c r="C39" i="68"/>
  <c r="C46" i="68" s="1"/>
  <c r="C45" i="68" s="1"/>
  <c r="C41" i="69"/>
  <c r="C46" i="69"/>
  <c r="C45" i="69" s="1"/>
  <c r="C27" i="12"/>
  <c r="C25" i="12" s="1"/>
  <c r="C32" i="12" s="1"/>
  <c r="B2" i="12" s="1"/>
  <c r="B3" i="12" s="1"/>
  <c r="C39" i="11"/>
  <c r="C42" i="11"/>
  <c r="C12" i="71"/>
  <c r="D13" i="7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58" i="15" l="1"/>
  <c r="C67" i="15" s="1"/>
  <c r="C68" i="15" s="1"/>
  <c r="J16" i="15"/>
  <c r="J25" i="15" s="1"/>
  <c r="Q67" i="15"/>
  <c r="C40" i="15"/>
  <c r="B2" i="15" s="1"/>
  <c r="B3" i="15" s="1"/>
  <c r="C80" i="15"/>
  <c r="C79" i="15" s="1"/>
  <c r="Q69" i="15"/>
  <c r="Q68" i="15" s="1"/>
  <c r="C71" i="15"/>
  <c r="C43" i="68"/>
  <c r="C41" i="68" s="1"/>
  <c r="C49" i="68" s="1"/>
  <c r="C51" i="68" s="1"/>
  <c r="L70" i="39"/>
  <c r="M68" i="39"/>
  <c r="C49" i="69"/>
  <c r="C51" i="69" s="1"/>
  <c r="C52" i="69" s="1"/>
  <c r="B2" i="69" s="1"/>
  <c r="B3" i="69" s="1"/>
  <c r="C11" i="71"/>
  <c r="D12"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D19" i="9"/>
  <c r="AO6" i="1"/>
  <c r="D20" i="9"/>
  <c r="C46" i="15" l="1"/>
  <c r="B6" i="70"/>
  <c r="B2" i="70" s="1"/>
  <c r="B3" i="70" s="1"/>
  <c r="D102" i="9"/>
  <c r="D21" i="9"/>
  <c r="Q56" i="15"/>
  <c r="Q62" i="15" s="1"/>
  <c r="C43" i="15"/>
  <c r="C83" i="15"/>
  <c r="C82" i="15" s="1"/>
  <c r="Q65" i="15"/>
  <c r="Q75" i="15" s="1"/>
  <c r="Q47" i="15"/>
  <c r="Q53" i="15" s="1"/>
  <c r="D103" i="9"/>
  <c r="C49" i="11"/>
  <c r="C51" i="11" s="1"/>
  <c r="C52" i="11" s="1"/>
  <c r="B2" i="11" s="1"/>
  <c r="B3" i="11" s="1"/>
  <c r="N68" i="39"/>
  <c r="M70" i="39"/>
  <c r="C57" i="69"/>
  <c r="C56" i="69" s="1"/>
  <c r="C10" i="71"/>
  <c r="T11" i="71"/>
  <c r="D11" i="71"/>
  <c r="U11" i="71" s="1"/>
  <c r="R39" i="35"/>
  <c r="E38" i="35"/>
  <c r="M63" i="40"/>
  <c r="L65" i="40"/>
  <c r="O68" i="39" l="1"/>
  <c r="O70" i="39" s="1"/>
  <c r="N70" i="39"/>
  <c r="F7" i="39" s="1"/>
  <c r="C56" i="11"/>
  <c r="C57" i="11" s="1"/>
  <c r="D10" i="71"/>
  <c r="C9" i="71"/>
  <c r="C39" i="35"/>
  <c r="B2" i="35" s="1"/>
  <c r="B3" i="35" s="1"/>
  <c r="C38" i="35"/>
  <c r="N63" i="40"/>
  <c r="M65" i="40"/>
  <c r="E43" i="35"/>
  <c r="F43" i="35" s="1"/>
  <c r="E42" i="35"/>
  <c r="F42" i="35" s="1"/>
  <c r="I43" i="35"/>
  <c r="J43" i="35" s="1"/>
  <c r="H7" i="39" l="1"/>
  <c r="J7" i="39"/>
  <c r="AA7" i="39"/>
  <c r="R47" i="39" s="1"/>
  <c r="S7" i="39"/>
  <c r="D9" i="71"/>
  <c r="C8" i="71"/>
  <c r="O63" i="40"/>
  <c r="O65" i="40" s="1"/>
  <c r="N65" i="40"/>
  <c r="E47" i="39" l="1"/>
  <c r="W7" i="39"/>
  <c r="AC7" i="39"/>
  <c r="V47" i="39" s="1"/>
  <c r="I47" i="39" s="1"/>
  <c r="U7" i="39"/>
  <c r="AB7" i="39"/>
  <c r="T47" i="39" s="1"/>
  <c r="G47" i="39" s="1"/>
  <c r="D8" i="71"/>
  <c r="C7" i="71"/>
  <c r="J7" i="40"/>
  <c r="F7" i="40"/>
  <c r="H7" i="40"/>
  <c r="R48" i="39" l="1"/>
  <c r="C47" i="39" s="1"/>
  <c r="G52" i="39"/>
  <c r="H52" i="39" s="1"/>
  <c r="G51" i="39"/>
  <c r="H51" i="39" s="1"/>
  <c r="I52" i="39"/>
  <c r="J52" i="39" s="1"/>
  <c r="I51" i="39"/>
  <c r="J51" i="39" s="1"/>
  <c r="E51" i="39"/>
  <c r="F51" i="39" s="1"/>
  <c r="E52" i="39"/>
  <c r="F52" i="39" s="1"/>
  <c r="C6" i="71"/>
  <c r="T7" i="71"/>
  <c r="D7" i="71"/>
  <c r="U7" i="71" s="1"/>
  <c r="U7" i="40"/>
  <c r="AB7" i="40"/>
  <c r="T42" i="40" s="1"/>
  <c r="G42" i="40" s="1"/>
  <c r="AA7" i="40"/>
  <c r="R42" i="40" s="1"/>
  <c r="S7" i="40"/>
  <c r="AC7" i="40"/>
  <c r="V42" i="40" s="1"/>
  <c r="I42" i="40" s="1"/>
  <c r="W7" i="40"/>
  <c r="C48" i="39" l="1"/>
  <c r="B56" i="39" s="1"/>
  <c r="F56" i="39" s="1"/>
  <c r="C5" i="71"/>
  <c r="D6" i="71"/>
  <c r="I46" i="40"/>
  <c r="J46" i="40" s="1"/>
  <c r="R43" i="40"/>
  <c r="E42" i="40"/>
  <c r="G47" i="40"/>
  <c r="H47" i="40" s="1"/>
  <c r="G46" i="40"/>
  <c r="H46" i="40" s="1"/>
  <c r="B63" i="39" l="1"/>
  <c r="F63" i="39" s="1"/>
  <c r="B61" i="39"/>
  <c r="F61" i="39" s="1"/>
  <c r="B62" i="39"/>
  <c r="F62" i="39" s="1"/>
  <c r="B57" i="39"/>
  <c r="F57" i="39" s="1"/>
  <c r="B64" i="39"/>
  <c r="F64" i="39" s="1"/>
  <c r="B59" i="39"/>
  <c r="F59" i="39" s="1"/>
  <c r="B58" i="39"/>
  <c r="F58" i="39" s="1"/>
  <c r="B60" i="39"/>
  <c r="F60" i="39" s="1"/>
  <c r="B65" i="39"/>
  <c r="F65" i="39" s="1"/>
  <c r="D5" i="71"/>
  <c r="M20" i="43"/>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s="1"/>
  <c r="C20" i="68" l="1"/>
  <c r="C25" i="68" s="1"/>
  <c r="C22" i="68" s="1"/>
  <c r="C28" i="68" l="1"/>
  <c r="C27" i="68" s="1"/>
  <c r="C31" i="68" s="1"/>
  <c r="C52" i="68" s="1"/>
  <c r="B2" i="68" s="1"/>
  <c r="C19" i="9"/>
  <c r="B3" i="68"/>
  <c r="D22" i="9" l="1"/>
  <c r="C21" i="9"/>
  <c r="G19" i="9"/>
  <c r="G21" i="9" s="1"/>
  <c r="C102" i="9"/>
  <c r="C57" i="68"/>
  <c r="C56" i="68" s="1"/>
  <c r="C20" i="9"/>
  <c r="G20" i="9" l="1"/>
  <c r="C32" i="9" s="1"/>
  <c r="C35" i="9" s="1"/>
  <c r="C34" i="9" s="1"/>
  <c r="D118" i="9" s="1"/>
  <c r="D119" i="9" s="1"/>
  <c r="D5" i="52" s="1"/>
  <c r="B49" i="72" s="1"/>
  <c r="C103" i="9"/>
  <c r="H118" i="9" l="1"/>
  <c r="H4" i="52" s="1"/>
  <c r="D4" i="52"/>
  <c r="B47" i="72" s="1"/>
  <c r="F118" i="9"/>
  <c r="F4" i="52" s="1"/>
  <c r="B51" i="72" s="1"/>
  <c r="H101" i="9" l="1"/>
  <c r="D5" i="53" s="1"/>
  <c r="D6" i="53" s="1"/>
  <c r="B22" i="72" s="1"/>
  <c r="G118" i="9"/>
  <c r="G4" i="52" s="1"/>
  <c r="B52" i="72" s="1"/>
  <c r="C104" i="9"/>
  <c r="I118" i="9"/>
  <c r="C105" i="9" s="1"/>
  <c r="H119" i="9"/>
  <c r="H5" i="52" s="1"/>
  <c r="D14" i="74"/>
  <c r="B5" i="74" s="1"/>
  <c r="B20" i="72"/>
  <c r="F119" i="9"/>
  <c r="F5" i="52" s="1"/>
  <c r="B53" i="72" s="1"/>
  <c r="H102" i="9" l="1"/>
  <c r="D7" i="53" s="1"/>
  <c r="B21" i="72" s="1"/>
  <c r="D45" i="9"/>
  <c r="D55" i="9" s="1"/>
  <c r="M53" i="9" s="1"/>
  <c r="E118" i="9"/>
  <c r="E4" i="52" s="1"/>
  <c r="B48" i="72" s="1"/>
  <c r="I4" i="52"/>
  <c r="M48" i="9"/>
  <c r="H107" i="9"/>
  <c r="M49" i="9" s="1"/>
  <c r="C5" i="74"/>
  <c r="D5" i="74"/>
  <c r="F14" i="74"/>
  <c r="E14" i="74"/>
  <c r="C93" i="9" l="1"/>
  <c r="C86" i="9" s="1"/>
  <c r="C64" i="9"/>
  <c r="C63" i="9" s="1"/>
  <c r="C67" i="9" s="1"/>
  <c r="D59" i="9" s="1"/>
  <c r="M55" i="9" s="1"/>
  <c r="D52" i="9"/>
  <c r="C78" i="9"/>
  <c r="C73" i="9" s="1"/>
  <c r="C85" i="9"/>
  <c r="D53" i="9"/>
  <c r="C72" i="9"/>
  <c r="L65" i="9"/>
  <c r="M65" i="9" s="1"/>
  <c r="L63" i="9"/>
  <c r="M63" i="9" s="1"/>
  <c r="L67" i="9"/>
  <c r="M67" i="9" s="1"/>
  <c r="H108" i="9"/>
  <c r="D15" i="53" s="1"/>
  <c r="B31" i="72" s="1"/>
  <c r="D13" i="53"/>
  <c r="L68" i="9"/>
  <c r="M68" i="9" s="1"/>
  <c r="D122" i="9"/>
  <c r="G14" i="74" s="1"/>
  <c r="B6" i="74" s="1"/>
  <c r="L66" i="9"/>
  <c r="M66" i="9" s="1"/>
  <c r="L64" i="9"/>
  <c r="M64" i="9" s="1"/>
  <c r="C95" i="9"/>
  <c r="C68" i="9"/>
  <c r="D54" i="9" s="1"/>
  <c r="C79" i="9" l="1"/>
  <c r="D123" i="9"/>
  <c r="D9" i="52" s="1"/>
  <c r="D8" i="52"/>
  <c r="M69" i="9"/>
  <c r="N69" i="9" s="1"/>
  <c r="B30" i="72"/>
  <c r="D14" i="53"/>
  <c r="B32" i="72" s="1"/>
  <c r="D6" i="74"/>
  <c r="C6" i="74"/>
  <c r="C80" i="9"/>
  <c r="E80" i="9" s="1"/>
  <c r="E81" i="9" s="1"/>
  <c r="C96" i="9"/>
  <c r="E96" i="9" s="1"/>
  <c r="E97"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<sst xmlns="http://schemas.openxmlformats.org/spreadsheetml/2006/main" count="7418" uniqueCount="3151">
  <si>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</si>
  <si>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</si>
  <si>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</si>
  <si>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</si>
  <si>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</si>
  <si>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</si>
  <si>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</si>
  <si>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</si>
  <si>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</si>
  <si>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</si>
  <si>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</si>
  <si>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</si>
  <si>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</si>
  <si>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</si>
  <si>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</si>
  <si>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</si>
  <si>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</si>
  <si>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</si>
  <si>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</si>
  <si>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</si>
  <si>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</si>
  <si>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</si>
  <si>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</si>
  <si>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</si>
  <si>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</si>
  <si>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</si>
  <si>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</si>
  <si>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</si>
  <si>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</si>
  <si>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</si>
  <si>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</si>
  <si>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</si>
  <si>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</si>
  <si>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</si>
  <si>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</si>
  <si>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</si>
  <si>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</si>
  <si>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</si>
  <si>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</si>
  <si>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</si>
  <si>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</si>
  <si>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</si>
  <si>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</si>
  <si>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</si>
  <si>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</si>
  <si>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</si>
  <si>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</si>
  <si>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</si>
  <si>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</si>
  <si>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</si>
  <si>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</si>
  <si>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</si>
  <si>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</si>
  <si>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</si>
  <si>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</si>
  <si>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</si>
  <si>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</si>
  <si>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</si>
  <si>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</si>
  <si>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</si>
  <si>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</si>
  <si>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</si>
  <si>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</si>
  <si>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</si>
  <si>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</si>
  <si>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</si>
  <si>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</si>
  <si>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</si>
  <si>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</si>
  <si>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</si>
  <si>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</si>
  <si>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</si>
  <si>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</si>
  <si>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</si>
  <si>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</si>
  <si>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</si>
  <si>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</si>
  <si>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</si>
  <si>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</si>
  <si>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</si>
  <si>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</si>
  <si>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</si>
  <si>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</si>
  <si>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</si>
  <si>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</si>
  <si>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</si>
  <si>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</si>
  <si>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</si>
  <si>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</si>
  <si>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</si>
  <si>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</si>
  <si>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</si>
  <si>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</si>
  <si>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</si>
  <si>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</si>
  <si>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</si>
  <si>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</si>
  <si>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</si>
  <si>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</si>
  <si>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</si>
  <si>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</si>
  <si>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</si>
  <si>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</si>
  <si>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</si>
  <si>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</si>
  <si>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</si>
  <si>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</si>
  <si>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</si>
  <si>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</si>
  <si>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</si>
  <si>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</si>
  <si>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</si>
  <si>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</si>
  <si>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</si>
  <si>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</si>
  <si>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</si>
  <si>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</si>
  <si>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</si>
  <si>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</si>
  <si>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</si>
  <si>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</si>
  <si>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</si>
  <si>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</si>
  <si>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</si>
  <si>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</si>
  <si>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</si>
  <si>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</si>
  <si>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</si>
  <si>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</si>
  <si>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</si>
  <si>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</si>
  <si>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</si>
  <si>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</si>
  <si>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</si>
  <si>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</si>
  <si>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</si>
  <si>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</si>
  <si>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</si>
  <si>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</si>
  <si>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</si>
  <si>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</si>
  <si>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</si>
  <si>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</si>
  <si>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</si>
  <si>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</si>
  <si>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</si>
  <si>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</si>
  <si>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</si>
  <si>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</si>
  <si>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</si>
  <si>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</si>
  <si>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</si>
  <si>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</si>
  <si>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</si>
  <si>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</si>
  <si>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</si>
  <si>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</si>
  <si>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</si>
  <si>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</si>
  <si>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</si>
  <si>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</si>
  <si>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</si>
  <si>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</si>
  <si>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</si>
  <si>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</si>
  <si>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</si>
  <si>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</si>
  <si>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</si>
  <si>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</si>
  <si>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</si>
  <si>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</si>
  <si>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</si>
  <si>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</si>
  <si>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</si>
  <si>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</si>
  <si>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</si>
  <si>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</si>
  <si>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</si>
  <si>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</si>
  <si>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</si>
  <si>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</si>
  <si>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</si>
  <si>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</si>
  <si>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</si>
  <si>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</si>
  <si>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</si>
  <si>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</si>
  <si>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</si>
  <si>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</si>
  <si>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</si>
  <si>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</si>
  <si>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</si>
  <si>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</si>
  <si>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</si>
  <si>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</si>
  <si>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</si>
  <si>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</si>
  <si>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</si>
  <si>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</si>
  <si>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</si>
  <si>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</si>
  <si>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</si>
  <si>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</si>
  <si>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</si>
  <si>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</si>
  <si>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</si>
  <si>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</si>
  <si>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</si>
  <si>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</si>
  <si>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</si>
  <si>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</si>
  <si>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</si>
  <si>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</si>
  <si>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</si>
  <si>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</si>
  <si>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</si>
  <si>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</si>
  <si>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</si>
  <si>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</si>
  <si>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</si>
  <si>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</si>
  <si>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</si>
  <si>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</si>
  <si>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</si>
  <si>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</si>
  <si>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</si>
  <si>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</si>
  <si>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</si>
  <si>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</si>
  <si>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</si>
  <si>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</si>
  <si>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</si>
  <si>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</si>
  <si>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</si>
  <si>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</si>
  <si>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</si>
  <si>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</si>
  <si>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</si>
  <si>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</si>
  <si>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</si>
  <si>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</si>
  <si>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</si>
  <si>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</si>
  <si>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</si>
  <si>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</si>
  <si>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</si>
  <si>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</si>
  <si>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</si>
  <si>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</si>
  <si>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</si>
  <si>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</si>
  <si>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</si>
  <si>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</si>
  <si>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</si>
  <si>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</si>
  <si>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</si>
  <si>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</si>
  <si>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</si>
  <si>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</si>
  <si>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</si>
  <si>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</si>
  <si>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</si>
  <si>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</si>
  <si>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</si>
  <si>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</si>
  <si>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</si>
  <si>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</si>
  <si>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</si>
  <si>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</si>
  <si>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</si>
  <si>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</si>
  <si>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</si>
  <si>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</si>
  <si>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</si>
  <si>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</si>
  <si>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</si>
  <si>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</si>
  <si>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</si>
  <si>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</si>
  <si>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</si>
  <si>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</si>
  <si>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</si>
  <si>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</si>
  <si>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</si>
  <si>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</si>
  <si>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</si>
  <si>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</si>
  <si>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</si>
  <si>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</si>
  <si>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</si>
  <si>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</si>
  <si>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</si>
  <si>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</si>
  <si>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</si>
  <si>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</si>
  <si>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</si>
  <si>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</si>
  <si>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</si>
  <si>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</si>
  <si>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</si>
  <si>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</si>
  <si>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</si>
  <si>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</si>
  <si>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</si>
  <si>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</si>
  <si>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</si>
  <si>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</si>
  <si>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</si>
  <si>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</si>
  <si>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</si>
  <si>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</si>
  <si>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</si>
  <si>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</si>
  <si>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</si>
  <si>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</si>
  <si>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</si>
  <si>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</si>
  <si>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</si>
  <si>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</si>
  <si>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</si>
  <si>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</si>
  <si>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</si>
  <si>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</si>
  <si>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</si>
  <si>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</si>
  <si>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</si>
  <si>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</si>
  <si>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</si>
  <si>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</si>
  <si>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</si>
  <si>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</si>
  <si>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</si>
  <si>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</si>
  <si>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</si>
  <si>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</si>
  <si>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</si>
  <si>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</si>
  <si>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</si>
  <si>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</si>
  <si>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</si>
  <si>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</si>
  <si>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</si>
  <si>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</si>
  <si>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</si>
  <si>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</si>
  <si>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</si>
  <si>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</si>
  <si>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</si>
  <si>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</si>
  <si>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</si>
  <si>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</si>
  <si>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</si>
  <si>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</si>
  <si>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</si>
  <si>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</si>
  <si>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</si>
  <si>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</si>
  <si>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</si>
  <si>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</si>
  <si>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</si>
  <si>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</si>
  <si>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</si>
  <si>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</si>
  <si>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</si>
  <si>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</si>
  <si>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</si>
  <si>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</si>
  <si>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</si>
  <si>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</si>
  <si>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</si>
  <si>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</si>
  <si>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</si>
  <si>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</si>
  <si>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</si>
  <si>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</si>
  <si>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</si>
  <si>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</si>
  <si>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</si>
  <si>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</si>
  <si>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</si>
  <si>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</si>
  <si>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</si>
  <si>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</si>
  <si>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</si>
  <si>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</si>
  <si>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</si>
  <si>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</si>
  <si>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</si>
  <si>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</si>
  <si>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</si>
  <si>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</si>
  <si>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</si>
  <si>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</si>
  <si>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</si>
  <si>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</si>
  <si>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</si>
  <si>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</si>
  <si>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</si>
  <si>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</si>
  <si>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</si>
  <si>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</si>
  <si>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</si>
  <si>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</si>
  <si>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</si>
  <si>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</si>
  <si>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</si>
  <si>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</si>
  <si>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</si>
  <si>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</si>
  <si>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</si>
  <si>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</si>
  <si>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</si>
  <si>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</si>
  <si>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</si>
  <si>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</si>
  <si>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</si>
  <si>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</si>
  <si>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</si>
  <si>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</si>
  <si>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</si>
  <si>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</si>
  <si>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</si>
  <si>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</si>
  <si>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</si>
  <si>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</si>
  <si>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</si>
  <si>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</si>
  <si>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</si>
  <si>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</si>
  <si>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</si>
  <si>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</si>
  <si>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</si>
  <si>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</si>
  <si>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</si>
  <si>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</si>
  <si>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</si>
  <si>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</si>
  <si>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</si>
  <si>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</si>
  <si>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</si>
  <si>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</si>
  <si>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</si>
  <si>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</si>
  <si>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</si>
  <si>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</si>
  <si>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</si>
  <si>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</si>
  <si>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</si>
  <si>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</si>
  <si>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</si>
  <si>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</si>
  <si>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</si>
  <si>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</si>
  <si>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</si>
  <si>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</si>
  <si>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</si>
  <si>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</si>
  <si>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</si>
  <si>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</si>
  <si>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</si>
  <si>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</si>
  <si>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</si>
  <si>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</si>
  <si>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</si>
  <si>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</si>
  <si>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</si>
  <si>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</si>
  <si>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</si>
  <si>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</si>
  <si>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</si>
  <si>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</si>
  <si>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</si>
  <si>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</si>
  <si>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</si>
  <si>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</si>
  <si>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</si>
  <si>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</si>
  <si>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</si>
  <si>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</si>
  <si>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</si>
  <si>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</si>
  <si>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</si>
  <si>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</si>
  <si>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</si>
  <si>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</si>
  <si>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</si>
  <si>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</si>
  <si>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</si>
  <si>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</si>
  <si>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</si>
  <si>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</si>
  <si>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</si>
  <si>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</si>
  <si>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</si>
  <si>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</si>
  <si>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</si>
  <si>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</si>
  <si>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</si>
  <si>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</si>
  <si>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</si>
  <si>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</si>
  <si>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</si>
  <si>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</si>
  <si>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</si>
  <si>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</si>
  <si>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</si>
  <si>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</si>
  <si>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</si>
  <si>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</si>
  <si>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</si>
  <si>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</si>
  <si>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</si>
  <si>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</si>
  <si>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</si>
  <si>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</si>
  <si>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</si>
  <si>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</si>
  <si>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</si>
  <si>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</si>
  <si>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</si>
  <si>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</si>
  <si>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</si>
  <si>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</si>
  <si>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</si>
  <si>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</si>
  <si>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</si>
  <si>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</si>
  <si>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</si>
  <si>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</si>
  <si>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</si>
  <si>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</si>
  <si>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</si>
  <si>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</si>
  <si>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</si>
  <si>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</si>
  <si>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</si>
  <si>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</si>
  <si>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</si>
  <si>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</si>
  <si>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</si>
  <si>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</si>
  <si>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</si>
  <si>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</si>
  <si>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</si>
  <si>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</si>
  <si>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</si>
  <si>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</si>
  <si>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</si>
  <si>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</si>
  <si>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</si>
  <si>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</si>
  <si>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</si>
  <si>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</si>
  <si>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</si>
  <si>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</si>
  <si>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</si>
  <si>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</si>
  <si>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</si>
  <si>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</si>
  <si>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</si>
  <si>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</si>
  <si>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</si>
  <si>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</si>
  <si>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</si>
  <si>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</si>
  <si>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</si>
  <si>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</si>
  <si>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</si>
  <si>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</si>
  <si>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</si>
  <si>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</si>
  <si>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</si>
  <si>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</si>
  <si>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</si>
  <si>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</si>
  <si>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</si>
  <si>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</si>
  <si>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</si>
  <si>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</si>
  <si>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</si>
  <si>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</si>
  <si>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</si>
  <si>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</si>
  <si>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</si>
  <si>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</si>
  <si>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</si>
  <si>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</si>
  <si>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</si>
  <si>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</si>
  <si>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</si>
  <si>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</si>
  <si>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</si>
  <si>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</si>
  <si>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</si>
  <si>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</si>
  <si>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</si>
  <si>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</si>
  <si>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</si>
  <si>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</si>
  <si>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</si>
  <si>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</si>
  <si>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</si>
  <si>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</si>
  <si>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</si>
  <si>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</si>
  <si>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</si>
  <si>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</si>
  <si>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</si>
  <si>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</si>
  <si>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</si>
  <si>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</si>
  <si>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</si>
  <si>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</si>
  <si>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</si>
  <si>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</si>
  <si>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</si>
  <si>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</si>
  <si>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</si>
  <si>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</si>
  <si>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</si>
  <si>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</si>
  <si>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</si>
  <si>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</si>
  <si>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</si>
  <si>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</si>
  <si>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</si>
  <si>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</si>
  <si>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</si>
  <si>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</si>
  <si>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</si>
  <si>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</si>
  <si>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</si>
  <si>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</si>
  <si>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</si>
  <si>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</si>
  <si>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</si>
  <si>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</si>
  <si>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</si>
  <si>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</si>
  <si>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</si>
  <si>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</si>
  <si>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</si>
  <si>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</si>
  <si>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</si>
  <si>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</si>
  <si>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</si>
  <si>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</si>
  <si>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</si>
  <si>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</si>
  <si>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</si>
  <si>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</si>
  <si>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</si>
  <si>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</si>
  <si>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</si>
  <si>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</si>
  <si>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</si>
  <si>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</si>
  <si>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</si>
  <si>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</si>
  <si>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</si>
  <si>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</si>
  <si>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</si>
  <si>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</si>
  <si>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</si>
  <si>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</si>
  <si>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</si>
  <si>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</si>
  <si>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</si>
  <si>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</si>
  <si>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</si>
  <si>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</si>
  <si>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</si>
  <si>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</si>
  <si>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</si>
  <si>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</si>
  <si>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</si>
  <si>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</si>
  <si>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</si>
  <si>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</si>
  <si>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</si>
  <si>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</si>
  <si>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</si>
  <si>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</si>
  <si>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</si>
  <si>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</si>
  <si>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</si>
  <si>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</si>
  <si>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</si>
  <si>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</si>
  <si>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</si>
  <si>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</si>
  <si>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</si>
  <si>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</si>
  <si>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</si>
  <si>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</si>
  <si>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</si>
  <si>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</si>
  <si>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</si>
  <si>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</si>
  <si>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</si>
  <si>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</si>
  <si>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</si>
  <si>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</si>
  <si>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</si>
  <si>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</si>
  <si>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</si>
  <si>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</si>
  <si>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</si>
  <si>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</si>
  <si>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</si>
  <si>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</si>
  <si>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</si>
  <si>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</si>
  <si>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</si>
  <si>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</si>
  <si>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</si>
  <si>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</si>
  <si>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</si>
  <si>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</si>
  <si>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</si>
  <si>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</si>
  <si>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</si>
  <si>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</si>
  <si>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</si>
  <si>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</si>
  <si>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</si>
  <si>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</si>
  <si>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</si>
  <si>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</si>
  <si>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</si>
  <si>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</si>
  <si>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</si>
  <si>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</si>
  <si>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</si>
  <si>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</si>
  <si>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</si>
  <si>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</si>
  <si>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</si>
  <si>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</si>
  <si>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</si>
  <si>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</si>
  <si>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</si>
  <si>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</si>
  <si>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</si>
  <si>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</si>
  <si>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</si>
  <si>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</si>
  <si>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</si>
  <si>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</si>
  <si>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</si>
  <si>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</si>
  <si>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</si>
  <si>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</si>
  <si>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</si>
  <si>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</si>
  <si>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</si>
  <si>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</si>
  <si>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</si>
  <si>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</si>
  <si>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</si>
  <si>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</si>
  <si>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</si>
  <si>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</si>
  <si>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</si>
  <si>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</si>
  <si>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</si>
  <si>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</si>
  <si>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</si>
  <si>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</si>
  <si>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</si>
  <si>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</si>
  <si>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</si>
  <si>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</si>
  <si>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</si>
  <si>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</si>
  <si>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</si>
  <si>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</si>
  <si>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</si>
  <si>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</si>
  <si>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</si>
  <si>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</si>
  <si>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</si>
  <si>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</si>
  <si>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</si>
  <si>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</si>
  <si>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</si>
  <si>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</si>
  <si>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</si>
  <si>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</si>
  <si>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</si>
  <si>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</si>
  <si>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</si>
  <si>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</si>
  <si>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</si>
  <si>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</si>
  <si>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</si>
  <si>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</si>
  <si>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</si>
  <si>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</si>
  <si>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</si>
  <si>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</si>
  <si>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</si>
  <si>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</si>
  <si>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</si>
  <si>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</si>
  <si>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</si>
  <si>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</si>
  <si>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</si>
  <si>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</si>
  <si>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</si>
  <si>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</si>
  <si>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</si>
  <si>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</si>
  <si>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</si>
  <si>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</si>
  <si>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</si>
  <si>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</si>
  <si>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</si>
  <si>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</si>
  <si>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</si>
  <si>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</si>
  <si>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</si>
  <si>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</si>
  <si>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</si>
  <si>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</si>
  <si>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</si>
  <si>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</si>
  <si>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</si>
  <si>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</si>
  <si>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</si>
  <si>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</si>
  <si>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</si>
  <si>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</si>
  <si>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</si>
  <si>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</si>
  <si>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</si>
  <si>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</si>
  <si>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</si>
  <si>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</si>
  <si>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</si>
  <si>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</si>
  <si>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</si>
  <si>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</si>
  <si>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</si>
  <si>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</si>
  <si>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</si>
  <si>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</si>
  <si>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</si>
  <si>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</si>
  <si>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</si>
  <si>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</si>
  <si>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</si>
  <si>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</si>
  <si>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</si>
  <si>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</si>
  <si>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</si>
  <si>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</si>
  <si>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</si>
  <si>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</si>
  <si>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</si>
  <si>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</si>
  <si>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</si>
  <si>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</si>
  <si>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</si>
  <si>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</si>
  <si>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</si>
  <si>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</si>
  <si>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</si>
  <si>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</si>
  <si>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</si>
  <si>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</si>
  <si>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</si>
  <si>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</si>
  <si>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</si>
  <si>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</si>
  <si>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</si>
  <si>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</si>
  <si>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</si>
  <si>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</si>
  <si>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</si>
  <si>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</si>
  <si>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</si>
  <si>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</si>
  <si>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</si>
  <si>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</si>
  <si>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</si>
  <si>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</si>
  <si>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</si>
  <si>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</si>
  <si>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</si>
  <si>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</si>
  <si>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</si>
  <si>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</si>
  <si>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</si>
  <si>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</si>
  <si>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</si>
  <si>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</si>
  <si>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</si>
  <si>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</si>
  <si>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</si>
  <si>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</si>
  <si>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</si>
  <si>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</si>
  <si>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</si>
  <si>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</si>
  <si>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</si>
  <si>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</si>
  <si>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</si>
  <si>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</si>
  <si>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</si>
  <si>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</si>
  <si>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</si>
  <si>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</si>
  <si>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</si>
  <si>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</si>
  <si>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</si>
  <si>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</si>
  <si>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</si>
  <si>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</si>
  <si>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</si>
  <si>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</si>
  <si>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</si>
  <si>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</si>
  <si>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</si>
  <si>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</si>
  <si>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</si>
  <si>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</si>
  <si>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</si>
  <si>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</si>
  <si>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</si>
  <si>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</si>
  <si>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</si>
  <si>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</si>
  <si>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</si>
  <si>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</si>
  <si>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</si>
  <si>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</si>
  <si>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</si>
  <si>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</si>
  <si>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</si>
  <si>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</si>
  <si>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</si>
  <si>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</si>
  <si>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</si>
  <si>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</si>
  <si>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</si>
  <si>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</si>
  <si>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</si>
  <si>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</si>
  <si>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</si>
  <si>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</si>
  <si>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</si>
  <si>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</si>
  <si>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</si>
  <si>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</si>
  <si>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</si>
  <si>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</si>
  <si>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</si>
  <si>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</si>
  <si>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</si>
  <si>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</si>
  <si>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</si>
  <si>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</si>
  <si>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</si>
  <si>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</si>
  <si>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</si>
  <si>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</si>
  <si>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</si>
  <si>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</si>
  <si>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</si>
  <si>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</si>
  <si>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</si>
  <si>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</si>
  <si>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</si>
  <si>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</si>
  <si>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</si>
  <si>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</si>
  <si>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</si>
  <si>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</si>
  <si>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</si>
  <si>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</si>
  <si>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</si>
  <si>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</si>
  <si>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</si>
  <si>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</si>
  <si>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</si>
  <si>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</si>
  <si>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</si>
  <si>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</si>
  <si>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</si>
  <si>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</si>
  <si>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</si>
  <si>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</si>
  <si>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</si>
  <si>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</si>
  <si>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</si>
  <si>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</si>
  <si>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</si>
  <si>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</si>
  <si>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</si>
  <si>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</si>
  <si>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</si>
  <si>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</si>
  <si>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</si>
  <si>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</si>
  <si>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</si>
  <si>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</si>
  <si>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</si>
  <si>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</si>
  <si>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</si>
  <si>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</si>
  <si>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</si>
  <si>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</si>
  <si>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</si>
  <si>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</si>
  <si>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</si>
  <si>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</si>
  <si>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</si>
  <si>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</si>
  <si>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</si>
  <si>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</si>
  <si>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</si>
  <si>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</si>
  <si>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</si>
  <si>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</si>
  <si>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</si>
  <si>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</si>
  <si>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</si>
  <si>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</si>
  <si>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</si>
  <si>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</si>
  <si>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</si>
  <si>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</si>
  <si>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</si>
  <si>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</si>
  <si>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</si>
  <si>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</si>
  <si>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</si>
  <si>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</si>
  <si>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</si>
  <si>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</si>
  <si>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</si>
  <si>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</si>
  <si>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</si>
  <si>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</si>
  <si>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</si>
  <si>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</si>
  <si>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</si>
  <si>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</si>
  <si>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</si>
  <si>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</si>
  <si>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</si>
  <si>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</si>
  <si>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</si>
  <si>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</si>
  <si>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</si>
  <si>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</si>
  <si>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</si>
  <si>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</si>
  <si>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</si>
  <si>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</si>
  <si>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</si>
  <si>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</si>
  <si>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</si>
  <si>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</si>
  <si>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</si>
  <si>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</si>
  <si>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</si>
  <si>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</si>
  <si>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</si>
  <si>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</si>
  <si>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</si>
  <si>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</si>
  <si>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</si>
  <si>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</si>
  <si>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</si>
  <si>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</si>
  <si>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</si>
  <si>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</si>
  <si>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</si>
  <si>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</si>
  <si>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</si>
  <si>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</si>
  <si>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</si>
  <si>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</si>
  <si>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</si>
  <si>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</si>
  <si>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</si>
  <si>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</si>
  <si>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</si>
  <si>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</si>
  <si>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</si>
  <si>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</si>
  <si>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</si>
  <si>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</si>
  <si>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</si>
  <si>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</si>
  <si>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</si>
  <si>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</si>
  <si>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</si>
  <si>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</si>
  <si>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</si>
  <si>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</si>
  <si>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</si>
  <si>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</si>
  <si>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</si>
  <si>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</si>
  <si>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</si>
  <si>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</si>
  <si>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</si>
  <si>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</si>
  <si>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</si>
  <si>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</si>
  <si>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</si>
  <si>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</si>
  <si>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</si>
  <si>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</si>
  <si>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</si>
  <si>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</si>
  <si>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</si>
  <si>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</si>
  <si>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</si>
  <si>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</si>
  <si>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</si>
  <si>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</si>
  <si>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</si>
  <si>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</si>
  <si>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</si>
  <si>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</si>
  <si>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</si>
  <si>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</si>
  <si>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</si>
  <si>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</si>
  <si>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</si>
  <si>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</si>
  <si>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</si>
  <si>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</si>
  <si>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</si>
  <si>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</si>
  <si>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</si>
  <si>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</si>
  <si>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</si>
  <si>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</si>
  <si>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</si>
  <si>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</si>
  <si>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</si>
  <si>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</si>
  <si>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</si>
  <si>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</si>
  <si>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</si>
  <si>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</si>
  <si>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</si>
  <si>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</si>
  <si>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</si>
  <si>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</si>
  <si>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</si>
  <si>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</si>
  <si>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</si>
  <si>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</si>
  <si>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</si>
  <si>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</si>
  <si>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</si>
  <si>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</si>
  <si>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</si>
  <si>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</si>
  <si>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</si>
  <si>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</si>
  <si>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</si>
  <si>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</si>
  <si>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</si>
  <si>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</si>
  <si>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</si>
  <si>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</si>
  <si>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</si>
  <si>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</si>
  <si>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</si>
  <si>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</si>
  <si>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</si>
  <si>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</si>
  <si>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</si>
  <si>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</si>
  <si>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</si>
  <si>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</si>
  <si>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</si>
  <si>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</si>
  <si>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</si>
  <si>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</si>
  <si>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</si>
  <si>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</si>
  <si>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</si>
  <si>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</si>
  <si>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</si>
  <si>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</si>
  <si>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</si>
  <si>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</si>
  <si>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</si>
  <si>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</si>
  <si>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</si>
  <si>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</si>
  <si>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</si>
  <si>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</si>
  <si>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</si>
  <si>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</si>
  <si>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</si>
  <si>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</si>
  <si>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</si>
  <si>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</si>
  <si>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</si>
  <si>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</si>
  <si>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</si>
  <si>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</si>
  <si>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</si>
  <si>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</si>
  <si>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</si>
  <si>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</si>
  <si>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</si>
  <si>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</si>
  <si>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</si>
  <si>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</si>
  <si>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</si>
  <si>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</si>
  <si>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</si>
  <si>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</si>
  <si>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</si>
  <si>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</si>
  <si>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</si>
  <si>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</si>
  <si>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</si>
  <si>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</si>
  <si>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</si>
  <si>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</si>
  <si>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</si>
  <si>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</si>
  <si>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</si>
  <si>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</si>
  <si>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</si>
  <si>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</si>
  <si>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</si>
  <si>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</si>
  <si>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</si>
  <si>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</si>
  <si>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</si>
  <si>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</si>
  <si>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</si>
  <si>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</si>
  <si>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</si>
  <si>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</si>
  <si>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</si>
  <si>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</si>
  <si>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</si>
  <si>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</si>
  <si>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</si>
  <si>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</si>
  <si>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</si>
  <si>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</si>
  <si>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</si>
  <si>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</si>
  <si>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</si>
  <si>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</si>
  <si>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</si>
  <si>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</si>
  <si>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</si>
  <si>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</si>
  <si>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</si>
  <si>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</si>
  <si>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</si>
  <si>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</si>
  <si>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</si>
  <si>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</si>
  <si>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</si>
  <si>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</si>
  <si>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</si>
  <si>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</si>
  <si>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</si>
  <si>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</si>
  <si>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</si>
  <si>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</si>
  <si>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</si>
  <si>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</si>
  <si>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</si>
  <si>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</si>
  <si>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</si>
  <si>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</si>
  <si>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</si>
  <si>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</si>
  <si>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</si>
  <si>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</si>
  <si>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</si>
  <si>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</si>
  <si>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</si>
  <si>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</si>
  <si>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</si>
  <si>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</si>
  <si>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</si>
  <si>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</si>
  <si>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</si>
  <si>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</si>
  <si>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</si>
  <si>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</si>
  <si>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</si>
  <si>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</si>
  <si>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</si>
  <si>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</si>
  <si>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</si>
  <si>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</si>
  <si>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</si>
  <si>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</si>
  <si>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</si>
  <si>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</si>
  <si>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</si>
  <si>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</si>
  <si>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</si>
  <si>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</si>
  <si>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</si>
  <si>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</si>
  <si>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</si>
  <si>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</si>
  <si>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</si>
  <si>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</si>
  <si>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</si>
  <si>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</si>
  <si>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</si>
  <si>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</si>
  <si>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</si>
  <si>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</si>
  <si>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</si>
  <si>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</si>
  <si>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</si>
  <si>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</si>
  <si>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</si>
  <si>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</si>
  <si>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</si>
  <si>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</si>
  <si>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</si>
  <si>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</si>
  <si>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</si>
  <si>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</si>
  <si>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</si>
  <si>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</si>
  <si>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</si>
  <si>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</si>
  <si>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</si>
  <si>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</si>
  <si>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</si>
  <si>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</si>
  <si>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</si>
  <si>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</si>
  <si>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</si>
  <si>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</si>
  <si>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</si>
  <si>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</si>
  <si>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</si>
  <si>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</si>
  <si>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</si>
  <si>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</si>
  <si>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</si>
  <si>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</si>
  <si>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</si>
  <si>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</si>
  <si>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</si>
  <si>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</si>
  <si>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</si>
  <si>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</si>
  <si>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</si>
  <si>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</si>
  <si>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</si>
  <si>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</si>
  <si>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</si>
  <si>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</si>
  <si>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</si>
  <si>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</si>
  <si>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</si>
  <si>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</si>
  <si>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</si>
  <si>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</si>
  <si>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</si>
  <si>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</si>
  <si>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</si>
  <si>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</si>
  <si>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</si>
  <si>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</si>
  <si>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</si>
  <si>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</si>
  <si>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</si>
  <si>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</si>
  <si>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</si>
  <si>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</si>
  <si>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</si>
  <si>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</si>
  <si>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</si>
  <si>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</si>
  <si>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</si>
  <si>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</si>
  <si>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</si>
  <si>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</si>
  <si>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</si>
  <si>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</si>
  <si>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</si>
  <si>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</si>
  <si>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</si>
  <si>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</si>
  <si>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</si>
  <si>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</si>
  <si>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</si>
  <si>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</si>
  <si>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</si>
  <si>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</si>
  <si>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</si>
  <si>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</si>
  <si>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</si>
  <si>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</si>
  <si>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</si>
  <si>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</si>
  <si>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</si>
  <si>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</si>
  <si>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</si>
  <si>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</si>
  <si>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</si>
  <si>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</si>
  <si>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</si>
  <si>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</si>
  <si>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</si>
  <si>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</si>
  <si>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</si>
  <si>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</si>
  <si>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</si>
  <si>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</si>
  <si>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</si>
  <si>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</si>
  <si>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</si>
  <si>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</si>
  <si>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</si>
  <si>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</si>
  <si>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</si>
  <si>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</si>
  <si>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</si>
  <si>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</si>
  <si>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</si>
  <si>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</si>
  <si>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</si>
  <si>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</si>
  <si>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</si>
  <si>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</si>
  <si>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</si>
  <si>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</si>
  <si>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</si>
  <si>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</si>
  <si>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</si>
  <si>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</si>
  <si>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</si>
  <si>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</si>
  <si>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</si>
  <si>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</si>
  <si>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</si>
  <si>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</si>
  <si>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</si>
  <si>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</si>
  <si>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</si>
  <si>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</si>
  <si>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</si>
  <si>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</si>
  <si>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</si>
  <si>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</si>
  <si>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</si>
  <si>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</si>
  <si>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</si>
  <si>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</si>
  <si>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</si>
  <si>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</si>
  <si>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</si>
  <si>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</si>
  <si>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</si>
  <si>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</si>
  <si>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</si>
  <si>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</si>
  <si>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</si>
  <si>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</si>
  <si>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</si>
  <si>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</si>
  <si>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</si>
  <si>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</si>
  <si>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</si>
  <si>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</si>
  <si>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</si>
  <si>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</si>
  <si>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</si>
  <si>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</si>
  <si>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</si>
  <si>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</si>
  <si>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</si>
  <si>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</si>
  <si>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</si>
  <si>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</si>
  <si>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</si>
  <si>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</si>
  <si>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</si>
  <si>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</si>
  <si>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</si>
  <si>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</si>
  <si>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</si>
  <si>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</si>
  <si>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</si>
  <si>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</si>
  <si>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</si>
  <si>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</si>
  <si>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</si>
  <si>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</si>
  <si>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</si>
  <si>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</si>
  <si>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</si>
  <si>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</si>
  <si>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</si>
  <si>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</si>
  <si>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</si>
  <si>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</si>
  <si>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</si>
  <si>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</si>
  <si>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</si>
  <si>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</si>
  <si>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</si>
  <si>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</si>
  <si>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</si>
  <si>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</si>
  <si>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</si>
  <si>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</si>
  <si>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</si>
  <si>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</si>
  <si>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</si>
  <si>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</si>
  <si>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</si>
  <si>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</si>
  <si>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</si>
  <si>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</si>
  <si>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</si>
  <si>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</si>
  <si>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</si>
  <si>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</si>
  <si>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</si>
  <si>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</si>
  <si>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</si>
  <si>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</si>
  <si>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</si>
  <si>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</si>
  <si>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</si>
  <si>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</si>
  <si>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</si>
  <si>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</si>
  <si>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</si>
  <si>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</si>
  <si>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</si>
  <si>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</si>
  <si>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</si>
  <si>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</si>
  <si>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</si>
  <si>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</si>
  <si>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</si>
  <si>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</si>
  <si>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</si>
  <si>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</si>
  <si>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</si>
  <si>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</si>
  <si>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</si>
  <si>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</si>
  <si>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</si>
  <si>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</si>
  <si>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</si>
  <si>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</si>
  <si>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</si>
  <si>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</si>
  <si>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</si>
  <si>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</si>
  <si>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</si>
  <si>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</si>
  <si>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</si>
  <si>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</si>
  <si>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</si>
  <si>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</si>
  <si>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</si>
  <si>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</si>
  <si>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</si>
  <si>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</si>
  <si>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</si>
  <si>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</si>
  <si>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</si>
  <si>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</si>
  <si>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</si>
  <si>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</si>
  <si>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</si>
  <si>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</si>
  <si>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</si>
  <si>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</si>
  <si>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</si>
  <si>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</si>
  <si>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</si>
  <si>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</si>
  <si>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</si>
  <si>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</si>
  <si>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</si>
  <si>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</si>
  <si>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</si>
  <si>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</si>
  <si>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</si>
  <si>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</si>
  <si>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</si>
  <si>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</si>
  <si>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</si>
  <si>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</si>
  <si>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</si>
  <si>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</si>
  <si>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</si>
  <si>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</si>
  <si>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</si>
  <si>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</si>
  <si>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</si>
  <si>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</si>
  <si>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</si>
  <si>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</si>
  <si>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</si>
  <si>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</si>
  <si>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</si>
  <si>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</si>
  <si>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</si>
  <si>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</si>
  <si>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</si>
  <si>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</si>
  <si>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</si>
  <si>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</si>
  <si>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</si>
  <si>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</si>
  <si>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</si>
  <si>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</si>
  <si>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</si>
  <si>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</si>
  <si>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</si>
  <si>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</si>
  <si>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</si>
  <si>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</si>
  <si>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</si>
  <si>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</si>
  <si>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</si>
  <si>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</si>
  <si>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</si>
  <si>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</si>
  <si>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</si>
  <si>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</si>
  <si>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</si>
  <si>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</si>
  <si>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</si>
  <si>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</si>
  <si>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</si>
  <si>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</si>
  <si>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</si>
  <si>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</si>
  <si>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</si>
  <si>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</si>
  <si>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</si>
  <si>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</si>
  <si>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</si>
  <si>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</si>
  <si>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</si>
  <si>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</si>
  <si>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</si>
  <si>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</si>
  <si>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</si>
  <si>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</si>
  <si>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</si>
  <si>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</si>
  <si>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</si>
  <si>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</si>
  <si>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</si>
  <si>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</si>
  <si>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</si>
  <si>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</si>
  <si>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</si>
  <si>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</si>
  <si>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</si>
  <si>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</si>
  <si>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</si>
  <si>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</si>
  <si>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</si>
  <si>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</si>
  <si>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</si>
  <si>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</si>
  <si>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</si>
  <si>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</si>
  <si>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</si>
  <si>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</si>
  <si>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</si>
  <si>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</si>
  <si>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</si>
  <si>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</si>
  <si>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</si>
  <si>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</si>
  <si>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</si>
  <si>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</si>
  <si>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</si>
  <si>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</si>
  <si>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</si>
  <si>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</si>
  <si>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</si>
  <si>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</si>
  <si>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</si>
  <si>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</si>
  <si>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</si>
  <si>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</si>
  <si>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</si>
  <si>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</si>
  <si>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</si>
  <si>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</si>
  <si>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</si>
  <si>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</si>
  <si>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</si>
  <si>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</si>
  <si>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</si>
  <si>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</si>
  <si>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</si>
  <si>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</si>
  <si>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</si>
  <si>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</si>
  <si>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</si>
  <si>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</si>
  <si>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</si>
  <si>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</si>
  <si>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</si>
  <si>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</si>
  <si>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</si>
  <si>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</si>
  <si>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</si>
  <si>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</si>
  <si>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</si>
  <si>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</si>
  <si>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</si>
  <si>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</si>
  <si>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</si>
  <si>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</si>
  <si>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</si>
  <si>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</si>
  <si>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</si>
  <si>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</si>
  <si>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</si>
  <si>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</si>
  <si>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</si>
  <si>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</si>
  <si>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</si>
  <si>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</si>
  <si>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</si>
  <si>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</si>
  <si>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</si>
  <si>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</si>
  <si>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</si>
  <si>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</si>
  <si>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</si>
  <si>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</si>
  <si>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</si>
  <si>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</si>
  <si>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</si>
  <si>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</si>
  <si>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</si>
  <si>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</si>
  <si>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</si>
  <si>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</si>
  <si>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</si>
  <si>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</si>
  <si>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</si>
  <si>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</si>
  <si>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</si>
  <si>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</si>
  <si>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</si>
  <si>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</si>
  <si>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</si>
  <si>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</si>
  <si>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</si>
  <si>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</si>
  <si>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</si>
  <si>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</si>
  <si>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</si>
  <si>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</si>
  <si>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</si>
  <si>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</si>
  <si>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</si>
  <si>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</si>
  <si>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</si>
  <si>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</si>
  <si>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</si>
  <si>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</si>
  <si>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</si>
  <si>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</si>
  <si>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</si>
  <si>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</si>
  <si>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</si>
  <si>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</si>
  <si>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</si>
  <si>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</si>
  <si>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</si>
  <si>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</si>
  <si>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</si>
  <si>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</si>
  <si>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</si>
  <si>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</si>
  <si>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</si>
  <si>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</si>
  <si>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</si>
  <si>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</si>
  <si>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</si>
  <si>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</si>
  <si>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</si>
  <si>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</si>
  <si>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</si>
  <si>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</si>
  <si>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</si>
  <si>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</si>
  <si>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</si>
  <si>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</si>
  <si>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</si>
  <si>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</si>
  <si>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</si>
  <si>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</si>
  <si>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</si>
  <si>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</si>
  <si>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</si>
  <si>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</si>
  <si>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</si>
  <si>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</si>
  <si>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</si>
  <si>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</si>
  <si>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</si>
  <si>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</si>
  <si>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</si>
  <si>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</si>
  <si>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</si>
  <si>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</si>
  <si>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</si>
  <si>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</si>
  <si>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</si>
  <si>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</si>
  <si>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</si>
  <si>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</si>
  <si>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</si>
  <si>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</si>
  <si>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</si>
  <si>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</si>
  <si>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</si>
  <si>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</si>
  <si>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</si>
  <si>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</si>
  <si>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</si>
  <si>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</si>
  <si>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</si>
  <si>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</si>
  <si>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</si>
  <si>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</si>
  <si>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</si>
  <si>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</si>
  <si>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</si>
  <si>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</si>
  <si>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</si>
  <si>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</si>
  <si>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</si>
  <si>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</si>
  <si>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</si>
  <si>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</si>
  <si>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</si>
  <si>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</si>
  <si>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</si>
  <si>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</si>
  <si>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</si>
  <si>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</si>
  <si>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</si>
  <si>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</si>
  <si>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</si>
  <si>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</si>
  <si>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</si>
  <si>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</si>
  <si>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</si>
  <si>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</si>
  <si>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</si>
  <si>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</si>
  <si>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</si>
  <si>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</si>
  <si>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</si>
  <si>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</si>
  <si>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</si>
  <si>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</si>
  <si>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</si>
  <si>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</si>
  <si>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</si>
  <si>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</si>
  <si>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</si>
  <si>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</si>
  <si>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</si>
  <si>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</si>
  <si>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</si>
  <si>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</si>
  <si>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</si>
  <si>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</si>
  <si>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</si>
  <si>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</si>
  <si>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</si>
  <si>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</si>
  <si>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</si>
  <si>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</si>
  <si>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</si>
  <si>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</si>
  <si>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</si>
  <si>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</si>
  <si>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</si>
  <si>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</si>
  <si>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</si>
  <si>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</si>
  <si>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</si>
  <si>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</si>
  <si>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</si>
  <si>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</si>
  <si>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</si>
  <si>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</si>
  <si>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</si>
  <si>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</si>
  <si>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</si>
  <si>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</si>
  <si>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</si>
  <si>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</si>
  <si>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</si>
  <si>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</si>
  <si>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</si>
  <si>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</si>
  <si>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</si>
  <si>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</si>
  <si>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</si>
  <si>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</si>
  <si>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</si>
  <si>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</si>
  <si>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</si>
  <si>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</si>
  <si>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</si>
  <si>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</si>
  <si>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</si>
  <si>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</si>
  <si>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</si>
  <si>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</si>
  <si>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</si>
  <si>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</si>
  <si>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</si>
  <si>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</si>
  <si>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</si>
  <si>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</si>
  <si>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</si>
  <si>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</si>
  <si>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</si>
  <si>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</si>
  <si>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</si>
  <si>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</si>
  <si>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</si>
  <si>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</si>
  <si>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</si>
  <si>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</si>
  <si>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</si>
  <si>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</si>
  <si>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</si>
  <si>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</si>
  <si>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</si>
  <si>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</si>
  <si>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</si>
  <si>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</si>
  <si>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</si>
  <si>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</si>
  <si>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</si>
  <si>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</si>
  <si>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</si>
  <si>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</si>
  <si>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</si>
  <si>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</si>
  <si>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</si>
  <si>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</si>
  <si>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</si>
  <si>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</si>
  <si>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</si>
  <si>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</si>
  <si>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</si>
  <si>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</si>
  <si>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</si>
  <si>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</si>
  <si>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</si>
  <si>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</si>
  <si>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</si>
  <si>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</si>
  <si>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</si>
  <si>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</si>
  <si>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</si>
  <si>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</si>
  <si>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</si>
  <si>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</si>
  <si>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</si>
  <si>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</si>
  <si>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</si>
  <si>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</si>
  <si>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</si>
  <si>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</si>
  <si>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</si>
  <si>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</si>
  <si>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</si>
  <si>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</si>
  <si>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</si>
  <si>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</si>
  <si>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</si>
  <si>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</si>
  <si>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</si>
  <si>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</si>
  <si>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</si>
  <si>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</si>
  <si>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</si>
  <si>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</si>
  <si>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</si>
  <si>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</si>
  <si>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</si>
  <si>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</si>
  <si>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</si>
  <si>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</si>
  <si>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</si>
  <si>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</si>
  <si>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</si>
  <si>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</si>
  <si>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</si>
  <si>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</si>
  <si>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</si>
  <si>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</si>
  <si>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</si>
  <si>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</si>
  <si>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</si>
  <si>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</si>
  <si>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</si>
  <si>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</si>
  <si>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</si>
  <si>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</si>
  <si>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</si>
  <si>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</si>
  <si>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</si>
  <si>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</si>
  <si>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</si>
  <si>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</si>
  <si>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</si>
  <si>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</si>
  <si>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</si>
  <si>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</si>
  <si>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</si>
  <si>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</si>
  <si>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</si>
  <si>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</si>
  <si>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</si>
  <si>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</si>
  <si>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</si>
  <si>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</si>
  <si>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</si>
  <si>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</si>
  <si>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</si>
  <si>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</si>
  <si>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</si>
  <si>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</si>
  <si>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</si>
  <si>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</si>
  <si>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</si>
  <si>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</si>
  <si>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</si>
  <si>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</si>
  <si>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</si>
  <si>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</si>
  <si>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</si>
  <si>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</si>
  <si>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</si>
  <si>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</si>
  <si>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</si>
  <si>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</si>
  <si>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</si>
  <si>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</si>
  <si>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</si>
  <si>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</si>
  <si>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</si>
  <si>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</si>
  <si>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</si>
  <si>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</si>
  <si>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</si>
  <si>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</si>
  <si>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</si>
  <si>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</si>
  <si>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</si>
  <si>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</si>
  <si>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</si>
  <si>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</si>
  <si>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</si>
  <si>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</si>
  <si>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</si>
  <si>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</si>
  <si>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</si>
  <si>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</si>
  <si>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</si>
  <si>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</si>
  <si>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</si>
  <si>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</si>
  <si>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</si>
  <si>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</si>
  <si>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</si>
  <si>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</si>
  <si>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</si>
  <si>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</si>
  <si>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</si>
  <si>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</si>
  <si>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</si>
  <si>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</si>
  <si>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</si>
  <si>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</si>
  <si>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</si>
  <si>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</si>
  <si>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</si>
  <si>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</si>
  <si>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</si>
  <si>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</si>
  <si>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</si>
  <si>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</si>
  <si>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</si>
  <si>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</si>
  <si>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</si>
  <si>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</si>
  <si>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</si>
  <si>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</si>
  <si>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</si>
  <si>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</si>
  <si>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</si>
  <si>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</si>
  <si>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</si>
  <si>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</si>
  <si>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</si>
  <si>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</si>
  <si>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</si>
  <si>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</si>
  <si>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</si>
  <si>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</si>
  <si>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</si>
  <si>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</si>
  <si>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</si>
  <si>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</si>
  <si>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</si>
  <si>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</si>
  <si>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</si>
  <si>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</si>
  <si>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</si>
  <si>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</si>
  <si>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</si>
  <si>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</si>
  <si>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</si>
  <si>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</si>
  <si>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</si>
  <si>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</si>
  <si>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</si>
  <si>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</si>
  <si>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</si>
  <si>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</si>
  <si>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</si>
  <si>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</si>
  <si>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</si>
  <si>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</si>
  <si>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</si>
  <si>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</si>
  <si>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</si>
  <si>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</si>
  <si>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</si>
  <si>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</si>
  <si>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</si>
  <si>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</si>
  <si>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</si>
  <si>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</si>
  <si>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</si>
  <si>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</si>
  <si>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</si>
  <si>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</si>
  <si>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</si>
  <si>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</si>
  <si>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</si>
  <si>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</si>
  <si>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</si>
  <si>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</si>
  <si>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</si>
  <si>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</si>
  <si>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</si>
  <si>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</si>
  <si>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</si>
  <si>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</si>
  <si>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</si>
  <si>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</si>
  <si>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</si>
  <si>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</si>
  <si>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</si>
  <si>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</si>
  <si>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</si>
  <si>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</si>
  <si>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</si>
  <si>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</si>
  <si>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</si>
  <si>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</si>
  <si>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</si>
  <si>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</si>
  <si>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</si>
  <si>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</si>
  <si>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</si>
  <si>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</si>
  <si>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</si>
  <si>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</si>
  <si>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</si>
  <si>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</si>
  <si>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</si>
  <si>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</si>
  <si>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</si>
  <si>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</si>
  <si>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</si>
  <si>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</si>
  <si>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</si>
  <si>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</si>
  <si>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</si>
  <si>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</si>
  <si>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</si>
  <si>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</si>
  <si>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</si>
  <si>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</si>
  <si>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</si>
  <si>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</si>
  <si>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</si>
  <si>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</si>
  <si>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</si>
  <si>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</si>
  <si>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</si>
  <si>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</si>
  <si>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</si>
  <si>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</si>
  <si>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</si>
  <si>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</si>
  <si>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</si>
  <si>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</si>
  <si>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</si>
  <si>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</si>
  <si>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</si>
  <si>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</si>
  <si>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</si>
  <si>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</si>
  <si>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</si>
  <si>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</si>
  <si>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</si>
  <si>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</si>
  <si>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</si>
  <si>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</si>
  <si>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</si>
  <si>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</si>
  <si>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</si>
  <si>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</si>
  <si>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</si>
  <si>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</si>
  <si>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</si>
  <si>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</si>
  <si>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</si>
  <si>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</si>
  <si>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</si>
  <si>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</si>
  <si>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</si>
  <si>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</si>
  <si>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</si>
  <si>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</si>
  <si>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</si>
  <si>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</si>
  <si>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</si>
  <si>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</si>
  <si>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</si>
  <si>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</si>
  <si>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</si>
  <si>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</si>
  <si>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</si>
  <si>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</si>
  <si>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</si>
  <si>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</si>
  <si>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</si>
  <si>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</si>
  <si>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</si>
  <si>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</si>
  <si>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</si>
  <si>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</si>
  <si>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</si>
  <si>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</si>
  <si>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</si>
  <si>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</si>
  <si>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</si>
  <si>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</si>
  <si>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</si>
  <si>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</si>
  <si>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</si>
  <si>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</si>
  <si>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</si>
  <si>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</si>
  <si>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</si>
  <si>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</si>
  <si>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</si>
  <si>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</si>
  <si>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</si>
  <si>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</si>
  <si>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</si>
  <si>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</si>
  <si>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</si>
  <si>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</si>
  <si>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</si>
  <si>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</si>
  <si>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</si>
  <si>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</si>
  <si>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</si>
  <si>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</si>
  <si>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</si>
  <si>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</si>
  <si>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</si>
  <si>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</si>
  <si>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</si>
  <si>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</si>
  <si>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</si>
  <si>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</si>
  <si>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</si>
  <si>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</si>
  <si>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</si>
  <si>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</si>
  <si>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</si>
  <si>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</si>
  <si>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</si>
  <si>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</si>
  <si>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</si>
  <si>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</si>
  <si>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</si>
  <si>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</si>
  <si>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</si>
  <si>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</si>
  <si>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</si>
  <si>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</si>
  <si>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</si>
  <si>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</si>
  <si>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</si>
  <si>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</si>
  <si>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</si>
  <si>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</si>
  <si>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</si>
  <si>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</si>
  <si>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</si>
  <si>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</si>
  <si>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</si>
  <si>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</si>
  <si>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</si>
  <si>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</si>
  <si>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</si>
  <si>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</si>
  <si>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</si>
  <si>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</si>
  <si>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</si>
  <si>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</si>
  <si>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</si>
  <si>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</si>
  <si>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</si>
  <si>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</si>
  <si>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</si>
  <si>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</si>
  <si>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</si>
  <si>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</si>
  <si>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</si>
  <si>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</si>
  <si>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</si>
  <si>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</si>
  <si>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</si>
  <si>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</si>
  <si>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</si>
  <si>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</si>
  <si>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</si>
  <si>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</si>
  <si>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</si>
  <si>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</si>
  <si>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</si>
  <si>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</si>
  <si>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</si>
  <si>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</si>
  <si>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</si>
  <si>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</si>
  <si>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</si>
  <si>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</si>
  <si>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</si>
  <si>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</si>
  <si>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</si>
  <si>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</si>
  <si>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</si>
  <si>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</si>
  <si>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</si>
  <si>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</si>
  <si>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</si>
  <si>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</si>
  <si>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</si>
  <si>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</si>
  <si>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</si>
  <si>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</si>
  <si>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</si>
  <si>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</si>
  <si>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</si>
  <si>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</si>
  <si>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</si>
  <si>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</si>
  <si>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</si>
  <si>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</si>
  <si>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</si>
  <si>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</si>
  <si>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</si>
  <si>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</si>
  <si>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</si>
  <si>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</si>
  <si>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</si>
  <si>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</si>
  <si>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</si>
  <si>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</si>
  <si>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</si>
  <si>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</si>
  <si>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</si>
  <si>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</si>
  <si>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</si>
  <si>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</si>
  <si>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</si>
  <si>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</si>
  <si>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</si>
  <si>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</si>
  <si>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</si>
  <si>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</si>
  <si>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</si>
  <si>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</si>
  <si>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</si>
  <si>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</si>
  <si>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</si>
  <si>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</si>
  <si>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</si>
  <si>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</si>
  <si>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</si>
  <si>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</si>
  <si>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</si>
  <si>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</si>
  <si>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</si>
  <si>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</si>
  <si>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</si>
  <si>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</si>
  <si>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</si>
  <si>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</si>
  <si>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</si>
  <si>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</si>
  <si>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</si>
  <si>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</si>
  <si>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</si>
  <si>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</si>
  <si>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</si>
  <si>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</si>
  <si>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</si>
  <si>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</si>
  <si>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</si>
  <si>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</si>
  <si>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</si>
  <si>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</si>
  <si>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</si>
  <si>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</si>
  <si>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</si>
  <si>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</si>
  <si>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</si>
  <si>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</si>
  <si>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</si>
  <si>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</si>
  <si>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</si>
  <si>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</si>
  <si>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</si>
  <si>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</si>
  <si>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</si>
  <si>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</si>
  <si>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</si>
  <si>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</si>
  <si>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</si>
  <si>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</si>
  <si>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</si>
  <si>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</si>
  <si>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</si>
  <si>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</si>
  <si>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</si>
  <si>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</si>
  <si>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</si>
  <si>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</si>
  <si>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</si>
  <si>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</si>
  <si>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</si>
  <si>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</si>
  <si>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</si>
  <si>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</si>
  <si>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</si>
  <si>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</si>
  <si>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</si>
  <si>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</si>
  <si>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</si>
  <si>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</si>
  <si>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</si>
  <si>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</si>
  <si>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</si>
  <si>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</si>
  <si>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</si>
  <si>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</si>
  <si>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</si>
  <si>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</si>
  <si>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</si>
  <si>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</si>
  <si>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</si>
  <si>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</si>
  <si>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</si>
  <si>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</si>
  <si>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</si>
  <si>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</si>
  <si>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</si>
  <si>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</si>
  <si>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</si>
  <si>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</si>
  <si>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</si>
  <si>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</si>
  <si>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</si>
  <si>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</si>
  <si>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</si>
  <si>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</si>
  <si>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</si>
  <si>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</si>
  <si>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</si>
  <si>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</si>
  <si>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</si>
  <si>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</si>
  <si>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</si>
  <si>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</si>
  <si>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</si>
  <si>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</si>
  <si>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</si>
  <si>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</si>
  <si>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</si>
  <si>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</si>
  <si>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</si>
  <si>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</si>
  <si>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</si>
  <si>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</si>
  <si>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</si>
  <si>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</si>
  <si>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</si>
  <si>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</si>
  <si>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</si>
  <si>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</si>
  <si>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</si>
  <si>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</si>
  <si>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</si>
  <si>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</si>
  <si>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</si>
  <si>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</si>
  <si>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</si>
  <si>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</si>
  <si>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</si>
  <si>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</si>
  <si>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</si>
  <si>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</si>
  <si>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</si>
  <si>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</si>
  <si>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</si>
  <si>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</si>
  <si>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</si>
  <si>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</si>
  <si>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</si>
  <si>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</si>
  <si>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</si>
  <si>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</si>
  <si>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</si>
  <si>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</si>
  <si>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</si>
  <si>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</si>
  <si>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</si>
  <si>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</si>
  <si>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</si>
  <si>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</si>
  <si>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</si>
  <si>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</si>
  <si>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</si>
  <si>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</si>
  <si>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</si>
  <si>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</si>
  <si>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</si>
  <si>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</si>
  <si>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</si>
  <si>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</si>
  <si>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</si>
  <si>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</si>
  <si>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</si>
  <si>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</si>
  <si>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</si>
  <si>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</si>
  <si>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</si>
  <si>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</si>
  <si>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</si>
  <si>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</si>
  <si>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</si>
  <si>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</si>
  <si>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</si>
  <si>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</si>
  <si>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</si>
  <si>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</si>
  <si>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</si>
  <si>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</si>
  <si>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</si>
  <si>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</si>
  <si>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</si>
  <si>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</si>
  <si>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</si>
  <si>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</si>
  <si>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</si>
  <si>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</si>
  <si>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</si>
  <si>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</si>
  <si>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</si>
  <si>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</si>
  <si>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</si>
  <si>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</si>
  <si>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</si>
  <si>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</si>
  <si>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</si>
  <si>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</si>
  <si>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</si>
  <si>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</si>
  <si>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</si>
  <si>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</si>
  <si>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</si>
  <si>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</si>
  <si>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</si>
  <si>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</si>
  <si>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</si>
  <si>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</si>
  <si>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</si>
  <si>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</si>
  <si>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</si>
  <si>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</si>
  <si>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</si>
  <si>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</si>
  <si>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</si>
  <si>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</si>
  <si>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</si>
  <si>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</si>
  <si>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</si>
  <si>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</si>
  <si>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</si>
  <si>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</si>
  <si>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</si>
  <si>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</si>
  <si>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</si>
  <si>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</si>
  <si>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</si>
  <si>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</si>
  <si>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</si>
  <si>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</si>
  <si>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</si>
  <si>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</si>
  <si>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</si>
  <si>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</si>
  <si>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</si>
  <si>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</si>
  <si>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</si>
  <si>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</si>
  <si>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</si>
  <si>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</si>
  <si>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</si>
  <si>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</si>
  <si>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</si>
  <si>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</si>
  <si>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</si>
  <si>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</si>
  <si>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</si>
  <si>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</si>
  <si>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</si>
  <si>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</si>
  <si>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</si>
  <si>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</si>
  <si>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</si>
  <si>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</si>
  <si>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</si>
  <si>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</si>
  <si>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</si>
  <si>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</si>
  <si>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</si>
  <si>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</si>
  <si>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</si>
  <si>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</si>
  <si>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</si>
  <si>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</si>
  <si>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</si>
  <si>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</si>
  <si>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</si>
  <si>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</si>
  <si>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</si>
  <si>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</si>
  <si>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</si>
  <si>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</si>
  <si>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</si>
  <si>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</si>
  <si>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</si>
  <si>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</si>
  <si>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</si>
  <si>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</si>
  <si>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</si>
  <si>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</si>
  <si>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</si>
  <si>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</si>
  <si>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</si>
  <si>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</si>
  <si>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</si>
  <si>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</si>
  <si>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</si>
  <si>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</si>
  <si>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</si>
  <si>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</si>
  <si>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</si>
  <si>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</si>
  <si>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</si>
  <si>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</si>
  <si>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</si>
  <si>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</si>
  <si>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</si>
  <si>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</si>
  <si>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</si>
  <si>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</si>
  <si>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</si>
  <si>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</si>
  <si>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</si>
  <si>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</si>
  <si>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</si>
  <si>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</si>
  <si>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</si>
  <si>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</si>
  <si>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</si>
  <si>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</si>
  <si>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</si>
  <si>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</si>
  <si>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</si>
  <si>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</si>
  <si>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</si>
  <si>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</si>
  <si>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</si>
  <si>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</si>
  <si>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</si>
  <si>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</si>
  <si>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</si>
  <si>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</si>
  <si>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</si>
  <si>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</si>
  <si>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</si>
  <si>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</si>
  <si>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</si>
  <si>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</si>
  <si>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</si>
  <si>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</si>
  <si>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</si>
  <si>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</si>
  <si>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</si>
  <si>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</si>
  <si>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</si>
  <si>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</si>
  <si>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</si>
  <si>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</si>
  <si>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</si>
  <si>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</si>
  <si>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</si>
  <si>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</si>
  <si>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</si>
  <si>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</si>
  <si>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</si>
  <si>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</si>
  <si>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</si>
  <si>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</si>
  <si>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</si>
  <si>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</si>
  <si>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</si>
  <si>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</si>
  <si>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</si>
  <si>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</si>
  <si>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</si>
  <si>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</si>
  <si>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</si>
  <si>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</si>
  <si>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</si>
  <si>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</si>
  <si>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</si>
  <si>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</si>
  <si>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</si>
  <si>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</si>
  <si>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</si>
  <si>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</si>
  <si>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</si>
  <si>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</si>
  <si>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</si>
  <si>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</si>
  <si>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</si>
  <si>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</si>
  <si>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</si>
  <si>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</si>
  <si>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</si>
  <si>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</si>
  <si>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</si>
  <si>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</si>
  <si>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</si>
  <si>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</si>
  <si>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</si>
  <si>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</si>
  <si>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</si>
  <si>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</si>
  <si>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</si>
  <si>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</si>
  <si>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</si>
  <si>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</si>
  <si>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</si>
  <si>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</si>
  <si>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</si>
  <si>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</si>
  <si>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</si>
  <si>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</si>
  <si>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</si>
  <si>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</si>
  <si>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</si>
  <si>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</si>
  <si>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</si>
  <si>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</si>
  <si>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</si>
  <si>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</si>
  <si>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</si>
  <si>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</si>
  <si>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</si>
  <si>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</si>
  <si>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</si>
  <si>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</si>
  <si>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</si>
  <si>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</si>
  <si>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</si>
  <si>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</si>
  <si>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</si>
  <si>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</si>
  <si>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</si>
  <si>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</si>
  <si>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</si>
  <si>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</si>
  <si>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</si>
  <si>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</si>
  <si>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</si>
  <si>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</si>
  <si>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</si>
  <si>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</si>
  <si>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</si>
  <si>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</si>
  <si>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</si>
  <si>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</si>
  <si>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</si>
  <si>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</si>
  <si>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</si>
  <si>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</si>
  <si>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</si>
  <si>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</si>
  <si>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</si>
  <si>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</si>
  <si>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</si>
  <si>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</si>
  <si>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</si>
  <si>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</si>
  <si>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</si>
  <si>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</si>
  <si>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</si>
  <si>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</si>
  <si>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</si>
  <si>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</si>
  <si>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</si>
  <si>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</si>
  <si>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</si>
  <si>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</si>
  <si>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</si>
  <si>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</si>
  <si>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</si>
  <si>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</si>
  <si>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</si>
  <si>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</si>
  <si>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</si>
  <si>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</si>
  <si>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</si>
  <si>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</si>
  <si>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</si>
  <si>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</si>
  <si>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</si>
  <si>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</si>
  <si>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</si>
  <si>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</si>
  <si>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</si>
  <si>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</si>
  <si>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</si>
  <si>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</si>
  <si>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</si>
  <si>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</si>
  <si>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</si>
  <si>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</si>
  <si>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</si>
  <si>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</si>
  <si>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</si>
  <si>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</si>
  <si>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</si>
  <si>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</si>
  <si>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</si>
  <si>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</si>
  <si>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</si>
  <si>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</si>
  <si>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</si>
  <si>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</si>
  <si>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</si>
  <si>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</si>
  <si>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</si>
  <si>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</si>
  <si>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</si>
  <si>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</si>
  <si>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</si>
  <si>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</si>
  <si>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</si>
  <si>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</si>
  <si>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</si>
  <si>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</si>
  <si>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</si>
  <si>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</si>
  <si>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</si>
  <si>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</si>
  <si>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</si>
  <si>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</si>
  <si>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</si>
  <si>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</si>
  <si>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</si>
  <si>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</si>
  <si>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</si>
  <si>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</si>
  <si>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</si>
  <si>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</si>
  <si>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</si>
  <si>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</si>
  <si>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</si>
  <si>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</si>
  <si>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</si>
  <si>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</si>
  <si>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</si>
  <si>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</si>
  <si>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</si>
  <si>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</si>
  <si>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</si>
  <si>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</si>
  <si>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</si>
  <si>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</si>
  <si>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</si>
  <si>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</si>
  <si>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</si>
  <si>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</si>
  <si>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</si>
  <si>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</si>
  <si>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</si>
  <si>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</si>
  <si>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</si>
  <si>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</si>
  <si>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</si>
  <si>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</si>
  <si>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</si>
  <si>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</si>
  <si>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</si>
  <si>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</si>
  <si>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</si>
  <si>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</si>
  <si>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</si>
  <si>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</si>
  <si>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</si>
  <si>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</si>
  <si>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</si>
  <si>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</si>
  <si>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</si>
  <si>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</si>
  <si>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</si>
  <si>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</si>
  <si>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</si>
  <si>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</si>
  <si>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</si>
  <si>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</si>
  <si>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</si>
  <si>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</si>
  <si>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</si>
  <si>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</si>
  <si>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</si>
  <si>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</si>
  <si>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</si>
  <si>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</si>
  <si>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</si>
  <si>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</si>
  <si>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</si>
  <si>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</si>
  <si>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</si>
  <si>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</si>
  <si>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</si>
  <si>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</si>
  <si>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</si>
  <si>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</si>
  <si>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</si>
  <si>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</si>
  <si>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</si>
  <si>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</si>
  <si>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</si>
  <si>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</si>
  <si>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</si>
  <si>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</si>
  <si>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</si>
  <si>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</si>
  <si>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</si>
  <si>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</si>
  <si>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</si>
  <si>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</si>
  <si>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</si>
  <si>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</si>
  <si>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</si>
  <si>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</si>
  <si>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</si>
  <si>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</si>
  <si>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</si>
  <si>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</si>
  <si>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</si>
  <si>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</si>
  <si>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</si>
  <si>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</si>
  <si>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</si>
  <si>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</si>
  <si>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</si>
  <si>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</si>
  <si>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</si>
  <si>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</si>
  <si>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</si>
  <si>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</si>
  <si>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</si>
  <si>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</si>
  <si>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</si>
  <si>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</si>
  <si>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</si>
  <si>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</si>
  <si>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</si>
  <si>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</si>
  <si>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</si>
  <si>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</si>
  <si>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</si>
  <si>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</si>
  <si>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</si>
  <si>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</si>
  <si>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</si>
  <si>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</si>
  <si>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</si>
  <si>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</si>
  <si>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</si>
  <si>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</si>
  <si>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</si>
  <si>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</si>
  <si>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</si>
  <si>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</si>
  <si>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</si>
  <si>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</si>
  <si>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</si>
  <si>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</si>
  <si>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</si>
  <si>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</si>
  <si>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</si>
  <si>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</si>
  <si>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</si>
  <si>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抵押</t>
  </si>
  <si>
    <t>房地产抵押价值</t>
  </si>
  <si>
    <t>其他：</t>
  </si>
  <si>
    <t>企业</t>
  </si>
  <si>
    <t>出让</t>
  </si>
  <si>
    <t>是</t>
  </si>
  <si>
    <t>地上</t>
  </si>
  <si>
    <t>商业</t>
    <phoneticPr fontId="7" type="noConversion"/>
  </si>
  <si>
    <t>成新度</t>
  </si>
  <si>
    <t>收益法</t>
  </si>
  <si>
    <t>楼层</t>
    <phoneticPr fontId="3" type="noConversion"/>
  </si>
  <si>
    <t>面积</t>
    <phoneticPr fontId="3" type="noConversion"/>
  </si>
  <si>
    <t>系数</t>
    <phoneticPr fontId="3" type="noConversion"/>
  </si>
  <si>
    <t>按租金收入计税</t>
  </si>
  <si>
    <t>钢混</t>
  </si>
  <si>
    <t>非生产用房</t>
  </si>
  <si>
    <t>未包含在土地购买价格中</t>
  </si>
  <si>
    <t>全部缴纳</t>
  </si>
  <si>
    <t>已包含在土地取得成本中</t>
  </si>
  <si>
    <t>成本法</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</si>
  <si>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</si>
  <si>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</si>
  <si>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</si>
  <si>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</si>
  <si>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</si>
  <si>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</si>
  <si>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</si>
  <si>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</si>
  <si>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</si>
  <si>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</si>
  <si>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</si>
  <si>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</si>
  <si>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</si>
  <si>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天津经开区西区新柏路以东,康慧街以南</t>
  </si>
  <si>
    <t>天津市</t>
  </si>
  <si>
    <t>商业/办公用地</t>
  </si>
  <si>
    <t>≤3</t>
  </si>
  <si>
    <t>挂牌</t>
  </si>
  <si>
    <t>2021-05-12</t>
  </si>
  <si>
    <t>康希诺生物股份公司</t>
  </si>
  <si>
    <t>津南区葛沽镇</t>
  </si>
  <si>
    <t>≤1.5</t>
  </si>
  <si>
    <t>2021-04-27</t>
  </si>
  <si>
    <t>天津佳沃天成产业园发展有限公司</t>
  </si>
  <si>
    <t>滨海高新区海洋科技园内</t>
  </si>
  <si>
    <t>≤0.2</t>
  </si>
  <si>
    <t>2020-12-23</t>
  </si>
  <si>
    <t>天津滨海新区渤油石化产品有限公司</t>
  </si>
  <si>
    <t>≤2.5</t>
  </si>
  <si>
    <t>2020-12-09</t>
  </si>
  <si>
    <t>天津海明置业有限公司</t>
  </si>
  <si>
    <t>天津开发区迎达路以西、汇河街以南</t>
  </si>
  <si>
    <t>≤1.0</t>
  </si>
  <si>
    <t>2020-04-29</t>
  </si>
  <si>
    <t>天津滨海新城建设发展有限公司</t>
  </si>
  <si>
    <t>天津滨海高新区海洋科技园</t>
  </si>
  <si>
    <t>≤3.5</t>
  </si>
  <si>
    <t>2019-09-04</t>
  </si>
  <si>
    <t>天津紫光云谷产业园有限公司</t>
  </si>
  <si>
    <t>≤2.0</t>
  </si>
  <si>
    <t>2019-07-10</t>
  </si>
  <si>
    <t>天津海盛置业有限公司</t>
  </si>
  <si>
    <t>2019-05-29</t>
  </si>
  <si>
    <t>新城控股集团股份有限公司</t>
  </si>
  <si>
    <t>天津开发区</t>
  </si>
  <si>
    <t>2019-02-27</t>
  </si>
  <si>
    <t>闻旅凯达(天津)酒店管理有限公司</t>
  </si>
  <si>
    <t>天津未来科技城京津合作示范区</t>
  </si>
  <si>
    <t>≤0.5</t>
  </si>
  <si>
    <t>2019-01-30</t>
  </si>
  <si>
    <t>首创经中(天津)投资有限公司</t>
  </si>
  <si>
    <t>≤1.7</t>
  </si>
  <si>
    <t>正常</t>
    <phoneticPr fontId="31" type="noConversion"/>
  </si>
  <si>
    <t>正常</t>
    <phoneticPr fontId="31" type="noConversion"/>
  </si>
  <si>
    <t>正常</t>
    <phoneticPr fontId="31" type="noConversion"/>
  </si>
  <si>
    <t>天津市人民政府办公厅关于城市基础设施配套收费与建设体制改革的工作意见</t>
    <phoneticPr fontId="3" type="noConversion"/>
  </si>
  <si>
    <t>总价</t>
  </si>
  <si>
    <t xml:space="preserve"> </t>
    <phoneticPr fontId="31" type="noConversion"/>
  </si>
  <si>
    <t>自定义</t>
  </si>
  <si>
    <t>郑燚</t>
  </si>
  <si>
    <t>崔锴</t>
  </si>
  <si>
    <t>较好</t>
    <phoneticPr fontId="31" type="noConversion"/>
  </si>
  <si>
    <t>一般</t>
    <phoneticPr fontId="31" type="noConversion"/>
  </si>
  <si>
    <t>一般</t>
    <phoneticPr fontId="31" type="noConversion"/>
  </si>
  <si>
    <t>七通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</si>
</sst>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49" fontId="134" fillId="2" borderId="26" xfId="0" applyNumberFormat="1" applyFont="1" applyFill="1" applyBorder="1" applyAlignment="1" applyProtection="1">
      <alignment horizontal="center" vertical="center" wrapText="1"/>
      <protection locked="0"/>
    </xf>
    <xf numFmtId="179" fontId="134" fillId="13" borderId="0" xfId="0" applyNumberFormat="1" applyFont="1" applyFill="1" applyAlignment="1" applyProtection="1">
      <alignment horizontal="center" vertical="center"/>
      <protection locked="0"/>
    </xf>
    <xf numFmtId="10" fontId="49" fillId="8" borderId="61" xfId="0" applyNumberFormat="1" applyFont="1" applyFill="1" applyBorder="1" applyAlignment="1" applyProtection="1">
      <alignment horizontal="center" vertical="center"/>
    </xf>
    <xf numFmtId="181" fontId="46" fillId="8" borderId="1" xfId="0" applyNumberFormat="1" applyFont="1" applyFill="1" applyBorder="1" applyAlignment="1" applyProtection="1">
      <alignment vertical="center"/>
      <protection locked="0"/>
    </xf>
    <xf numFmtId="0" fontId="54" fillId="8" borderId="1" xfId="0" applyFont="1" applyFill="1" applyBorder="1" applyAlignment="1" applyProtection="1">
      <alignment horizontal="center" vertical="center"/>
    </xf>
    <xf numFmtId="179" fontId="49" fillId="8" borderId="1" xfId="0" applyNumberFormat="1" applyFont="1" applyFill="1" applyBorder="1" applyAlignment="1" applyProtection="1">
      <alignment horizontal="center" vertical="center" wrapText="1"/>
      <protection locked="0"/>
    </xf>
    <xf numFmtId="0" fontId="46" fillId="8" borderId="5" xfId="0" applyFont="1" applyFill="1" applyBorder="1" applyAlignment="1" applyProtection="1">
      <alignment horizontal="center" vertical="center" wrapText="1"/>
    </xf>
    <xf numFmtId="181" fontId="54" fillId="8" borderId="24" xfId="0"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532535</xdr:colOff>
      <xdr:row>46</xdr:row>
      <xdr:rowOff>161241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6923810" cy="5476191"/>
        </a:xfrm>
        <a:prstGeom prst="rect">
          <a:avLst/>
        </a:prstGeom>
      </xdr:spPr>
    </xdr:pic>
    <xdr:clientData/>
  </xdr:twoCellAnchor>
  <xdr:twoCellAnchor editAs="oneCell">
    <xdr:from>
      <xdr:col>0</xdr:col>
      <xdr:colOff>28575</xdr:colOff>
      <xdr:row>46</xdr:row>
      <xdr:rowOff>123825</xdr:rowOff>
    </xdr:from>
    <xdr:to>
      <xdr:col>11</xdr:col>
      <xdr:colOff>84577</xdr:colOff>
      <xdr:row>91</xdr:row>
      <xdr:rowOff>65718</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8010525"/>
          <a:ext cx="9190477" cy="7657143"/>
        </a:xfrm>
        <a:prstGeom prst="rect">
          <a:avLst/>
        </a:prstGeom>
      </xdr:spPr>
    </xdr:pic>
    <xdr:clientData/>
  </xdr:twoCellAnchor>
  <xdr:twoCellAnchor editAs="oneCell">
    <xdr:from>
      <xdr:col>0</xdr:col>
      <xdr:colOff>0</xdr:colOff>
      <xdr:row>92</xdr:row>
      <xdr:rowOff>0</xdr:rowOff>
    </xdr:from>
    <xdr:to>
      <xdr:col>11</xdr:col>
      <xdr:colOff>541716</xdr:colOff>
      <xdr:row>138</xdr:row>
      <xdr:rowOff>113301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9676191" cy="8000001"/>
        </a:xfrm>
        <a:prstGeom prst="rect">
          <a:avLst/>
        </a:prstGeom>
      </xdr:spPr>
    </xdr:pic>
    <xdr:clientData/>
  </xdr:twoCellAnchor>
  <xdr:twoCellAnchor editAs="oneCell">
    <xdr:from>
      <xdr:col>0</xdr:col>
      <xdr:colOff>0</xdr:colOff>
      <xdr:row>139</xdr:row>
      <xdr:rowOff>0</xdr:rowOff>
    </xdr:from>
    <xdr:to>
      <xdr:col>11</xdr:col>
      <xdr:colOff>541716</xdr:colOff>
      <xdr:row>185</xdr:row>
      <xdr:rowOff>113301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3831550"/>
          <a:ext cx="9676191" cy="80000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房地产抵押价值预评估</v>
      </c>
    </row>
    <row r="3" spans="1:2" s="1363" customFormat="1">
      <c r="A3" s="1361" t="s">
        <v>1188</v>
      </c>
      <c r="B3" s="1362">
        <f>'预评函-封皮'!B40</f>
        <v>0</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受贵公司委托，我公司对房地产抵押价值进行了预评估。</v>
      </c>
    </row>
    <row r="7" spans="1:2" s="1363" customFormat="1">
      <c r="A7" s="1361" t="s">
        <v>1231</v>
      </c>
      <c r="B7" s="1362" t="str">
        <f>'预评函-1'!A7</f>
        <v>估价对象为房地产，为所有。根据《国有土地使用证》[]，估价对象（分摊）出让国有建设用地使用权面积为0平方米，建筑面积为45218.69平方米。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估价对象为房地产,属开发建设的，该项目尚在开发建设中。根据《国有土地使用证》[]，估价对象（分摊）出让国有建设用地使用权面积为0平方米，规划建筑面积为45218.69平方米。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2021年8月31日</v>
      </c>
    </row>
    <row r="13" spans="1:2" s="1363" customFormat="1">
      <c r="A13" s="1361" t="s">
        <v>1194</v>
      </c>
      <c r="B13" s="1362" t="str">
        <f>'预评函-1'!A18</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35742</v>
      </c>
    </row>
    <row r="21" spans="1:2" s="1363" customFormat="1">
      <c r="A21" s="1361" t="s">
        <v>1202</v>
      </c>
      <c r="B21" s="1362">
        <f ca="1">'预评函-2'!D7</f>
        <v>7904</v>
      </c>
    </row>
    <row r="22" spans="1:2" s="1363" customFormat="1">
      <c r="A22" s="1361" t="s">
        <v>1203</v>
      </c>
      <c r="B22" s="1362" t="str">
        <f ca="1">'预评函-2'!D6</f>
        <v>叁亿伍仟柒佰肆拾贰万元整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35742</v>
      </c>
    </row>
    <row r="31" spans="1:2" s="1363" customFormat="1">
      <c r="A31" s="1361" t="s">
        <v>1241</v>
      </c>
      <c r="B31" s="1362">
        <f ca="1">'预评函-2'!D15</f>
        <v>7904</v>
      </c>
    </row>
    <row r="32" spans="1:2" s="1363" customFormat="1">
      <c r="A32" s="1361" t="s">
        <v>1208</v>
      </c>
      <c r="B32" s="1362" t="str">
        <f ca="1">'预评函-2'!D14</f>
        <v>叁亿伍仟柒佰肆拾贰万元整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房地产</v>
      </c>
    </row>
    <row r="42" spans="1:2" s="1363" customFormat="1">
      <c r="A42" s="1361" t="s">
        <v>1255</v>
      </c>
      <c r="B42" s="1362" t="str">
        <f>'预评函-3'!B2</f>
        <v>建筑面积</v>
      </c>
    </row>
    <row r="43" spans="1:2" s="1363" customFormat="1">
      <c r="A43" s="1361" t="s">
        <v>1256</v>
      </c>
      <c r="B43" s="1362">
        <f>'预评函-3'!B4</f>
        <v>45218.69</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3040</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4"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37" t="s">
        <v>832</v>
      </c>
      <c r="C54" s="1734" t="s">
        <v>1248</v>
      </c>
    </row>
    <row r="55" spans="1:4">
      <c r="A55" s="3114"/>
      <c r="B55" s="1737" t="s">
        <v>833</v>
      </c>
      <c r="C55" s="1734" t="s">
        <v>1249</v>
      </c>
    </row>
    <row r="56" spans="1:4">
      <c r="A56" s="3114"/>
      <c r="B56" s="1737" t="s">
        <v>834</v>
      </c>
      <c r="C56" s="1734" t="s">
        <v>1253</v>
      </c>
    </row>
    <row r="57" spans="1:4">
      <c r="A57" s="3114"/>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C58" sqref="C58"/>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2915</v>
      </c>
      <c r="B1" s="3115" t="str">
        <f>IF(B10="北京市","北京市",C10)&amp;F10&amp;IF(结果表!G1="在建","出让国有建设用地使用权及在建建筑物",IF(结果表!G1="土地","出让国有建设用地使用权",))&amp;B9&amp;"预评估"</f>
        <v>房地产抵押价值预评估</v>
      </c>
      <c r="C1" s="3116"/>
      <c r="D1" s="3116"/>
      <c r="E1" s="3116"/>
      <c r="F1" s="3116"/>
      <c r="G1" s="3116"/>
      <c r="H1" s="3116"/>
      <c r="I1" s="3117"/>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房地产抵押价值</v>
      </c>
      <c r="T1" s="1929"/>
      <c r="U1" s="1929"/>
      <c r="V1" s="1929"/>
      <c r="W1" s="1929"/>
      <c r="X1" s="1929"/>
      <c r="Y1" s="1929"/>
      <c r="Z1" s="1929"/>
      <c r="AA1" s="1929"/>
      <c r="AB1" s="1929"/>
    </row>
    <row r="2" spans="1:28">
      <c r="A2" s="2589" t="s">
        <v>2916</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7" t="s">
        <v>2917</v>
      </c>
      <c r="B3" s="2595"/>
      <c r="C3" s="2596" t="s">
        <v>2918</v>
      </c>
      <c r="D3" s="2595">
        <v>44439</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2919</v>
      </c>
      <c r="B4" s="2597" t="s">
        <v>3146</v>
      </c>
      <c r="C4" s="2598">
        <f ca="1">SUMIF(注册房地产估价师,B4,估价师及机构信息!B3:B24)</f>
        <v>1120100036</v>
      </c>
      <c r="D4" s="2597" t="s">
        <v>3145</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3"/>
      <c r="K4" s="2600" t="str">
        <f ca="1">CONCATENATE(B4,"（注册号：",C4,")、",D4,"（注册号：",E4,")")</f>
        <v>崔锴（注册号：1120100036)、郑燚（注册号：1120070131)</v>
      </c>
      <c r="L4" s="2591"/>
      <c r="M4" s="2591"/>
      <c r="N4" s="2592"/>
      <c r="O4" s="1759"/>
      <c r="P4" s="2592"/>
      <c r="Q4" s="2592"/>
      <c r="R4" s="2592"/>
      <c r="S4" s="1866"/>
      <c r="T4" s="1929"/>
      <c r="U4" s="1929"/>
      <c r="V4" s="1929"/>
      <c r="W4" s="1929"/>
      <c r="X4" s="1929"/>
      <c r="Y4" s="1929"/>
      <c r="Z4" s="1929"/>
      <c r="AA4" s="1929"/>
      <c r="AB4" s="1929"/>
    </row>
    <row r="5" spans="1:28" ht="13.5" thickTop="1">
      <c r="A5" s="2601" t="s">
        <v>2920</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2921</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2922</v>
      </c>
      <c r="B7" s="2609"/>
      <c r="C7" s="2607"/>
      <c r="D7" s="2608"/>
      <c r="E7" s="2887"/>
      <c r="F7" s="2889"/>
      <c r="G7" s="2889"/>
      <c r="H7" s="2889"/>
      <c r="I7" s="2889"/>
      <c r="J7" s="2663"/>
      <c r="K7" s="2840"/>
      <c r="L7" s="2837"/>
      <c r="M7" s="2837"/>
      <c r="N7" s="2663"/>
      <c r="O7" s="2674"/>
      <c r="P7" s="2663"/>
      <c r="Q7" s="2663"/>
      <c r="R7" s="2663"/>
    </row>
    <row r="8" spans="1:28">
      <c r="A8" s="2610" t="s">
        <v>2923</v>
      </c>
      <c r="B8" s="2611" t="s">
        <v>3066</v>
      </c>
      <c r="C8" s="2612"/>
      <c r="D8" s="3118" t="s">
        <v>2924</v>
      </c>
      <c r="E8" s="2613" t="s">
        <v>3067</v>
      </c>
      <c r="F8" s="2614"/>
      <c r="G8" s="2888"/>
      <c r="H8" s="2888"/>
      <c r="I8" s="2888"/>
      <c r="J8" s="2663"/>
      <c r="K8" s="2838"/>
      <c r="L8" s="2837"/>
      <c r="M8" s="2837"/>
      <c r="N8" s="2663"/>
      <c r="O8" s="2674"/>
      <c r="P8" s="2663"/>
      <c r="Q8" s="2663"/>
      <c r="R8" s="2663"/>
    </row>
    <row r="9" spans="1:28" ht="13.5" thickBot="1">
      <c r="A9" s="2615" t="s">
        <v>2925</v>
      </c>
      <c r="B9" s="2616" t="s">
        <v>3067</v>
      </c>
      <c r="C9" s="2617"/>
      <c r="D9" s="3119"/>
      <c r="E9" s="2616"/>
      <c r="F9" s="2618"/>
      <c r="G9" s="2890"/>
      <c r="H9" s="2890"/>
      <c r="I9" s="2890"/>
      <c r="J9" s="2663"/>
      <c r="K9" s="2840"/>
      <c r="L9" s="2837"/>
      <c r="M9" s="2837"/>
      <c r="N9" s="2663"/>
      <c r="O9" s="2674"/>
      <c r="P9" s="2663"/>
      <c r="Q9" s="2663"/>
      <c r="R9" s="2663"/>
    </row>
    <row r="10" spans="1:28" ht="13.5" thickTop="1">
      <c r="A10" s="2619" t="s">
        <v>2926</v>
      </c>
      <c r="B10" s="2620" t="s">
        <v>3068</v>
      </c>
      <c r="C10" s="2621"/>
      <c r="D10" s="2604"/>
      <c r="E10" s="2622" t="s">
        <v>2927</v>
      </c>
      <c r="F10" s="2891"/>
      <c r="G10" s="2892"/>
      <c r="H10" s="2893"/>
      <c r="I10" s="2894"/>
      <c r="J10" s="2663"/>
      <c r="K10" s="2840"/>
      <c r="L10" s="2837"/>
      <c r="M10" s="2837"/>
      <c r="N10" s="2663"/>
      <c r="O10" s="2674"/>
      <c r="P10" s="2663"/>
      <c r="Q10" s="2663"/>
      <c r="R10" s="2663"/>
    </row>
    <row r="11" spans="1:28">
      <c r="A11" s="2623" t="s">
        <v>2928</v>
      </c>
      <c r="B11" s="2624" t="s">
        <v>3069</v>
      </c>
      <c r="C11" s="2625"/>
      <c r="D11" s="2626"/>
      <c r="E11" s="2592"/>
      <c r="F11" s="2592"/>
      <c r="G11" s="2592"/>
      <c r="H11" s="2592"/>
      <c r="I11" s="2592"/>
      <c r="J11" s="2663"/>
      <c r="K11" s="2840"/>
      <c r="L11" s="2837"/>
      <c r="M11" s="2837"/>
      <c r="N11" s="2663"/>
      <c r="O11" s="2674"/>
      <c r="P11" s="2663"/>
      <c r="Q11" s="2663"/>
      <c r="R11" s="2663"/>
    </row>
    <row r="12" spans="1:28">
      <c r="A12" s="2627" t="s">
        <v>2929</v>
      </c>
      <c r="B12" s="2624" t="s">
        <v>3070</v>
      </c>
      <c r="C12" s="328"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39"/>
      <c r="B13" s="2629"/>
      <c r="C13" s="2630" t="s">
        <v>2937</v>
      </c>
      <c r="D13" s="964"/>
      <c r="E13" s="964">
        <v>51772</v>
      </c>
      <c r="F13" s="964"/>
      <c r="G13" s="964"/>
      <c r="H13" s="964"/>
      <c r="I13" s="964"/>
      <c r="J13" s="2663"/>
      <c r="K13" s="2840"/>
      <c r="L13" s="2837"/>
      <c r="M13" s="2837"/>
      <c r="N13" s="2663"/>
      <c r="O13" s="2674"/>
      <c r="P13" s="2663"/>
      <c r="Q13" s="2663"/>
      <c r="R13" s="2663"/>
    </row>
    <row r="14" spans="1:28">
      <c r="A14" s="1239"/>
      <c r="B14" s="2629"/>
      <c r="C14" s="2630" t="s">
        <v>2938</v>
      </c>
      <c r="D14" s="2631"/>
      <c r="E14" s="2631">
        <v>40</v>
      </c>
      <c r="F14" s="2631"/>
      <c r="G14" s="2631"/>
      <c r="H14" s="2631"/>
      <c r="I14" s="2631"/>
      <c r="J14" s="2663"/>
      <c r="K14" s="2841"/>
      <c r="L14" s="2837"/>
      <c r="M14" s="2837"/>
      <c r="N14" s="2663"/>
      <c r="O14" s="2674"/>
      <c r="P14" s="2663"/>
      <c r="Q14" s="2663"/>
      <c r="R14" s="2663"/>
    </row>
    <row r="15" spans="1:28">
      <c r="A15" s="325"/>
      <c r="B15" s="2632"/>
      <c r="C15" s="2633" t="s">
        <v>2939</v>
      </c>
      <c r="D15" s="2634" t="str">
        <f>IF(B12="出让",IF(D13="","",ROUNDDOWN(MIN((D13-$D$3)/365,D14),2)),D14)</f>
        <v/>
      </c>
      <c r="E15" s="2634">
        <f>IF(B12="出让",IF(E13="","",ROUNDDOWN(MIN((E13-$D$3)/365,E14),2)),E14)</f>
        <v>20.09</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2940</v>
      </c>
      <c r="B16" s="3125"/>
      <c r="C16" s="3126"/>
      <c r="D16" s="3127"/>
      <c r="E16" s="2637" t="s">
        <v>2941</v>
      </c>
      <c r="F16" s="3128"/>
      <c r="G16" s="3129"/>
      <c r="H16" s="3129"/>
      <c r="I16" s="3130"/>
      <c r="J16" s="2663"/>
      <c r="K16" s="2842"/>
      <c r="L16" s="2675"/>
      <c r="M16" s="2675"/>
      <c r="N16" s="2733"/>
      <c r="O16" s="2675"/>
      <c r="P16" s="2733"/>
      <c r="Q16" s="2663"/>
      <c r="R16" s="2663"/>
    </row>
    <row r="17" spans="1:28">
      <c r="A17" s="318" t="s">
        <v>2942</v>
      </c>
      <c r="B17" s="307" t="s">
        <v>2943</v>
      </c>
      <c r="C17" s="11">
        <f>'数据-汇总表'!E3</f>
        <v>45218.69</v>
      </c>
      <c r="D17" s="2543" t="s">
        <v>2944</v>
      </c>
      <c r="E17" s="3131" t="s">
        <v>2945</v>
      </c>
      <c r="F17" s="3132"/>
      <c r="G17" s="3132"/>
      <c r="H17" s="3132"/>
      <c r="I17" s="3133"/>
      <c r="J17" s="2663"/>
      <c r="K17" s="2843"/>
      <c r="L17" s="2675"/>
      <c r="M17" s="2675"/>
      <c r="N17" s="2733"/>
      <c r="O17" s="2675"/>
      <c r="P17" s="2733"/>
      <c r="Q17" s="2663"/>
      <c r="R17" s="2663"/>
      <c r="S17" s="2663"/>
      <c r="T17" s="2663"/>
      <c r="U17" s="2663"/>
      <c r="V17" s="2663"/>
    </row>
    <row r="18" spans="1:28" ht="24.75" thickBot="1">
      <c r="A18" s="2638" t="s">
        <v>2946</v>
      </c>
      <c r="B18" s="1248" t="s">
        <v>2947</v>
      </c>
      <c r="C18" s="2639">
        <f>'数据-汇总表'!D3</f>
        <v>0</v>
      </c>
      <c r="D18" s="1250" t="s">
        <v>2948</v>
      </c>
      <c r="E18" s="3134" t="s">
        <v>2949</v>
      </c>
      <c r="F18" s="3135"/>
      <c r="G18" s="3135"/>
      <c r="H18" s="3135"/>
      <c r="I18" s="3136"/>
      <c r="J18" s="2663"/>
      <c r="K18" s="2843"/>
      <c r="L18" s="2675"/>
      <c r="M18" s="2675"/>
      <c r="N18" s="2733"/>
      <c r="O18" s="2675"/>
      <c r="P18" s="2733"/>
      <c r="Q18" s="2663"/>
      <c r="R18" s="2663"/>
      <c r="S18" s="2663"/>
      <c r="T18" s="2663"/>
      <c r="U18" s="2663"/>
      <c r="V18" s="2663"/>
    </row>
    <row r="19" spans="1:28" ht="37.5" thickTop="1" thickBot="1">
      <c r="A19" s="332" t="s">
        <v>1741</v>
      </c>
      <c r="B19" s="312" t="s">
        <v>2950</v>
      </c>
      <c r="C19" s="1746"/>
      <c r="D19" s="1747" t="s">
        <v>2951</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2952</v>
      </c>
      <c r="B20" s="3121" t="s">
        <v>2953</v>
      </c>
      <c r="C20" s="3122"/>
      <c r="D20" s="3123" t="s">
        <v>2954</v>
      </c>
      <c r="E20" s="3124"/>
      <c r="F20" s="2872" t="s">
        <v>1742</v>
      </c>
      <c r="G20" s="2889"/>
      <c r="H20" s="2889"/>
      <c r="I20" s="2889"/>
      <c r="J20" s="2663"/>
      <c r="K20" s="3120" t="s">
        <v>2955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2956</v>
      </c>
      <c r="C21" s="2859" t="s">
        <v>1743</v>
      </c>
      <c r="D21" s="1751" t="s">
        <v>2957</v>
      </c>
      <c r="E21" s="2860" t="s">
        <v>1743</v>
      </c>
      <c r="F21" s="2873"/>
      <c r="G21" s="2889"/>
      <c r="H21" s="2889"/>
      <c r="I21" s="2889"/>
      <c r="J21" s="2663"/>
      <c r="K21" s="312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2958</v>
      </c>
      <c r="C22" s="2859" t="s">
        <v>1744</v>
      </c>
      <c r="D22" s="2888"/>
      <c r="E22" s="2888"/>
      <c r="F22" s="2888"/>
      <c r="G22" s="2889"/>
      <c r="H22" s="2889"/>
      <c r="I22" s="2889"/>
      <c r="J22" s="2663"/>
      <c r="K22" s="312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8" t="s">
        <v>2961</v>
      </c>
      <c r="B27" s="325" t="s">
        <v>2962</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8"/>
      <c r="B28" s="307" t="s">
        <v>2963</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8"/>
      <c r="B29" s="307" t="s">
        <v>2964</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9"/>
      <c r="B30" s="307" t="s">
        <v>2965</v>
      </c>
      <c r="C30" s="3140"/>
      <c r="D30" s="3141"/>
      <c r="E30" s="2889"/>
      <c r="F30" s="2889"/>
      <c r="G30" s="2889"/>
      <c r="H30" s="2889"/>
      <c r="I30" s="2889"/>
      <c r="J30" s="2663"/>
      <c r="K30" s="2840"/>
      <c r="L30" s="2837"/>
      <c r="M30" s="2837"/>
      <c r="N30" s="2663"/>
      <c r="O30" s="2674"/>
      <c r="P30" s="2663"/>
      <c r="Q30" s="2663"/>
      <c r="R30" s="2663"/>
      <c r="S30" s="2663"/>
      <c r="T30" s="2663"/>
      <c r="U30" s="2663"/>
      <c r="V30" s="2663"/>
    </row>
    <row r="31" spans="1:28">
      <c r="A31" s="3142" t="s">
        <v>2966</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43"/>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43"/>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7" t="s">
        <v>2967</v>
      </c>
      <c r="B34" s="2212"/>
      <c r="C34" s="2212"/>
      <c r="D34" s="2212"/>
      <c r="E34" s="2212"/>
      <c r="F34" s="2212"/>
      <c r="G34" s="2212"/>
      <c r="H34" s="2212"/>
      <c r="I34" s="2889"/>
      <c r="J34" s="2663"/>
      <c r="K34" s="2651">
        <f>COUNTIF(B34:H34,"——")</f>
        <v>0</v>
      </c>
      <c r="L34" s="328" t="s">
        <v>2968</v>
      </c>
      <c r="M34" s="328" t="s">
        <v>2969</v>
      </c>
      <c r="N34" s="328" t="s">
        <v>2970</v>
      </c>
      <c r="O34" s="328" t="s">
        <v>2971</v>
      </c>
      <c r="P34" s="328" t="s">
        <v>2972</v>
      </c>
      <c r="Q34" s="328" t="s">
        <v>2973</v>
      </c>
      <c r="R34" s="328" t="s">
        <v>2974</v>
      </c>
      <c r="S34" s="3137" t="s">
        <v>2975</v>
      </c>
      <c r="T34" s="2652" t="str">
        <f>NUMBERSTRING(7-K34,1)&amp;"通"</f>
        <v>七通</v>
      </c>
      <c r="U34" s="2663"/>
      <c r="V34" s="2663"/>
    </row>
    <row r="35" spans="1:30">
      <c r="A35" s="2653"/>
      <c r="B35" s="3144" t="s">
        <v>2976</v>
      </c>
      <c r="C35" s="3144"/>
      <c r="D35" s="3144"/>
      <c r="E35" s="3144"/>
      <c r="F35" s="672">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37"/>
      <c r="T35" s="334" t="str">
        <f>IF(T34="一通",L35,IF(T34="二通",M35,IF(T34="三通",N35,IF(T34="四通",O35,IF(T34="五通",P35,IF(T34="六通",Q35,R35))))))</f>
        <v>、、、、、、</v>
      </c>
      <c r="U35" s="2663"/>
      <c r="V35" s="2663"/>
    </row>
    <row r="36" spans="1:30">
      <c r="A36" s="2654"/>
      <c r="B36" s="672" t="s">
        <v>2932</v>
      </c>
      <c r="C36" s="672" t="s">
        <v>2933</v>
      </c>
      <c r="D36" s="672" t="s">
        <v>2931</v>
      </c>
      <c r="E36" s="672"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2978</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2980</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8"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3069"/>
      <c r="B3" s="13">
        <f>IF(C3="否",G5-AT5,G5)</f>
        <v>45218.69</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4" t="s">
        <v>1757</v>
      </c>
      <c r="B5" s="1529"/>
      <c r="C5" s="1529"/>
      <c r="D5" s="1531"/>
      <c r="E5" s="15" t="s">
        <v>1</v>
      </c>
      <c r="F5" s="15">
        <f>SUM(F13:F587)</f>
        <v>0</v>
      </c>
      <c r="G5" s="15">
        <f>SUM(G13:G587)</f>
        <v>45218.69</v>
      </c>
      <c r="H5" s="15">
        <f t="shared" ref="H5:AT5" si="0">SUM(H13:H656)</f>
        <v>45218.69</v>
      </c>
      <c r="I5" s="15">
        <f t="shared" si="0"/>
        <v>45218.69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8"/>
      <c r="AV5" s="14" t="s">
        <v>1757</v>
      </c>
      <c r="AW5" s="1529"/>
      <c r="AX5" s="1529"/>
      <c r="AY5" s="16" t="s">
        <v>3</v>
      </c>
      <c r="AZ5" s="17">
        <f t="shared" ref="AZ5:BT5" si="1">SUM(AZ13:AZ656)</f>
        <v>45218.69</v>
      </c>
      <c r="BA5" s="17">
        <f t="shared" si="1"/>
        <v>45218.69</v>
      </c>
      <c r="BB5" s="17">
        <f t="shared" si="1"/>
        <v>45218.69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2" customFormat="1" ht="12.75">
      <c r="A6" s="14" t="s">
        <v>1758</v>
      </c>
      <c r="B6" s="1769"/>
      <c r="C6" s="1769"/>
      <c r="D6" s="1770"/>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1"/>
      <c r="AV6" s="14" t="s">
        <v>1758</v>
      </c>
      <c r="AW6" s="1769"/>
      <c r="AX6" s="1769"/>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2" t="s">
        <v>1767</v>
      </c>
      <c r="AW7" s="1761" t="s">
        <v>1768</v>
      </c>
      <c r="AX7" s="22"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5"/>
    </row>
    <row r="9" spans="1:72" s="1784" customFormat="1" ht="12.75">
      <c r="A9" s="1777"/>
      <c r="B9" s="1777"/>
      <c r="C9" s="1777"/>
      <c r="D9" s="1777"/>
      <c r="E9" s="1777"/>
      <c r="F9" s="1777"/>
      <c r="G9" s="1201"/>
      <c r="H9" s="1785" t="s">
        <v>1777</v>
      </c>
      <c r="I9" s="1786" t="s">
        <v>3072</v>
      </c>
      <c r="J9" s="917"/>
      <c r="K9" s="1786"/>
      <c r="L9" s="917"/>
      <c r="M9" s="1786"/>
      <c r="N9" s="917"/>
      <c r="O9" s="1786"/>
      <c r="P9" s="917"/>
      <c r="Q9" s="1786"/>
      <c r="R9" s="917"/>
      <c r="S9" s="1786"/>
      <c r="T9" s="917"/>
      <c r="U9" s="1786"/>
      <c r="V9" s="917"/>
      <c r="W9" s="1786"/>
      <c r="X9" s="1787"/>
      <c r="Y9" s="1786"/>
      <c r="Z9" s="917"/>
      <c r="AA9" s="1786"/>
      <c r="AB9" s="917"/>
      <c r="AC9" s="1778" t="s">
        <v>1777</v>
      </c>
      <c r="AD9" s="14" t="s">
        <v>1778</v>
      </c>
      <c r="AE9" s="1207"/>
      <c r="AF9" s="14" t="s">
        <v>1779</v>
      </c>
      <c r="AG9" s="1207"/>
      <c r="AH9" s="14" t="s">
        <v>1778</v>
      </c>
      <c r="AI9" s="1207"/>
      <c r="AJ9" s="14" t="s">
        <v>1779</v>
      </c>
      <c r="AK9" s="1207"/>
      <c r="AL9" s="14" t="s">
        <v>1778</v>
      </c>
      <c r="AM9" s="1207"/>
      <c r="AN9" s="14" t="s">
        <v>1779</v>
      </c>
      <c r="AO9" s="1207"/>
      <c r="AP9" s="14" t="s">
        <v>1778</v>
      </c>
      <c r="AQ9" s="1207"/>
      <c r="AR9" s="14" t="s">
        <v>1779</v>
      </c>
      <c r="AS9" s="1788"/>
      <c r="AT9" s="1777"/>
      <c r="AU9" s="1777" t="s">
        <v>1780</v>
      </c>
      <c r="AV9" s="1201"/>
      <c r="AW9" s="1760"/>
      <c r="AX9" s="1201"/>
      <c r="AY9" s="27"/>
      <c r="AZ9" s="27" t="s">
        <v>1770</v>
      </c>
      <c r="BA9" s="1789" t="s">
        <v>1781</v>
      </c>
      <c r="BB9" s="1790"/>
      <c r="BC9" s="1246"/>
      <c r="BD9" s="1246"/>
      <c r="BE9" s="1246"/>
      <c r="BF9" s="1246"/>
      <c r="BG9" s="1246"/>
      <c r="BH9" s="1246"/>
      <c r="BI9" s="1246"/>
      <c r="BJ9" s="1246"/>
      <c r="BK9" s="1791"/>
      <c r="BL9" s="14" t="s">
        <v>1782</v>
      </c>
      <c r="BM9" s="1542"/>
      <c r="BN9" s="1780"/>
      <c r="BO9" s="1542"/>
      <c r="BP9" s="1542"/>
      <c r="BQ9" s="1542"/>
      <c r="BR9" s="1542"/>
      <c r="BS9" s="1542"/>
      <c r="BT9" s="25"/>
    </row>
    <row r="10" spans="1:72" s="1784" customFormat="1" ht="12.75">
      <c r="A10" s="1777"/>
      <c r="B10" s="1777"/>
      <c r="C10" s="1777"/>
      <c r="D10" s="1777"/>
      <c r="E10" s="1777"/>
      <c r="F10" s="1777"/>
      <c r="G10" s="1201"/>
      <c r="H10" s="27"/>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4" t="s">
        <v>1783</v>
      </c>
      <c r="AE10" s="1793"/>
      <c r="AF10" s="14" t="s">
        <v>1783</v>
      </c>
      <c r="AG10" s="1793"/>
      <c r="AH10" s="14" t="s">
        <v>1784</v>
      </c>
      <c r="AI10" s="1793"/>
      <c r="AJ10" s="14" t="s">
        <v>1784</v>
      </c>
      <c r="AK10" s="1793"/>
      <c r="AL10" s="14" t="s">
        <v>1785</v>
      </c>
      <c r="AM10" s="1207"/>
      <c r="AN10" s="14" t="s">
        <v>1785</v>
      </c>
      <c r="AO10" s="1207"/>
      <c r="AP10" s="14" t="s">
        <v>1786</v>
      </c>
      <c r="AQ10" s="1207"/>
      <c r="AR10" s="14" t="s">
        <v>1786</v>
      </c>
      <c r="AS10" s="1207"/>
      <c r="AT10" s="1777"/>
      <c r="AU10" s="1777"/>
      <c r="AV10" s="1201"/>
      <c r="AW10" s="1760"/>
      <c r="AX10" s="1201"/>
      <c r="AY10" s="27"/>
      <c r="AZ10" s="27"/>
      <c r="BA10" s="1794" t="s">
        <v>1777</v>
      </c>
      <c r="BB10" s="1795" t="str">
        <f>I9</f>
        <v>地上</v>
      </c>
      <c r="BC10" s="28">
        <f>K9</f>
        <v>0</v>
      </c>
      <c r="BD10" s="28">
        <f>M9</f>
        <v>0</v>
      </c>
      <c r="BE10" s="28">
        <f>O9</f>
        <v>0</v>
      </c>
      <c r="BF10" s="28">
        <f>Q9</f>
        <v>0</v>
      </c>
      <c r="BG10" s="28">
        <f>S9</f>
        <v>0</v>
      </c>
      <c r="BH10" s="28">
        <f>U9</f>
        <v>0</v>
      </c>
      <c r="BI10" s="28">
        <f>W9</f>
        <v>0</v>
      </c>
      <c r="BJ10" s="28">
        <f>Y9</f>
        <v>0</v>
      </c>
      <c r="BK10" s="28">
        <f>AA9</f>
        <v>0</v>
      </c>
      <c r="BL10" s="24" t="s">
        <v>1777</v>
      </c>
      <c r="BM10" s="1541" t="str">
        <f>AD9</f>
        <v>地上</v>
      </c>
      <c r="BN10" s="28" t="str">
        <f>AF9</f>
        <v>地下</v>
      </c>
      <c r="BO10" s="1541" t="str">
        <f>AH9</f>
        <v>地上</v>
      </c>
      <c r="BP10" s="28" t="str">
        <f>AJ9</f>
        <v>地下</v>
      </c>
      <c r="BQ10" s="1541" t="str">
        <f>AL9</f>
        <v>地上</v>
      </c>
      <c r="BR10" s="28"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7"/>
      <c r="AZ11" s="27"/>
      <c r="BA11" s="27"/>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3" t="str">
        <f>AH10</f>
        <v>物业管理用房</v>
      </c>
      <c r="BP11" s="23" t="str">
        <f>AJ10</f>
        <v>物业管理用房</v>
      </c>
      <c r="BQ11" s="23" t="str">
        <f>AL10</f>
        <v>设备及其他</v>
      </c>
      <c r="BR11" s="23" t="str">
        <f>AN10</f>
        <v>设备及其他</v>
      </c>
      <c r="BS11" s="24" t="str">
        <f>AP10</f>
        <v>未注明</v>
      </c>
      <c r="BT11" s="1801" t="str">
        <f>AR10</f>
        <v>未注明</v>
      </c>
    </row>
    <row r="12" spans="1:72" s="1762" customFormat="1" ht="12.75">
      <c r="A12" s="1802"/>
      <c r="B12" s="1802"/>
      <c r="C12" s="1802"/>
      <c r="D12" s="1802"/>
      <c r="E12" s="1802"/>
      <c r="F12" s="1802"/>
      <c r="G12" s="29"/>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2" t="s">
        <v>1790</v>
      </c>
      <c r="AT12" s="1805"/>
      <c r="AU12" s="1802"/>
      <c r="AV12" s="30"/>
      <c r="AW12" s="1761"/>
      <c r="AX12" s="30"/>
      <c r="AY12" s="1806"/>
      <c r="AZ12" s="27"/>
      <c r="BA12" s="1794"/>
      <c r="BB12" s="23">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3" t="str">
        <f>AH11</f>
        <v>（住宅、计出让金）</v>
      </c>
      <c r="BP12" s="23" t="str">
        <f>AJ11</f>
        <v>（住宅、计出让金）</v>
      </c>
      <c r="BQ12" s="23">
        <f>AL11</f>
        <v>0</v>
      </c>
      <c r="BR12" s="23">
        <f>AN11</f>
        <v>0</v>
      </c>
      <c r="BS12" s="24">
        <f>AP11</f>
        <v>0</v>
      </c>
      <c r="BT12" s="1801">
        <f>AR11</f>
        <v>0</v>
      </c>
    </row>
    <row r="13" spans="1:72" s="1762" customFormat="1" ht="12.75">
      <c r="A13" s="1181"/>
      <c r="B13" s="1181"/>
      <c r="C13" s="1181"/>
      <c r="D13" s="1808" t="s">
        <v>3071</v>
      </c>
      <c r="E13" s="15">
        <f>IF($C$3="是",ROUND($A$3*G13/$B$3,2),ROUND($A$3*(G13-AT13)/$B$3,2))</f>
        <v>0</v>
      </c>
      <c r="F13" s="31"/>
      <c r="G13" s="32">
        <f>H13+AC13+AT13</f>
        <v>45218.69</v>
      </c>
      <c r="H13" s="19">
        <f>SUMIF(I$12:AB$12,"总值",I13:AB13)</f>
        <v>45218.69</v>
      </c>
      <c r="I13" s="1809">
        <v>45218.69</v>
      </c>
      <c r="J13" s="1809"/>
      <c r="K13" s="1809"/>
      <c r="L13" s="1809"/>
      <c r="M13" s="1809"/>
      <c r="N13" s="1809"/>
      <c r="O13" s="1809"/>
      <c r="P13" s="1809"/>
      <c r="Q13" s="1809"/>
      <c r="R13" s="1809"/>
      <c r="S13" s="1809"/>
      <c r="T13" s="1809"/>
      <c r="U13" s="1809"/>
      <c r="V13" s="1809"/>
      <c r="W13" s="1809"/>
      <c r="X13" s="1809"/>
      <c r="Y13" s="1809"/>
      <c r="Z13" s="1809"/>
      <c r="AA13" s="1809"/>
      <c r="AB13" s="1809"/>
      <c r="AC13" s="15">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0</v>
      </c>
      <c r="AZ13" s="15">
        <f>BA13+BL13</f>
        <v>45218.69</v>
      </c>
      <c r="BA13" s="15">
        <f>SUM(BB13:BK13)</f>
        <v>45218.69</v>
      </c>
      <c r="BB13" s="15">
        <f>IF($D13="是",I13-J13,0)</f>
        <v>45218.69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2" customFormat="1" ht="12.75">
      <c r="A14" s="1181"/>
      <c r="B14" s="1181"/>
      <c r="C14" s="1753"/>
      <c r="D14" s="1808"/>
      <c r="E14" s="15">
        <f>IF($C$3="是",ROUND($A$3*G14/$B$3,2),ROUND($A$3*(G14-AT14)/$B$3,2))</f>
        <v>0</v>
      </c>
      <c r="F14" s="31"/>
      <c r="G14" s="32">
        <f>H14+AC14+AT14</f>
        <v>0</v>
      </c>
      <c r="H14" s="19">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5">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2" customFormat="1" ht="12.75">
      <c r="A15" s="1181"/>
      <c r="B15" s="1181"/>
      <c r="C15" s="1753"/>
      <c r="D15" s="1808"/>
      <c r="E15" s="15">
        <f>IF($C$3="是",ROUND($A$3*G15/$B$3,2),ROUND($A$3*(G15-AT15)/$B$3,2))</f>
        <v>0</v>
      </c>
      <c r="F15" s="31"/>
      <c r="G15" s="32">
        <f>H15+AC15+AT15</f>
        <v>0</v>
      </c>
      <c r="H15" s="19">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5">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2" customFormat="1" ht="12.75">
      <c r="A16" s="1181"/>
      <c r="B16" s="1181"/>
      <c r="C16" s="1753"/>
      <c r="D16" s="1808"/>
      <c r="E16" s="15">
        <f>IF($C$3="是",ROUND($A$3*G16/$B$3,2),ROUND($A$3*(G16-AT16)/$B$3,2))</f>
        <v>0</v>
      </c>
      <c r="F16" s="31"/>
      <c r="G16" s="32">
        <f>H16+AC16+AT16</f>
        <v>0</v>
      </c>
      <c r="H16" s="19">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5">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2" customFormat="1" ht="12.75">
      <c r="A17" s="1181"/>
      <c r="B17" s="1181"/>
      <c r="C17" s="1753"/>
      <c r="D17" s="1808"/>
      <c r="E17" s="15">
        <f>IF($C$3="是",ROUND($A$3*G17/$B$3,2),ROUND($A$3*(G17-AT17)/$B$3,2))</f>
        <v>0</v>
      </c>
      <c r="F17" s="31"/>
      <c r="G17" s="32">
        <f>H17+AC17+AT17</f>
        <v>0</v>
      </c>
      <c r="H17" s="19">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5">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4"/>
      <c r="AV18" s="1525">
        <f t="shared" ref="AV18:AV112" si="11">A18</f>
        <v>0</v>
      </c>
      <c r="AW18" s="1525">
        <f t="shared" ref="AW18:AW112" si="12">B18</f>
        <v>0</v>
      </c>
      <c r="AX18" s="152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4"/>
      <c r="AV19" s="1525">
        <f t="shared" si="11"/>
        <v>0</v>
      </c>
      <c r="AW19" s="1525">
        <f t="shared" si="12"/>
        <v>0</v>
      </c>
      <c r="AX19" s="152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4"/>
      <c r="AV20" s="1525">
        <f t="shared" si="11"/>
        <v>0</v>
      </c>
      <c r="AW20" s="1525">
        <f t="shared" si="12"/>
        <v>0</v>
      </c>
      <c r="AX20" s="152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4"/>
      <c r="AV21" s="1525">
        <f t="shared" si="11"/>
        <v>0</v>
      </c>
      <c r="AW21" s="1525">
        <f t="shared" si="12"/>
        <v>0</v>
      </c>
      <c r="AX21" s="152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4"/>
      <c r="AV22" s="1525">
        <f t="shared" si="11"/>
        <v>0</v>
      </c>
      <c r="AW22" s="1525">
        <f t="shared" si="12"/>
        <v>0</v>
      </c>
      <c r="AX22" s="152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4"/>
      <c r="AV23" s="1525">
        <f t="shared" si="11"/>
        <v>0</v>
      </c>
      <c r="AW23" s="1525">
        <f t="shared" si="12"/>
        <v>0</v>
      </c>
      <c r="AX23" s="152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4"/>
      <c r="AV24" s="1525">
        <f t="shared" si="11"/>
        <v>0</v>
      </c>
      <c r="AW24" s="1525">
        <f t="shared" si="12"/>
        <v>0</v>
      </c>
      <c r="AX24" s="152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4"/>
      <c r="AV25" s="1525">
        <f t="shared" si="11"/>
        <v>0</v>
      </c>
      <c r="AW25" s="1525">
        <f t="shared" si="12"/>
        <v>0</v>
      </c>
      <c r="AX25" s="152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4"/>
      <c r="AV26" s="1525">
        <f t="shared" si="11"/>
        <v>0</v>
      </c>
      <c r="AW26" s="1525">
        <f t="shared" si="12"/>
        <v>0</v>
      </c>
      <c r="AX26" s="152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4"/>
      <c r="AV27" s="1525">
        <f t="shared" si="11"/>
        <v>0</v>
      </c>
      <c r="AW27" s="1525">
        <f t="shared" si="12"/>
        <v>0</v>
      </c>
      <c r="AX27" s="152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4"/>
      <c r="AV28" s="1525">
        <f t="shared" si="11"/>
        <v>0</v>
      </c>
      <c r="AW28" s="1525">
        <f t="shared" si="12"/>
        <v>0</v>
      </c>
      <c r="AX28" s="152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4"/>
      <c r="AV29" s="1525">
        <f t="shared" si="11"/>
        <v>0</v>
      </c>
      <c r="AW29" s="1525">
        <f t="shared" si="12"/>
        <v>0</v>
      </c>
      <c r="AX29" s="152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4"/>
      <c r="AV30" s="1525">
        <f t="shared" si="11"/>
        <v>0</v>
      </c>
      <c r="AW30" s="1525">
        <f t="shared" si="12"/>
        <v>0</v>
      </c>
      <c r="AX30" s="152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4"/>
      <c r="AV31" s="1525">
        <f t="shared" si="11"/>
        <v>0</v>
      </c>
      <c r="AW31" s="1525">
        <f t="shared" si="12"/>
        <v>0</v>
      </c>
      <c r="AX31" s="152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4"/>
      <c r="AV32" s="1525">
        <f t="shared" si="11"/>
        <v>0</v>
      </c>
      <c r="AW32" s="1525">
        <f t="shared" si="12"/>
        <v>0</v>
      </c>
      <c r="AX32" s="152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4"/>
      <c r="AV33" s="1525">
        <f t="shared" si="11"/>
        <v>0</v>
      </c>
      <c r="AW33" s="1525">
        <f t="shared" si="12"/>
        <v>0</v>
      </c>
      <c r="AX33" s="152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4"/>
      <c r="AV34" s="1525">
        <f t="shared" si="11"/>
        <v>0</v>
      </c>
      <c r="AW34" s="1525">
        <f t="shared" si="12"/>
        <v>0</v>
      </c>
      <c r="AX34" s="152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4"/>
      <c r="AV35" s="1525">
        <f t="shared" si="11"/>
        <v>0</v>
      </c>
      <c r="AW35" s="1525">
        <f t="shared" si="12"/>
        <v>0</v>
      </c>
      <c r="AX35" s="152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4"/>
      <c r="AV36" s="1525">
        <f t="shared" si="11"/>
        <v>0</v>
      </c>
      <c r="AW36" s="1525">
        <f t="shared" si="12"/>
        <v>0</v>
      </c>
      <c r="AX36" s="152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4"/>
      <c r="AV37" s="1525">
        <f t="shared" si="11"/>
        <v>0</v>
      </c>
      <c r="AW37" s="1525">
        <f t="shared" si="12"/>
        <v>0</v>
      </c>
      <c r="AX37" s="152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4"/>
      <c r="AV38" s="1525">
        <f t="shared" si="11"/>
        <v>0</v>
      </c>
      <c r="AW38" s="1525">
        <f t="shared" si="12"/>
        <v>0</v>
      </c>
      <c r="AX38" s="152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4"/>
      <c r="AV39" s="1525">
        <f t="shared" si="11"/>
        <v>0</v>
      </c>
      <c r="AW39" s="1525">
        <f t="shared" si="12"/>
        <v>0</v>
      </c>
      <c r="AX39" s="152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4"/>
      <c r="AV40" s="1525">
        <f t="shared" si="11"/>
        <v>0</v>
      </c>
      <c r="AW40" s="1525">
        <f t="shared" si="12"/>
        <v>0</v>
      </c>
      <c r="AX40" s="152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4"/>
      <c r="AV41" s="1525">
        <f t="shared" si="11"/>
        <v>0</v>
      </c>
      <c r="AW41" s="1525">
        <f t="shared" si="12"/>
        <v>0</v>
      </c>
      <c r="AX41" s="152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4"/>
      <c r="AV42" s="1525">
        <f t="shared" si="11"/>
        <v>0</v>
      </c>
      <c r="AW42" s="1525">
        <f t="shared" si="12"/>
        <v>0</v>
      </c>
      <c r="AX42" s="152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4"/>
      <c r="AV43" s="1525">
        <f t="shared" si="11"/>
        <v>0</v>
      </c>
      <c r="AW43" s="1525">
        <f t="shared" si="12"/>
        <v>0</v>
      </c>
      <c r="AX43" s="152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4"/>
      <c r="AV44" s="1525">
        <f t="shared" si="11"/>
        <v>0</v>
      </c>
      <c r="AW44" s="1525">
        <f t="shared" si="12"/>
        <v>0</v>
      </c>
      <c r="AX44" s="152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4"/>
      <c r="AV45" s="1525">
        <f t="shared" si="11"/>
        <v>0</v>
      </c>
      <c r="AW45" s="1525">
        <f t="shared" si="12"/>
        <v>0</v>
      </c>
      <c r="AX45" s="152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4"/>
      <c r="AV46" s="1525">
        <f t="shared" si="11"/>
        <v>0</v>
      </c>
      <c r="AW46" s="1525">
        <f t="shared" si="12"/>
        <v>0</v>
      </c>
      <c r="AX46" s="152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4"/>
      <c r="AV47" s="1525">
        <f t="shared" si="11"/>
        <v>0</v>
      </c>
      <c r="AW47" s="1525">
        <f t="shared" si="12"/>
        <v>0</v>
      </c>
      <c r="AX47" s="152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4"/>
      <c r="AV48" s="1525">
        <f t="shared" si="11"/>
        <v>0</v>
      </c>
      <c r="AW48" s="1525">
        <f t="shared" si="12"/>
        <v>0</v>
      </c>
      <c r="AX48" s="152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4"/>
      <c r="AV49" s="1525">
        <f t="shared" si="11"/>
        <v>0</v>
      </c>
      <c r="AW49" s="1525">
        <f t="shared" si="12"/>
        <v>0</v>
      </c>
      <c r="AX49" s="152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4"/>
      <c r="AV50" s="1525">
        <f t="shared" si="11"/>
        <v>0</v>
      </c>
      <c r="AW50" s="1525">
        <f t="shared" si="12"/>
        <v>0</v>
      </c>
      <c r="AX50" s="152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4"/>
      <c r="AV51" s="1525">
        <f t="shared" si="11"/>
        <v>0</v>
      </c>
      <c r="AW51" s="1525">
        <f t="shared" si="12"/>
        <v>0</v>
      </c>
      <c r="AX51" s="152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4"/>
      <c r="AV52" s="1525">
        <f t="shared" si="11"/>
        <v>0</v>
      </c>
      <c r="AW52" s="1525">
        <f t="shared" si="12"/>
        <v>0</v>
      </c>
      <c r="AX52" s="152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4"/>
      <c r="AV53" s="1525">
        <f t="shared" si="11"/>
        <v>0</v>
      </c>
      <c r="AW53" s="1525">
        <f t="shared" si="12"/>
        <v>0</v>
      </c>
      <c r="AX53" s="152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4"/>
      <c r="AV54" s="1525">
        <f t="shared" si="11"/>
        <v>0</v>
      </c>
      <c r="AW54" s="1525">
        <f t="shared" si="12"/>
        <v>0</v>
      </c>
      <c r="AX54" s="152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4"/>
      <c r="AV55" s="1525">
        <f t="shared" si="11"/>
        <v>0</v>
      </c>
      <c r="AW55" s="1525">
        <f t="shared" si="12"/>
        <v>0</v>
      </c>
      <c r="AX55" s="152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4"/>
      <c r="AV56" s="1525">
        <f t="shared" si="11"/>
        <v>0</v>
      </c>
      <c r="AW56" s="1525">
        <f t="shared" si="12"/>
        <v>0</v>
      </c>
      <c r="AX56" s="152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4"/>
      <c r="AV57" s="1525">
        <f t="shared" si="11"/>
        <v>0</v>
      </c>
      <c r="AW57" s="1525">
        <f t="shared" si="12"/>
        <v>0</v>
      </c>
      <c r="AX57" s="152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4"/>
      <c r="AV58" s="1525">
        <f t="shared" si="11"/>
        <v>0</v>
      </c>
      <c r="AW58" s="1525">
        <f t="shared" si="12"/>
        <v>0</v>
      </c>
      <c r="AX58" s="152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4"/>
      <c r="AV59" s="1525">
        <f t="shared" si="11"/>
        <v>0</v>
      </c>
      <c r="AW59" s="1525">
        <f t="shared" si="12"/>
        <v>0</v>
      </c>
      <c r="AX59" s="152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4"/>
      <c r="AV60" s="1525">
        <f t="shared" si="11"/>
        <v>0</v>
      </c>
      <c r="AW60" s="1525">
        <f t="shared" si="12"/>
        <v>0</v>
      </c>
      <c r="AX60" s="152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4"/>
      <c r="AV61" s="1525">
        <f t="shared" si="11"/>
        <v>0</v>
      </c>
      <c r="AW61" s="1525">
        <f t="shared" si="12"/>
        <v>0</v>
      </c>
      <c r="AX61" s="152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4"/>
      <c r="AV62" s="1525">
        <f t="shared" si="11"/>
        <v>0</v>
      </c>
      <c r="AW62" s="1525">
        <f t="shared" si="12"/>
        <v>0</v>
      </c>
      <c r="AX62" s="152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4"/>
      <c r="AV63" s="1525">
        <f t="shared" si="11"/>
        <v>0</v>
      </c>
      <c r="AW63" s="1525">
        <f t="shared" si="12"/>
        <v>0</v>
      </c>
      <c r="AX63" s="152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4"/>
      <c r="AV64" s="1525">
        <f t="shared" si="11"/>
        <v>0</v>
      </c>
      <c r="AW64" s="1525">
        <f t="shared" si="12"/>
        <v>0</v>
      </c>
      <c r="AX64" s="152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4"/>
      <c r="AV65" s="1525">
        <f t="shared" si="11"/>
        <v>0</v>
      </c>
      <c r="AW65" s="1525">
        <f t="shared" si="12"/>
        <v>0</v>
      </c>
      <c r="AX65" s="152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4"/>
      <c r="AV66" s="1525">
        <f t="shared" si="11"/>
        <v>0</v>
      </c>
      <c r="AW66" s="1525">
        <f t="shared" si="12"/>
        <v>0</v>
      </c>
      <c r="AX66" s="152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4"/>
      <c r="AV67" s="1525">
        <f t="shared" si="11"/>
        <v>0</v>
      </c>
      <c r="AW67" s="1525">
        <f t="shared" si="12"/>
        <v>0</v>
      </c>
      <c r="AX67" s="152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4"/>
      <c r="AV68" s="1525">
        <f t="shared" si="11"/>
        <v>0</v>
      </c>
      <c r="AW68" s="1525">
        <f t="shared" si="12"/>
        <v>0</v>
      </c>
      <c r="AX68" s="152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4"/>
      <c r="AV69" s="1525">
        <f t="shared" si="11"/>
        <v>0</v>
      </c>
      <c r="AW69" s="1525">
        <f t="shared" si="12"/>
        <v>0</v>
      </c>
      <c r="AX69" s="152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4"/>
      <c r="AV70" s="1525">
        <f t="shared" si="11"/>
        <v>0</v>
      </c>
      <c r="AW70" s="1525">
        <f t="shared" si="12"/>
        <v>0</v>
      </c>
      <c r="AX70" s="152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4"/>
      <c r="AV71" s="1525">
        <f t="shared" si="11"/>
        <v>0</v>
      </c>
      <c r="AW71" s="1525">
        <f t="shared" si="12"/>
        <v>0</v>
      </c>
      <c r="AX71" s="152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4"/>
      <c r="AV72" s="1525">
        <f t="shared" si="11"/>
        <v>0</v>
      </c>
      <c r="AW72" s="1525">
        <f t="shared" si="12"/>
        <v>0</v>
      </c>
      <c r="AX72" s="152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4"/>
      <c r="AV73" s="1525">
        <f t="shared" si="11"/>
        <v>0</v>
      </c>
      <c r="AW73" s="1525">
        <f t="shared" si="12"/>
        <v>0</v>
      </c>
      <c r="AX73" s="152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4"/>
      <c r="AV74" s="1525">
        <f t="shared" si="11"/>
        <v>0</v>
      </c>
      <c r="AW74" s="1525">
        <f t="shared" si="12"/>
        <v>0</v>
      </c>
      <c r="AX74" s="152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4"/>
      <c r="AV75" s="1525">
        <f t="shared" si="11"/>
        <v>0</v>
      </c>
      <c r="AW75" s="1525">
        <f t="shared" si="12"/>
        <v>0</v>
      </c>
      <c r="AX75" s="152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4"/>
      <c r="AV76" s="1525">
        <f t="shared" si="11"/>
        <v>0</v>
      </c>
      <c r="AW76" s="1525">
        <f t="shared" si="12"/>
        <v>0</v>
      </c>
      <c r="AX76" s="152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4"/>
      <c r="AV77" s="1525">
        <f t="shared" si="11"/>
        <v>0</v>
      </c>
      <c r="AW77" s="1525">
        <f t="shared" si="12"/>
        <v>0</v>
      </c>
      <c r="AX77" s="152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4"/>
      <c r="AV78" s="1525">
        <f t="shared" si="11"/>
        <v>0</v>
      </c>
      <c r="AW78" s="1525">
        <f t="shared" si="12"/>
        <v>0</v>
      </c>
      <c r="AX78" s="152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4"/>
      <c r="AV79" s="1525">
        <f t="shared" si="11"/>
        <v>0</v>
      </c>
      <c r="AW79" s="1525">
        <f t="shared" si="12"/>
        <v>0</v>
      </c>
      <c r="AX79" s="152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4"/>
      <c r="AV80" s="1525">
        <f t="shared" si="11"/>
        <v>0</v>
      </c>
      <c r="AW80" s="1525">
        <f t="shared" si="12"/>
        <v>0</v>
      </c>
      <c r="AX80" s="152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4"/>
      <c r="AV81" s="1525">
        <f t="shared" si="11"/>
        <v>0</v>
      </c>
      <c r="AW81" s="1525">
        <f t="shared" si="12"/>
        <v>0</v>
      </c>
      <c r="AX81" s="152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4"/>
      <c r="AV82" s="1525">
        <f t="shared" si="11"/>
        <v>0</v>
      </c>
      <c r="AW82" s="1525">
        <f t="shared" si="12"/>
        <v>0</v>
      </c>
      <c r="AX82" s="152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4"/>
      <c r="AV83" s="1525">
        <f t="shared" si="11"/>
        <v>0</v>
      </c>
      <c r="AW83" s="1525">
        <f t="shared" si="12"/>
        <v>0</v>
      </c>
      <c r="AX83" s="152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4"/>
      <c r="AV84" s="1525">
        <f t="shared" si="11"/>
        <v>0</v>
      </c>
      <c r="AW84" s="1525">
        <f t="shared" si="12"/>
        <v>0</v>
      </c>
      <c r="AX84" s="152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4"/>
      <c r="AV85" s="1525">
        <f t="shared" si="11"/>
        <v>0</v>
      </c>
      <c r="AW85" s="1525">
        <f t="shared" si="12"/>
        <v>0</v>
      </c>
      <c r="AX85" s="152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4"/>
      <c r="AV86" s="1525">
        <f t="shared" si="11"/>
        <v>0</v>
      </c>
      <c r="AW86" s="1525">
        <f t="shared" si="12"/>
        <v>0</v>
      </c>
      <c r="AX86" s="152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4"/>
      <c r="AV87" s="1525">
        <f t="shared" si="11"/>
        <v>0</v>
      </c>
      <c r="AW87" s="1525">
        <f t="shared" si="12"/>
        <v>0</v>
      </c>
      <c r="AX87" s="152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4"/>
      <c r="AV88" s="1525">
        <f t="shared" si="11"/>
        <v>0</v>
      </c>
      <c r="AW88" s="1525">
        <f t="shared" si="12"/>
        <v>0</v>
      </c>
      <c r="AX88" s="152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4"/>
      <c r="AV89" s="1525">
        <f t="shared" si="11"/>
        <v>0</v>
      </c>
      <c r="AW89" s="1525">
        <f t="shared" si="12"/>
        <v>0</v>
      </c>
      <c r="AX89" s="152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4"/>
      <c r="AV90" s="1525">
        <f t="shared" si="11"/>
        <v>0</v>
      </c>
      <c r="AW90" s="1525">
        <f t="shared" si="12"/>
        <v>0</v>
      </c>
      <c r="AX90" s="152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4"/>
      <c r="AV91" s="1525">
        <f t="shared" si="11"/>
        <v>0</v>
      </c>
      <c r="AW91" s="1525">
        <f t="shared" si="12"/>
        <v>0</v>
      </c>
      <c r="AX91" s="152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4"/>
      <c r="AV92" s="1525">
        <f t="shared" si="11"/>
        <v>0</v>
      </c>
      <c r="AW92" s="1525">
        <f t="shared" si="12"/>
        <v>0</v>
      </c>
      <c r="AX92" s="152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4"/>
      <c r="AV93" s="1525">
        <f t="shared" si="11"/>
        <v>0</v>
      </c>
      <c r="AW93" s="1525">
        <f t="shared" si="12"/>
        <v>0</v>
      </c>
      <c r="AX93" s="152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4"/>
      <c r="AV94" s="1525">
        <f t="shared" si="11"/>
        <v>0</v>
      </c>
      <c r="AW94" s="1525">
        <f t="shared" si="12"/>
        <v>0</v>
      </c>
      <c r="AX94" s="152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4"/>
      <c r="AV95" s="1525">
        <f t="shared" si="11"/>
        <v>0</v>
      </c>
      <c r="AW95" s="1525">
        <f t="shared" si="12"/>
        <v>0</v>
      </c>
      <c r="AX95" s="152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4"/>
      <c r="AV96" s="1525">
        <f t="shared" si="11"/>
        <v>0</v>
      </c>
      <c r="AW96" s="1525">
        <f t="shared" si="12"/>
        <v>0</v>
      </c>
      <c r="AX96" s="152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4"/>
      <c r="AV97" s="1525">
        <f t="shared" si="11"/>
        <v>0</v>
      </c>
      <c r="AW97" s="1525">
        <f t="shared" si="12"/>
        <v>0</v>
      </c>
      <c r="AX97" s="152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4"/>
      <c r="AV98" s="1525">
        <f t="shared" si="11"/>
        <v>0</v>
      </c>
      <c r="AW98" s="1525">
        <f t="shared" si="12"/>
        <v>0</v>
      </c>
      <c r="AX98" s="152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4"/>
      <c r="AV99" s="1525">
        <f t="shared" si="11"/>
        <v>0</v>
      </c>
      <c r="AW99" s="1525">
        <f t="shared" si="12"/>
        <v>0</v>
      </c>
      <c r="AX99" s="152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4"/>
      <c r="AV100" s="1525">
        <f t="shared" si="11"/>
        <v>0</v>
      </c>
      <c r="AW100" s="1525">
        <f t="shared" si="12"/>
        <v>0</v>
      </c>
      <c r="AX100" s="152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4"/>
      <c r="AV101" s="1525">
        <f t="shared" si="11"/>
        <v>0</v>
      </c>
      <c r="AW101" s="1525">
        <f t="shared" si="12"/>
        <v>0</v>
      </c>
      <c r="AX101" s="152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4"/>
      <c r="AV102" s="1525">
        <f t="shared" si="11"/>
        <v>0</v>
      </c>
      <c r="AW102" s="1525">
        <f t="shared" si="12"/>
        <v>0</v>
      </c>
      <c r="AX102" s="152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4"/>
      <c r="AV103" s="1525">
        <f t="shared" si="11"/>
        <v>0</v>
      </c>
      <c r="AW103" s="1525">
        <f t="shared" si="12"/>
        <v>0</v>
      </c>
      <c r="AX103" s="152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4"/>
      <c r="AV104" s="1525">
        <f t="shared" si="11"/>
        <v>0</v>
      </c>
      <c r="AW104" s="1525">
        <f t="shared" si="12"/>
        <v>0</v>
      </c>
      <c r="AX104" s="152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4"/>
      <c r="AV105" s="1525">
        <f t="shared" si="11"/>
        <v>0</v>
      </c>
      <c r="AW105" s="1525">
        <f t="shared" si="12"/>
        <v>0</v>
      </c>
      <c r="AX105" s="152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4"/>
      <c r="AV106" s="1525">
        <f t="shared" si="11"/>
        <v>0</v>
      </c>
      <c r="AW106" s="1525">
        <f t="shared" si="12"/>
        <v>0</v>
      </c>
      <c r="AX106" s="152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4"/>
      <c r="AV107" s="1525">
        <f t="shared" si="11"/>
        <v>0</v>
      </c>
      <c r="AW107" s="1525">
        <f t="shared" si="12"/>
        <v>0</v>
      </c>
      <c r="AX107" s="152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4"/>
      <c r="AV108" s="1525">
        <f t="shared" si="11"/>
        <v>0</v>
      </c>
      <c r="AW108" s="1525">
        <f t="shared" si="12"/>
        <v>0</v>
      </c>
      <c r="AX108" s="152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4"/>
      <c r="AV109" s="1525">
        <f t="shared" si="11"/>
        <v>0</v>
      </c>
      <c r="AW109" s="1525">
        <f t="shared" si="12"/>
        <v>0</v>
      </c>
      <c r="AX109" s="152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4"/>
      <c r="AV110" s="1525">
        <f t="shared" si="11"/>
        <v>0</v>
      </c>
      <c r="AW110" s="1525">
        <f t="shared" si="12"/>
        <v>0</v>
      </c>
      <c r="AX110" s="152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4"/>
      <c r="AV111" s="1525">
        <f t="shared" si="11"/>
        <v>0</v>
      </c>
      <c r="AW111" s="1525">
        <f t="shared" si="12"/>
        <v>0</v>
      </c>
      <c r="AX111" s="152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4"/>
      <c r="AV112" s="1525">
        <f t="shared" si="11"/>
        <v>0</v>
      </c>
      <c r="AW112" s="1525">
        <f t="shared" si="12"/>
        <v>0</v>
      </c>
      <c r="AX112" s="152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4"/>
      <c r="AV113" s="1525">
        <f t="shared" ref="AV113:AV144" si="62">A113</f>
        <v>0</v>
      </c>
      <c r="AW113" s="1525">
        <f t="shared" ref="AW113:AW144" si="63">B113</f>
        <v>0</v>
      </c>
      <c r="AX113" s="152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4"/>
      <c r="AV114" s="1525">
        <f t="shared" si="62"/>
        <v>0</v>
      </c>
      <c r="AW114" s="1525">
        <f t="shared" si="63"/>
        <v>0</v>
      </c>
      <c r="AX114" s="152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4"/>
      <c r="AV115" s="1525">
        <f t="shared" si="62"/>
        <v>0</v>
      </c>
      <c r="AW115" s="1525">
        <f t="shared" si="63"/>
        <v>0</v>
      </c>
      <c r="AX115" s="152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4"/>
      <c r="AV116" s="1525">
        <f t="shared" si="62"/>
        <v>0</v>
      </c>
      <c r="AW116" s="1525">
        <f t="shared" si="63"/>
        <v>0</v>
      </c>
      <c r="AX116" s="152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4"/>
      <c r="AV117" s="1525">
        <f t="shared" si="62"/>
        <v>0</v>
      </c>
      <c r="AW117" s="1525">
        <f t="shared" si="63"/>
        <v>0</v>
      </c>
      <c r="AX117" s="152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4"/>
      <c r="AV118" s="1525">
        <f t="shared" si="62"/>
        <v>0</v>
      </c>
      <c r="AW118" s="1525">
        <f t="shared" si="63"/>
        <v>0</v>
      </c>
      <c r="AX118" s="152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4"/>
      <c r="AV119" s="1525">
        <f t="shared" si="62"/>
        <v>0</v>
      </c>
      <c r="AW119" s="1525">
        <f t="shared" si="63"/>
        <v>0</v>
      </c>
      <c r="AX119" s="152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4"/>
      <c r="AV120" s="1525">
        <f t="shared" si="62"/>
        <v>0</v>
      </c>
      <c r="AW120" s="1525">
        <f t="shared" si="63"/>
        <v>0</v>
      </c>
      <c r="AX120" s="152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4"/>
      <c r="AV121" s="1525">
        <f t="shared" si="62"/>
        <v>0</v>
      </c>
      <c r="AW121" s="1525">
        <f t="shared" si="63"/>
        <v>0</v>
      </c>
      <c r="AX121" s="152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4"/>
      <c r="AV122" s="1525">
        <f t="shared" si="62"/>
        <v>0</v>
      </c>
      <c r="AW122" s="1525">
        <f t="shared" si="63"/>
        <v>0</v>
      </c>
      <c r="AX122" s="152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4"/>
      <c r="AV123" s="1525">
        <f t="shared" si="62"/>
        <v>0</v>
      </c>
      <c r="AW123" s="1525">
        <f t="shared" si="63"/>
        <v>0</v>
      </c>
      <c r="AX123" s="152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4"/>
      <c r="AV124" s="1525">
        <f t="shared" si="62"/>
        <v>0</v>
      </c>
      <c r="AW124" s="1525">
        <f t="shared" si="63"/>
        <v>0</v>
      </c>
      <c r="AX124" s="152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4"/>
      <c r="AV125" s="1525">
        <f t="shared" si="62"/>
        <v>0</v>
      </c>
      <c r="AW125" s="1525">
        <f t="shared" si="63"/>
        <v>0</v>
      </c>
      <c r="AX125" s="152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4"/>
      <c r="AV126" s="1525">
        <f t="shared" si="62"/>
        <v>0</v>
      </c>
      <c r="AW126" s="1525">
        <f t="shared" si="63"/>
        <v>0</v>
      </c>
      <c r="AX126" s="152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4"/>
      <c r="AV127" s="1525">
        <f t="shared" si="62"/>
        <v>0</v>
      </c>
      <c r="AW127" s="1525">
        <f t="shared" si="63"/>
        <v>0</v>
      </c>
      <c r="AX127" s="152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4"/>
      <c r="AV128" s="1525">
        <f t="shared" si="62"/>
        <v>0</v>
      </c>
      <c r="AW128" s="1525">
        <f t="shared" si="63"/>
        <v>0</v>
      </c>
      <c r="AX128" s="152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4"/>
      <c r="AV129" s="1525">
        <f t="shared" si="62"/>
        <v>0</v>
      </c>
      <c r="AW129" s="1525">
        <f t="shared" si="63"/>
        <v>0</v>
      </c>
      <c r="AX129" s="152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4"/>
      <c r="AV130" s="1525">
        <f t="shared" si="62"/>
        <v>0</v>
      </c>
      <c r="AW130" s="1525">
        <f t="shared" si="63"/>
        <v>0</v>
      </c>
      <c r="AX130" s="152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4"/>
      <c r="AV131" s="1525">
        <f t="shared" si="62"/>
        <v>0</v>
      </c>
      <c r="AW131" s="1525">
        <f t="shared" si="63"/>
        <v>0</v>
      </c>
      <c r="AX131" s="152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4"/>
      <c r="AV132" s="1525">
        <f t="shared" si="62"/>
        <v>0</v>
      </c>
      <c r="AW132" s="1525">
        <f t="shared" si="63"/>
        <v>0</v>
      </c>
      <c r="AX132" s="152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4"/>
      <c r="AV133" s="1525">
        <f t="shared" si="62"/>
        <v>0</v>
      </c>
      <c r="AW133" s="1525">
        <f t="shared" si="63"/>
        <v>0</v>
      </c>
      <c r="AX133" s="152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4"/>
      <c r="AV134" s="1525">
        <f t="shared" si="62"/>
        <v>0</v>
      </c>
      <c r="AW134" s="1525">
        <f t="shared" si="63"/>
        <v>0</v>
      </c>
      <c r="AX134" s="152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4"/>
      <c r="AV135" s="1525">
        <f t="shared" si="62"/>
        <v>0</v>
      </c>
      <c r="AW135" s="1525">
        <f t="shared" si="63"/>
        <v>0</v>
      </c>
      <c r="AX135" s="152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4"/>
      <c r="AV136" s="1525">
        <f t="shared" si="62"/>
        <v>0</v>
      </c>
      <c r="AW136" s="1525">
        <f t="shared" si="63"/>
        <v>0</v>
      </c>
      <c r="AX136" s="152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4"/>
      <c r="AV137" s="1525">
        <f t="shared" si="62"/>
        <v>0</v>
      </c>
      <c r="AW137" s="1525">
        <f t="shared" si="63"/>
        <v>0</v>
      </c>
      <c r="AX137" s="152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4"/>
      <c r="AV138" s="1525">
        <f t="shared" si="62"/>
        <v>0</v>
      </c>
      <c r="AW138" s="1525">
        <f t="shared" si="63"/>
        <v>0</v>
      </c>
      <c r="AX138" s="152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4"/>
      <c r="AV139" s="1525">
        <f t="shared" si="62"/>
        <v>0</v>
      </c>
      <c r="AW139" s="1525">
        <f t="shared" si="63"/>
        <v>0</v>
      </c>
      <c r="AX139" s="152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4"/>
      <c r="AV140" s="1525">
        <f t="shared" si="62"/>
        <v>0</v>
      </c>
      <c r="AW140" s="1525">
        <f t="shared" si="63"/>
        <v>0</v>
      </c>
      <c r="AX140" s="152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4"/>
      <c r="AV141" s="1525">
        <f t="shared" si="62"/>
        <v>0</v>
      </c>
      <c r="AW141" s="1525">
        <f t="shared" si="63"/>
        <v>0</v>
      </c>
      <c r="AX141" s="152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4"/>
      <c r="AV142" s="1525">
        <f t="shared" si="62"/>
        <v>0</v>
      </c>
      <c r="AW142" s="1525">
        <f t="shared" si="63"/>
        <v>0</v>
      </c>
      <c r="AX142" s="152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4"/>
      <c r="AV143" s="1525">
        <f t="shared" si="62"/>
        <v>0</v>
      </c>
      <c r="AW143" s="1525">
        <f t="shared" si="63"/>
        <v>0</v>
      </c>
      <c r="AX143" s="152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4"/>
      <c r="AV144" s="1525">
        <f t="shared" si="62"/>
        <v>0</v>
      </c>
      <c r="AW144" s="1525">
        <f t="shared" si="63"/>
        <v>0</v>
      </c>
      <c r="AX144" s="152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4"/>
      <c r="AV145" s="1525">
        <f t="shared" ref="AV145:AV176" si="91">A145</f>
        <v>0</v>
      </c>
      <c r="AW145" s="1525">
        <f t="shared" ref="AW145:AW176" si="92">B145</f>
        <v>0</v>
      </c>
      <c r="AX145" s="152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4"/>
      <c r="AV146" s="1525">
        <f t="shared" si="91"/>
        <v>0</v>
      </c>
      <c r="AW146" s="1525">
        <f t="shared" si="92"/>
        <v>0</v>
      </c>
      <c r="AX146" s="152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4"/>
      <c r="AV147" s="1525">
        <f t="shared" si="91"/>
        <v>0</v>
      </c>
      <c r="AW147" s="1525">
        <f t="shared" si="92"/>
        <v>0</v>
      </c>
      <c r="AX147" s="152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4"/>
      <c r="AV148" s="1525">
        <f t="shared" si="91"/>
        <v>0</v>
      </c>
      <c r="AW148" s="1525">
        <f t="shared" si="92"/>
        <v>0</v>
      </c>
      <c r="AX148" s="152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4"/>
      <c r="AV149" s="1525">
        <f t="shared" si="91"/>
        <v>0</v>
      </c>
      <c r="AW149" s="1525">
        <f t="shared" si="92"/>
        <v>0</v>
      </c>
      <c r="AX149" s="152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4"/>
      <c r="AV150" s="1525">
        <f t="shared" si="91"/>
        <v>0</v>
      </c>
      <c r="AW150" s="1525">
        <f t="shared" si="92"/>
        <v>0</v>
      </c>
      <c r="AX150" s="152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4"/>
      <c r="AV151" s="1525">
        <f t="shared" si="91"/>
        <v>0</v>
      </c>
      <c r="AW151" s="1525">
        <f t="shared" si="92"/>
        <v>0</v>
      </c>
      <c r="AX151" s="152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4"/>
      <c r="AV152" s="1525">
        <f t="shared" si="91"/>
        <v>0</v>
      </c>
      <c r="AW152" s="1525">
        <f t="shared" si="92"/>
        <v>0</v>
      </c>
      <c r="AX152" s="152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4"/>
      <c r="AV153" s="1525">
        <f t="shared" si="91"/>
        <v>0</v>
      </c>
      <c r="AW153" s="1525">
        <f t="shared" si="92"/>
        <v>0</v>
      </c>
      <c r="AX153" s="152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4"/>
      <c r="AV154" s="1525">
        <f t="shared" si="91"/>
        <v>0</v>
      </c>
      <c r="AW154" s="1525">
        <f t="shared" si="92"/>
        <v>0</v>
      </c>
      <c r="AX154" s="152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4"/>
      <c r="AV155" s="1525">
        <f t="shared" si="91"/>
        <v>0</v>
      </c>
      <c r="AW155" s="1525">
        <f t="shared" si="92"/>
        <v>0</v>
      </c>
      <c r="AX155" s="152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4"/>
      <c r="AV156" s="1525">
        <f t="shared" si="91"/>
        <v>0</v>
      </c>
      <c r="AW156" s="1525">
        <f t="shared" si="92"/>
        <v>0</v>
      </c>
      <c r="AX156" s="152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4"/>
      <c r="AV157" s="1525">
        <f t="shared" si="91"/>
        <v>0</v>
      </c>
      <c r="AW157" s="1525">
        <f t="shared" si="92"/>
        <v>0</v>
      </c>
      <c r="AX157" s="152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4"/>
      <c r="AV158" s="1525">
        <f t="shared" si="91"/>
        <v>0</v>
      </c>
      <c r="AW158" s="1525">
        <f t="shared" si="92"/>
        <v>0</v>
      </c>
      <c r="AX158" s="152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4"/>
      <c r="AV159" s="1525">
        <f t="shared" si="91"/>
        <v>0</v>
      </c>
      <c r="AW159" s="1525">
        <f t="shared" si="92"/>
        <v>0</v>
      </c>
      <c r="AX159" s="152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4"/>
      <c r="AV160" s="1525">
        <f t="shared" si="91"/>
        <v>0</v>
      </c>
      <c r="AW160" s="1525">
        <f t="shared" si="92"/>
        <v>0</v>
      </c>
      <c r="AX160" s="152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4"/>
      <c r="AV161" s="1525">
        <f t="shared" si="91"/>
        <v>0</v>
      </c>
      <c r="AW161" s="1525">
        <f t="shared" si="92"/>
        <v>0</v>
      </c>
      <c r="AX161" s="152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4"/>
      <c r="AV162" s="1525">
        <f t="shared" si="91"/>
        <v>0</v>
      </c>
      <c r="AW162" s="1525">
        <f t="shared" si="92"/>
        <v>0</v>
      </c>
      <c r="AX162" s="152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4"/>
      <c r="AV163" s="1525">
        <f t="shared" si="91"/>
        <v>0</v>
      </c>
      <c r="AW163" s="1525">
        <f t="shared" si="92"/>
        <v>0</v>
      </c>
      <c r="AX163" s="152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4"/>
      <c r="AV164" s="1525">
        <f t="shared" si="91"/>
        <v>0</v>
      </c>
      <c r="AW164" s="1525">
        <f t="shared" si="92"/>
        <v>0</v>
      </c>
      <c r="AX164" s="152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4"/>
      <c r="AV165" s="1525">
        <f t="shared" si="91"/>
        <v>0</v>
      </c>
      <c r="AW165" s="1525">
        <f t="shared" si="92"/>
        <v>0</v>
      </c>
      <c r="AX165" s="152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4"/>
      <c r="AV166" s="1525">
        <f t="shared" si="91"/>
        <v>0</v>
      </c>
      <c r="AW166" s="1525">
        <f t="shared" si="92"/>
        <v>0</v>
      </c>
      <c r="AX166" s="152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4"/>
      <c r="AV167" s="1525">
        <f t="shared" si="91"/>
        <v>0</v>
      </c>
      <c r="AW167" s="1525">
        <f t="shared" si="92"/>
        <v>0</v>
      </c>
      <c r="AX167" s="152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4"/>
      <c r="AV168" s="1525">
        <f t="shared" si="91"/>
        <v>0</v>
      </c>
      <c r="AW168" s="1525">
        <f t="shared" si="92"/>
        <v>0</v>
      </c>
      <c r="AX168" s="152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4"/>
      <c r="AV169" s="1525">
        <f t="shared" si="91"/>
        <v>0</v>
      </c>
      <c r="AW169" s="1525">
        <f t="shared" si="92"/>
        <v>0</v>
      </c>
      <c r="AX169" s="152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4"/>
      <c r="AV170" s="1525">
        <f t="shared" si="91"/>
        <v>0</v>
      </c>
      <c r="AW170" s="1525">
        <f t="shared" si="92"/>
        <v>0</v>
      </c>
      <c r="AX170" s="152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4"/>
      <c r="AV171" s="1525">
        <f t="shared" si="91"/>
        <v>0</v>
      </c>
      <c r="AW171" s="1525">
        <f t="shared" si="92"/>
        <v>0</v>
      </c>
      <c r="AX171" s="152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4"/>
      <c r="AV172" s="1525">
        <f t="shared" si="91"/>
        <v>0</v>
      </c>
      <c r="AW172" s="1525">
        <f t="shared" si="92"/>
        <v>0</v>
      </c>
      <c r="AX172" s="152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4"/>
      <c r="AV173" s="1525">
        <f t="shared" si="91"/>
        <v>0</v>
      </c>
      <c r="AW173" s="1525">
        <f t="shared" si="92"/>
        <v>0</v>
      </c>
      <c r="AX173" s="152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4"/>
      <c r="AV174" s="1525">
        <f t="shared" si="91"/>
        <v>0</v>
      </c>
      <c r="AW174" s="1525">
        <f t="shared" si="92"/>
        <v>0</v>
      </c>
      <c r="AX174" s="152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4"/>
      <c r="AV175" s="1525">
        <f t="shared" si="91"/>
        <v>0</v>
      </c>
      <c r="AW175" s="1525">
        <f t="shared" si="92"/>
        <v>0</v>
      </c>
      <c r="AX175" s="152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4"/>
      <c r="AV176" s="1525">
        <f t="shared" si="91"/>
        <v>0</v>
      </c>
      <c r="AW176" s="1525">
        <f t="shared" si="92"/>
        <v>0</v>
      </c>
      <c r="AX176" s="152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4"/>
      <c r="AV177" s="1525">
        <f t="shared" ref="AV177:AV207" si="120">A177</f>
        <v>0</v>
      </c>
      <c r="AW177" s="1525">
        <f t="shared" ref="AW177:AW207" si="121">B177</f>
        <v>0</v>
      </c>
      <c r="AX177" s="152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4"/>
      <c r="AV178" s="1525">
        <f t="shared" si="120"/>
        <v>0</v>
      </c>
      <c r="AW178" s="1525">
        <f t="shared" si="121"/>
        <v>0</v>
      </c>
      <c r="AX178" s="152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4"/>
      <c r="AV179" s="1525">
        <f t="shared" si="120"/>
        <v>0</v>
      </c>
      <c r="AW179" s="1525">
        <f t="shared" si="121"/>
        <v>0</v>
      </c>
      <c r="AX179" s="152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4"/>
      <c r="AV180" s="1525">
        <f t="shared" si="120"/>
        <v>0</v>
      </c>
      <c r="AW180" s="1525">
        <f t="shared" si="121"/>
        <v>0</v>
      </c>
      <c r="AX180" s="152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4"/>
      <c r="AV181" s="1525">
        <f t="shared" si="120"/>
        <v>0</v>
      </c>
      <c r="AW181" s="1525">
        <f t="shared" si="121"/>
        <v>0</v>
      </c>
      <c r="AX181" s="152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4"/>
      <c r="AV182" s="1525">
        <f t="shared" si="120"/>
        <v>0</v>
      </c>
      <c r="AW182" s="1525">
        <f t="shared" si="121"/>
        <v>0</v>
      </c>
      <c r="AX182" s="152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4"/>
      <c r="AV183" s="1525">
        <f t="shared" si="120"/>
        <v>0</v>
      </c>
      <c r="AW183" s="1525">
        <f t="shared" si="121"/>
        <v>0</v>
      </c>
      <c r="AX183" s="152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4"/>
      <c r="AV184" s="1525">
        <f t="shared" si="120"/>
        <v>0</v>
      </c>
      <c r="AW184" s="1525">
        <f t="shared" si="121"/>
        <v>0</v>
      </c>
      <c r="AX184" s="152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4"/>
      <c r="AV185" s="1525">
        <f t="shared" si="120"/>
        <v>0</v>
      </c>
      <c r="AW185" s="1525">
        <f t="shared" si="121"/>
        <v>0</v>
      </c>
      <c r="AX185" s="152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4"/>
      <c r="AV186" s="1525">
        <f t="shared" si="120"/>
        <v>0</v>
      </c>
      <c r="AW186" s="1525">
        <f t="shared" si="121"/>
        <v>0</v>
      </c>
      <c r="AX186" s="152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4"/>
      <c r="AV187" s="1525">
        <f t="shared" si="120"/>
        <v>0</v>
      </c>
      <c r="AW187" s="1525">
        <f t="shared" si="121"/>
        <v>0</v>
      </c>
      <c r="AX187" s="152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4"/>
      <c r="AV188" s="1525">
        <f t="shared" si="120"/>
        <v>0</v>
      </c>
      <c r="AW188" s="1525">
        <f t="shared" si="121"/>
        <v>0</v>
      </c>
      <c r="AX188" s="152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4"/>
      <c r="AV189" s="1525">
        <f t="shared" si="120"/>
        <v>0</v>
      </c>
      <c r="AW189" s="1525">
        <f t="shared" si="121"/>
        <v>0</v>
      </c>
      <c r="AX189" s="152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4"/>
      <c r="AV190" s="1525">
        <f t="shared" si="120"/>
        <v>0</v>
      </c>
      <c r="AW190" s="1525">
        <f t="shared" si="121"/>
        <v>0</v>
      </c>
      <c r="AX190" s="152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4"/>
      <c r="AV191" s="1525">
        <f t="shared" si="120"/>
        <v>0</v>
      </c>
      <c r="AW191" s="1525">
        <f t="shared" si="121"/>
        <v>0</v>
      </c>
      <c r="AX191" s="152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4"/>
      <c r="AV192" s="1525">
        <f t="shared" si="120"/>
        <v>0</v>
      </c>
      <c r="AW192" s="1525">
        <f t="shared" si="121"/>
        <v>0</v>
      </c>
      <c r="AX192" s="152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4"/>
      <c r="AV193" s="1525">
        <f t="shared" si="120"/>
        <v>0</v>
      </c>
      <c r="AW193" s="1525">
        <f t="shared" si="121"/>
        <v>0</v>
      </c>
      <c r="AX193" s="152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4"/>
      <c r="AV194" s="1525">
        <f t="shared" si="120"/>
        <v>0</v>
      </c>
      <c r="AW194" s="1525">
        <f t="shared" si="121"/>
        <v>0</v>
      </c>
      <c r="AX194" s="152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4"/>
      <c r="AV195" s="1525">
        <f t="shared" si="120"/>
        <v>0</v>
      </c>
      <c r="AW195" s="1525">
        <f t="shared" si="121"/>
        <v>0</v>
      </c>
      <c r="AX195" s="152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4"/>
      <c r="AV196" s="1525">
        <f t="shared" si="120"/>
        <v>0</v>
      </c>
      <c r="AW196" s="1525">
        <f t="shared" si="121"/>
        <v>0</v>
      </c>
      <c r="AX196" s="152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4"/>
      <c r="AV197" s="1525">
        <f t="shared" si="120"/>
        <v>0</v>
      </c>
      <c r="AW197" s="1525">
        <f t="shared" si="121"/>
        <v>0</v>
      </c>
      <c r="AX197" s="152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4"/>
      <c r="AV198" s="1525">
        <f t="shared" si="120"/>
        <v>0</v>
      </c>
      <c r="AW198" s="1525">
        <f t="shared" si="121"/>
        <v>0</v>
      </c>
      <c r="AX198" s="152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4"/>
      <c r="AV199" s="1525">
        <f t="shared" si="120"/>
        <v>0</v>
      </c>
      <c r="AW199" s="1525">
        <f t="shared" si="121"/>
        <v>0</v>
      </c>
      <c r="AX199" s="152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4"/>
      <c r="AV200" s="1525">
        <f t="shared" si="120"/>
        <v>0</v>
      </c>
      <c r="AW200" s="1525">
        <f t="shared" si="121"/>
        <v>0</v>
      </c>
      <c r="AX200" s="152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4"/>
      <c r="AV201" s="1525">
        <f t="shared" si="120"/>
        <v>0</v>
      </c>
      <c r="AW201" s="1525">
        <f t="shared" si="121"/>
        <v>0</v>
      </c>
      <c r="AX201" s="152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4"/>
      <c r="AV202" s="1525">
        <f t="shared" si="120"/>
        <v>0</v>
      </c>
      <c r="AW202" s="1525">
        <f t="shared" si="121"/>
        <v>0</v>
      </c>
      <c r="AX202" s="152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4"/>
      <c r="AV203" s="1525">
        <f t="shared" si="120"/>
        <v>0</v>
      </c>
      <c r="AW203" s="1525">
        <f t="shared" si="121"/>
        <v>0</v>
      </c>
      <c r="AX203" s="152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4"/>
      <c r="AV204" s="1525">
        <f t="shared" si="120"/>
        <v>0</v>
      </c>
      <c r="AW204" s="1525">
        <f t="shared" si="121"/>
        <v>0</v>
      </c>
      <c r="AX204" s="152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4"/>
      <c r="AV205" s="1525">
        <f t="shared" si="120"/>
        <v>0</v>
      </c>
      <c r="AW205" s="1525">
        <f t="shared" si="121"/>
        <v>0</v>
      </c>
      <c r="AX205" s="152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4"/>
      <c r="AV206" s="1525">
        <f t="shared" si="120"/>
        <v>0</v>
      </c>
      <c r="AW206" s="1525">
        <f t="shared" si="121"/>
        <v>0</v>
      </c>
      <c r="AX206" s="152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4"/>
      <c r="AV207" s="1525">
        <f t="shared" si="120"/>
        <v>0</v>
      </c>
      <c r="AW207" s="1525">
        <f t="shared" si="121"/>
        <v>0</v>
      </c>
      <c r="AX207" s="152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4"/>
      <c r="AV208" s="1525">
        <f t="shared" ref="AV208:AV302" si="127">A208</f>
        <v>0</v>
      </c>
      <c r="AW208" s="1525">
        <f t="shared" ref="AW208:AW302" si="128">B208</f>
        <v>0</v>
      </c>
      <c r="AX208" s="152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4"/>
      <c r="AV209" s="1525">
        <f t="shared" si="127"/>
        <v>0</v>
      </c>
      <c r="AW209" s="1525">
        <f t="shared" si="128"/>
        <v>0</v>
      </c>
      <c r="AX209" s="152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4"/>
      <c r="AV210" s="1525">
        <f t="shared" si="127"/>
        <v>0</v>
      </c>
      <c r="AW210" s="1525">
        <f t="shared" si="128"/>
        <v>0</v>
      </c>
      <c r="AX210" s="152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4"/>
      <c r="AV211" s="1525">
        <f t="shared" si="127"/>
        <v>0</v>
      </c>
      <c r="AW211" s="1525">
        <f t="shared" si="128"/>
        <v>0</v>
      </c>
      <c r="AX211" s="152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4"/>
      <c r="AV212" s="1525">
        <f t="shared" si="127"/>
        <v>0</v>
      </c>
      <c r="AW212" s="1525">
        <f t="shared" si="128"/>
        <v>0</v>
      </c>
      <c r="AX212" s="152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4"/>
      <c r="AV213" s="1525">
        <f t="shared" si="127"/>
        <v>0</v>
      </c>
      <c r="AW213" s="1525">
        <f t="shared" si="128"/>
        <v>0</v>
      </c>
      <c r="AX213" s="152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4"/>
      <c r="AV214" s="1525">
        <f t="shared" si="127"/>
        <v>0</v>
      </c>
      <c r="AW214" s="1525">
        <f t="shared" si="128"/>
        <v>0</v>
      </c>
      <c r="AX214" s="152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4"/>
      <c r="AV215" s="1525">
        <f t="shared" si="127"/>
        <v>0</v>
      </c>
      <c r="AW215" s="1525">
        <f t="shared" si="128"/>
        <v>0</v>
      </c>
      <c r="AX215" s="152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4"/>
      <c r="AV216" s="1525">
        <f t="shared" si="127"/>
        <v>0</v>
      </c>
      <c r="AW216" s="1525">
        <f t="shared" si="128"/>
        <v>0</v>
      </c>
      <c r="AX216" s="152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4"/>
      <c r="AV217" s="1525">
        <f t="shared" si="127"/>
        <v>0</v>
      </c>
      <c r="AW217" s="1525">
        <f t="shared" si="128"/>
        <v>0</v>
      </c>
      <c r="AX217" s="152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4"/>
      <c r="AV218" s="1525">
        <f t="shared" si="127"/>
        <v>0</v>
      </c>
      <c r="AW218" s="1525">
        <f t="shared" si="128"/>
        <v>0</v>
      </c>
      <c r="AX218" s="152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4"/>
      <c r="AV219" s="1525">
        <f t="shared" si="127"/>
        <v>0</v>
      </c>
      <c r="AW219" s="1525">
        <f t="shared" si="128"/>
        <v>0</v>
      </c>
      <c r="AX219" s="152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4"/>
      <c r="AV220" s="1525">
        <f t="shared" si="127"/>
        <v>0</v>
      </c>
      <c r="AW220" s="1525">
        <f t="shared" si="128"/>
        <v>0</v>
      </c>
      <c r="AX220" s="152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4"/>
      <c r="AV221" s="1525">
        <f t="shared" si="127"/>
        <v>0</v>
      </c>
      <c r="AW221" s="1525">
        <f t="shared" si="128"/>
        <v>0</v>
      </c>
      <c r="AX221" s="152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4"/>
      <c r="AV222" s="1525">
        <f t="shared" si="127"/>
        <v>0</v>
      </c>
      <c r="AW222" s="1525">
        <f t="shared" si="128"/>
        <v>0</v>
      </c>
      <c r="AX222" s="152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4"/>
      <c r="AV223" s="1525">
        <f t="shared" si="127"/>
        <v>0</v>
      </c>
      <c r="AW223" s="1525">
        <f t="shared" si="128"/>
        <v>0</v>
      </c>
      <c r="AX223" s="152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4"/>
      <c r="AV224" s="1525">
        <f t="shared" si="127"/>
        <v>0</v>
      </c>
      <c r="AW224" s="1525">
        <f t="shared" si="128"/>
        <v>0</v>
      </c>
      <c r="AX224" s="152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4"/>
      <c r="AV225" s="1525">
        <f t="shared" si="127"/>
        <v>0</v>
      </c>
      <c r="AW225" s="1525">
        <f t="shared" si="128"/>
        <v>0</v>
      </c>
      <c r="AX225" s="152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4"/>
      <c r="AV226" s="1525">
        <f t="shared" si="127"/>
        <v>0</v>
      </c>
      <c r="AW226" s="1525">
        <f t="shared" si="128"/>
        <v>0</v>
      </c>
      <c r="AX226" s="152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4"/>
      <c r="AV227" s="1525">
        <f t="shared" si="127"/>
        <v>0</v>
      </c>
      <c r="AW227" s="1525">
        <f t="shared" si="128"/>
        <v>0</v>
      </c>
      <c r="AX227" s="152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4"/>
      <c r="AV228" s="1525">
        <f t="shared" si="127"/>
        <v>0</v>
      </c>
      <c r="AW228" s="1525">
        <f t="shared" si="128"/>
        <v>0</v>
      </c>
      <c r="AX228" s="152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4"/>
      <c r="AV229" s="1525">
        <f t="shared" si="127"/>
        <v>0</v>
      </c>
      <c r="AW229" s="1525">
        <f t="shared" si="128"/>
        <v>0</v>
      </c>
      <c r="AX229" s="152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4"/>
      <c r="AV230" s="1525">
        <f t="shared" si="127"/>
        <v>0</v>
      </c>
      <c r="AW230" s="1525">
        <f t="shared" si="128"/>
        <v>0</v>
      </c>
      <c r="AX230" s="152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4"/>
      <c r="AV231" s="1525">
        <f t="shared" si="127"/>
        <v>0</v>
      </c>
      <c r="AW231" s="1525">
        <f t="shared" si="128"/>
        <v>0</v>
      </c>
      <c r="AX231" s="152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4"/>
      <c r="AV232" s="1525">
        <f t="shared" si="127"/>
        <v>0</v>
      </c>
      <c r="AW232" s="1525">
        <f t="shared" si="128"/>
        <v>0</v>
      </c>
      <c r="AX232" s="152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4"/>
      <c r="AV233" s="1525">
        <f t="shared" si="127"/>
        <v>0</v>
      </c>
      <c r="AW233" s="1525">
        <f t="shared" si="128"/>
        <v>0</v>
      </c>
      <c r="AX233" s="152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4"/>
      <c r="AV234" s="1525">
        <f t="shared" si="127"/>
        <v>0</v>
      </c>
      <c r="AW234" s="1525">
        <f t="shared" si="128"/>
        <v>0</v>
      </c>
      <c r="AX234" s="152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4"/>
      <c r="AV235" s="1525">
        <f t="shared" si="127"/>
        <v>0</v>
      </c>
      <c r="AW235" s="1525">
        <f t="shared" si="128"/>
        <v>0</v>
      </c>
      <c r="AX235" s="152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4"/>
      <c r="AV236" s="1525">
        <f t="shared" si="127"/>
        <v>0</v>
      </c>
      <c r="AW236" s="1525">
        <f t="shared" si="128"/>
        <v>0</v>
      </c>
      <c r="AX236" s="152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4"/>
      <c r="AV237" s="1525">
        <f t="shared" si="127"/>
        <v>0</v>
      </c>
      <c r="AW237" s="1525">
        <f t="shared" si="128"/>
        <v>0</v>
      </c>
      <c r="AX237" s="152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4"/>
      <c r="AV238" s="1525">
        <f t="shared" si="127"/>
        <v>0</v>
      </c>
      <c r="AW238" s="1525">
        <f t="shared" si="128"/>
        <v>0</v>
      </c>
      <c r="AX238" s="152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4"/>
      <c r="AV239" s="1525">
        <f t="shared" si="127"/>
        <v>0</v>
      </c>
      <c r="AW239" s="1525">
        <f t="shared" si="128"/>
        <v>0</v>
      </c>
      <c r="AX239" s="152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4"/>
      <c r="AV240" s="1525">
        <f t="shared" si="127"/>
        <v>0</v>
      </c>
      <c r="AW240" s="1525">
        <f t="shared" si="128"/>
        <v>0</v>
      </c>
      <c r="AX240" s="152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4"/>
      <c r="AV241" s="1525">
        <f t="shared" si="127"/>
        <v>0</v>
      </c>
      <c r="AW241" s="1525">
        <f t="shared" si="128"/>
        <v>0</v>
      </c>
      <c r="AX241" s="152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4"/>
      <c r="AV242" s="1525">
        <f t="shared" si="127"/>
        <v>0</v>
      </c>
      <c r="AW242" s="1525">
        <f t="shared" si="128"/>
        <v>0</v>
      </c>
      <c r="AX242" s="152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4"/>
      <c r="AV243" s="1525">
        <f t="shared" si="127"/>
        <v>0</v>
      </c>
      <c r="AW243" s="1525">
        <f t="shared" si="128"/>
        <v>0</v>
      </c>
      <c r="AX243" s="152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4"/>
      <c r="AV244" s="1525">
        <f t="shared" si="127"/>
        <v>0</v>
      </c>
      <c r="AW244" s="1525">
        <f t="shared" si="128"/>
        <v>0</v>
      </c>
      <c r="AX244" s="152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4"/>
      <c r="AV245" s="1525">
        <f t="shared" si="127"/>
        <v>0</v>
      </c>
      <c r="AW245" s="1525">
        <f t="shared" si="128"/>
        <v>0</v>
      </c>
      <c r="AX245" s="152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4"/>
      <c r="AV246" s="1525">
        <f t="shared" si="127"/>
        <v>0</v>
      </c>
      <c r="AW246" s="1525">
        <f t="shared" si="128"/>
        <v>0</v>
      </c>
      <c r="AX246" s="152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4"/>
      <c r="AV247" s="1525">
        <f t="shared" si="127"/>
        <v>0</v>
      </c>
      <c r="AW247" s="1525">
        <f t="shared" si="128"/>
        <v>0</v>
      </c>
      <c r="AX247" s="152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4"/>
      <c r="AV248" s="1525">
        <f t="shared" si="127"/>
        <v>0</v>
      </c>
      <c r="AW248" s="1525">
        <f t="shared" si="128"/>
        <v>0</v>
      </c>
      <c r="AX248" s="152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4"/>
      <c r="AV249" s="1525">
        <f t="shared" si="127"/>
        <v>0</v>
      </c>
      <c r="AW249" s="1525">
        <f t="shared" si="128"/>
        <v>0</v>
      </c>
      <c r="AX249" s="152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4"/>
      <c r="AV250" s="1525">
        <f t="shared" si="127"/>
        <v>0</v>
      </c>
      <c r="AW250" s="1525">
        <f t="shared" si="128"/>
        <v>0</v>
      </c>
      <c r="AX250" s="152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4"/>
      <c r="AV251" s="1525">
        <f t="shared" si="127"/>
        <v>0</v>
      </c>
      <c r="AW251" s="1525">
        <f t="shared" si="128"/>
        <v>0</v>
      </c>
      <c r="AX251" s="152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4"/>
      <c r="AV252" s="1525">
        <f t="shared" si="127"/>
        <v>0</v>
      </c>
      <c r="AW252" s="1525">
        <f t="shared" si="128"/>
        <v>0</v>
      </c>
      <c r="AX252" s="152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4"/>
      <c r="AV253" s="1525">
        <f t="shared" si="127"/>
        <v>0</v>
      </c>
      <c r="AW253" s="1525">
        <f t="shared" si="128"/>
        <v>0</v>
      </c>
      <c r="AX253" s="152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4"/>
      <c r="AV254" s="1525">
        <f t="shared" si="127"/>
        <v>0</v>
      </c>
      <c r="AW254" s="1525">
        <f t="shared" si="128"/>
        <v>0</v>
      </c>
      <c r="AX254" s="152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4"/>
      <c r="AV255" s="1525">
        <f t="shared" si="127"/>
        <v>0</v>
      </c>
      <c r="AW255" s="1525">
        <f t="shared" si="128"/>
        <v>0</v>
      </c>
      <c r="AX255" s="152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4"/>
      <c r="AV256" s="1525">
        <f t="shared" si="127"/>
        <v>0</v>
      </c>
      <c r="AW256" s="1525">
        <f t="shared" si="128"/>
        <v>0</v>
      </c>
      <c r="AX256" s="152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4"/>
      <c r="AV257" s="1525">
        <f t="shared" si="127"/>
        <v>0</v>
      </c>
      <c r="AW257" s="1525">
        <f t="shared" si="128"/>
        <v>0</v>
      </c>
      <c r="AX257" s="152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4"/>
      <c r="AV258" s="1525">
        <f t="shared" si="127"/>
        <v>0</v>
      </c>
      <c r="AW258" s="1525">
        <f t="shared" si="128"/>
        <v>0</v>
      </c>
      <c r="AX258" s="152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4"/>
      <c r="AV259" s="1525">
        <f t="shared" si="127"/>
        <v>0</v>
      </c>
      <c r="AW259" s="1525">
        <f t="shared" si="128"/>
        <v>0</v>
      </c>
      <c r="AX259" s="152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4"/>
      <c r="AV260" s="1525">
        <f t="shared" si="127"/>
        <v>0</v>
      </c>
      <c r="AW260" s="1525">
        <f t="shared" si="128"/>
        <v>0</v>
      </c>
      <c r="AX260" s="152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4"/>
      <c r="AV261" s="1525">
        <f t="shared" si="127"/>
        <v>0</v>
      </c>
      <c r="AW261" s="1525">
        <f t="shared" si="128"/>
        <v>0</v>
      </c>
      <c r="AX261" s="152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4"/>
      <c r="AV262" s="1525">
        <f t="shared" si="127"/>
        <v>0</v>
      </c>
      <c r="AW262" s="1525">
        <f t="shared" si="128"/>
        <v>0</v>
      </c>
      <c r="AX262" s="152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4"/>
      <c r="AV263" s="1525">
        <f t="shared" si="127"/>
        <v>0</v>
      </c>
      <c r="AW263" s="1525">
        <f t="shared" si="128"/>
        <v>0</v>
      </c>
      <c r="AX263" s="152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4"/>
      <c r="AV264" s="1525">
        <f t="shared" si="127"/>
        <v>0</v>
      </c>
      <c r="AW264" s="1525">
        <f t="shared" si="128"/>
        <v>0</v>
      </c>
      <c r="AX264" s="152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4"/>
      <c r="AV265" s="1525">
        <f t="shared" si="127"/>
        <v>0</v>
      </c>
      <c r="AW265" s="1525">
        <f t="shared" si="128"/>
        <v>0</v>
      </c>
      <c r="AX265" s="152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4"/>
      <c r="AV266" s="1525">
        <f t="shared" si="127"/>
        <v>0</v>
      </c>
      <c r="AW266" s="1525">
        <f t="shared" si="128"/>
        <v>0</v>
      </c>
      <c r="AX266" s="152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4"/>
      <c r="AV267" s="1525">
        <f t="shared" si="127"/>
        <v>0</v>
      </c>
      <c r="AW267" s="1525">
        <f t="shared" si="128"/>
        <v>0</v>
      </c>
      <c r="AX267" s="152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4"/>
      <c r="AV268" s="1525">
        <f t="shared" si="127"/>
        <v>0</v>
      </c>
      <c r="AW268" s="1525">
        <f t="shared" si="128"/>
        <v>0</v>
      </c>
      <c r="AX268" s="152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4"/>
      <c r="AV269" s="1525">
        <f t="shared" si="127"/>
        <v>0</v>
      </c>
      <c r="AW269" s="1525">
        <f t="shared" si="128"/>
        <v>0</v>
      </c>
      <c r="AX269" s="152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4"/>
      <c r="AV270" s="1525">
        <f t="shared" si="127"/>
        <v>0</v>
      </c>
      <c r="AW270" s="1525">
        <f t="shared" si="128"/>
        <v>0</v>
      </c>
      <c r="AX270" s="152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4"/>
      <c r="AV271" s="1525">
        <f t="shared" si="127"/>
        <v>0</v>
      </c>
      <c r="AW271" s="1525">
        <f t="shared" si="128"/>
        <v>0</v>
      </c>
      <c r="AX271" s="152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4"/>
      <c r="AV272" s="1525">
        <f t="shared" si="127"/>
        <v>0</v>
      </c>
      <c r="AW272" s="1525">
        <f t="shared" si="128"/>
        <v>0</v>
      </c>
      <c r="AX272" s="152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4"/>
      <c r="AV273" s="1525">
        <f t="shared" si="127"/>
        <v>0</v>
      </c>
      <c r="AW273" s="1525">
        <f t="shared" si="128"/>
        <v>0</v>
      </c>
      <c r="AX273" s="152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4"/>
      <c r="AV274" s="1525">
        <f t="shared" si="127"/>
        <v>0</v>
      </c>
      <c r="AW274" s="1525">
        <f t="shared" si="128"/>
        <v>0</v>
      </c>
      <c r="AX274" s="152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4"/>
      <c r="AV275" s="1525">
        <f t="shared" si="127"/>
        <v>0</v>
      </c>
      <c r="AW275" s="1525">
        <f t="shared" si="128"/>
        <v>0</v>
      </c>
      <c r="AX275" s="152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4"/>
      <c r="AV276" s="1525">
        <f t="shared" si="127"/>
        <v>0</v>
      </c>
      <c r="AW276" s="1525">
        <f t="shared" si="128"/>
        <v>0</v>
      </c>
      <c r="AX276" s="152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4"/>
      <c r="AV277" s="1525">
        <f t="shared" si="127"/>
        <v>0</v>
      </c>
      <c r="AW277" s="1525">
        <f t="shared" si="128"/>
        <v>0</v>
      </c>
      <c r="AX277" s="152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4"/>
      <c r="AV278" s="1525">
        <f t="shared" si="127"/>
        <v>0</v>
      </c>
      <c r="AW278" s="1525">
        <f t="shared" si="128"/>
        <v>0</v>
      </c>
      <c r="AX278" s="152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4"/>
      <c r="AV279" s="1525">
        <f t="shared" si="127"/>
        <v>0</v>
      </c>
      <c r="AW279" s="1525">
        <f t="shared" si="128"/>
        <v>0</v>
      </c>
      <c r="AX279" s="152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4"/>
      <c r="AV280" s="1525">
        <f t="shared" si="127"/>
        <v>0</v>
      </c>
      <c r="AW280" s="1525">
        <f t="shared" si="128"/>
        <v>0</v>
      </c>
      <c r="AX280" s="152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4"/>
      <c r="AV281" s="1525">
        <f t="shared" si="127"/>
        <v>0</v>
      </c>
      <c r="AW281" s="1525">
        <f t="shared" si="128"/>
        <v>0</v>
      </c>
      <c r="AX281" s="152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4"/>
      <c r="AV282" s="1525">
        <f t="shared" si="127"/>
        <v>0</v>
      </c>
      <c r="AW282" s="1525">
        <f t="shared" si="128"/>
        <v>0</v>
      </c>
      <c r="AX282" s="152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4"/>
      <c r="AV283" s="1525">
        <f t="shared" si="127"/>
        <v>0</v>
      </c>
      <c r="AW283" s="1525">
        <f t="shared" si="128"/>
        <v>0</v>
      </c>
      <c r="AX283" s="152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4"/>
      <c r="AV284" s="1525">
        <f t="shared" si="127"/>
        <v>0</v>
      </c>
      <c r="AW284" s="1525">
        <f t="shared" si="128"/>
        <v>0</v>
      </c>
      <c r="AX284" s="152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4"/>
      <c r="AV285" s="1525">
        <f t="shared" si="127"/>
        <v>0</v>
      </c>
      <c r="AW285" s="1525">
        <f t="shared" si="128"/>
        <v>0</v>
      </c>
      <c r="AX285" s="152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4"/>
      <c r="AV286" s="1525">
        <f t="shared" si="127"/>
        <v>0</v>
      </c>
      <c r="AW286" s="1525">
        <f t="shared" si="128"/>
        <v>0</v>
      </c>
      <c r="AX286" s="152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4"/>
      <c r="AV287" s="1525">
        <f t="shared" si="127"/>
        <v>0</v>
      </c>
      <c r="AW287" s="1525">
        <f t="shared" si="128"/>
        <v>0</v>
      </c>
      <c r="AX287" s="152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4"/>
      <c r="AV288" s="1525">
        <f t="shared" si="127"/>
        <v>0</v>
      </c>
      <c r="AW288" s="1525">
        <f t="shared" si="128"/>
        <v>0</v>
      </c>
      <c r="AX288" s="152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4"/>
      <c r="AV289" s="1525">
        <f t="shared" si="127"/>
        <v>0</v>
      </c>
      <c r="AW289" s="1525">
        <f t="shared" si="128"/>
        <v>0</v>
      </c>
      <c r="AX289" s="152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4"/>
      <c r="AV290" s="1525">
        <f t="shared" si="127"/>
        <v>0</v>
      </c>
      <c r="AW290" s="1525">
        <f t="shared" si="128"/>
        <v>0</v>
      </c>
      <c r="AX290" s="152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4"/>
      <c r="AV291" s="1525">
        <f t="shared" si="127"/>
        <v>0</v>
      </c>
      <c r="AW291" s="1525">
        <f t="shared" si="128"/>
        <v>0</v>
      </c>
      <c r="AX291" s="152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4"/>
      <c r="AV292" s="1525">
        <f t="shared" si="127"/>
        <v>0</v>
      </c>
      <c r="AW292" s="1525">
        <f t="shared" si="128"/>
        <v>0</v>
      </c>
      <c r="AX292" s="152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4"/>
      <c r="AV293" s="1525">
        <f t="shared" si="127"/>
        <v>0</v>
      </c>
      <c r="AW293" s="1525">
        <f t="shared" si="128"/>
        <v>0</v>
      </c>
      <c r="AX293" s="152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4"/>
      <c r="AV294" s="1525">
        <f t="shared" si="127"/>
        <v>0</v>
      </c>
      <c r="AW294" s="1525">
        <f t="shared" si="128"/>
        <v>0</v>
      </c>
      <c r="AX294" s="152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4"/>
      <c r="AV295" s="1525">
        <f t="shared" si="127"/>
        <v>0</v>
      </c>
      <c r="AW295" s="1525">
        <f t="shared" si="128"/>
        <v>0</v>
      </c>
      <c r="AX295" s="152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4"/>
      <c r="AV296" s="1525">
        <f t="shared" si="127"/>
        <v>0</v>
      </c>
      <c r="AW296" s="1525">
        <f t="shared" si="128"/>
        <v>0</v>
      </c>
      <c r="AX296" s="152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4"/>
      <c r="AV297" s="1525">
        <f t="shared" si="127"/>
        <v>0</v>
      </c>
      <c r="AW297" s="1525">
        <f t="shared" si="128"/>
        <v>0</v>
      </c>
      <c r="AX297" s="152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4"/>
      <c r="AV298" s="1525">
        <f t="shared" si="127"/>
        <v>0</v>
      </c>
      <c r="AW298" s="1525">
        <f t="shared" si="128"/>
        <v>0</v>
      </c>
      <c r="AX298" s="152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4"/>
      <c r="AV299" s="1525">
        <f t="shared" si="127"/>
        <v>0</v>
      </c>
      <c r="AW299" s="1525">
        <f t="shared" si="128"/>
        <v>0</v>
      </c>
      <c r="AX299" s="152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4"/>
      <c r="AV300" s="1525">
        <f t="shared" si="127"/>
        <v>0</v>
      </c>
      <c r="AW300" s="1525">
        <f t="shared" si="128"/>
        <v>0</v>
      </c>
      <c r="AX300" s="152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4"/>
      <c r="AV301" s="1525">
        <f t="shared" si="127"/>
        <v>0</v>
      </c>
      <c r="AW301" s="1525">
        <f t="shared" si="128"/>
        <v>0</v>
      </c>
      <c r="AX301" s="152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4"/>
      <c r="AV302" s="1525">
        <f t="shared" si="127"/>
        <v>0</v>
      </c>
      <c r="AW302" s="1525">
        <f t="shared" si="128"/>
        <v>0</v>
      </c>
      <c r="AX302" s="152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4"/>
      <c r="AV303" s="1525">
        <f t="shared" ref="AV303:AV334" si="178">A303</f>
        <v>0</v>
      </c>
      <c r="AW303" s="1525">
        <f t="shared" ref="AW303:AW334" si="179">B303</f>
        <v>0</v>
      </c>
      <c r="AX303" s="152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4"/>
      <c r="AV304" s="1525">
        <f t="shared" si="178"/>
        <v>0</v>
      </c>
      <c r="AW304" s="1525">
        <f t="shared" si="179"/>
        <v>0</v>
      </c>
      <c r="AX304" s="152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4"/>
      <c r="AV305" s="1525">
        <f t="shared" si="178"/>
        <v>0</v>
      </c>
      <c r="AW305" s="1525">
        <f t="shared" si="179"/>
        <v>0</v>
      </c>
      <c r="AX305" s="152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4"/>
      <c r="AV306" s="1525">
        <f t="shared" si="178"/>
        <v>0</v>
      </c>
      <c r="AW306" s="1525">
        <f t="shared" si="179"/>
        <v>0</v>
      </c>
      <c r="AX306" s="152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4"/>
      <c r="AV307" s="1525">
        <f t="shared" si="178"/>
        <v>0</v>
      </c>
      <c r="AW307" s="1525">
        <f t="shared" si="179"/>
        <v>0</v>
      </c>
      <c r="AX307" s="152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4"/>
      <c r="AV308" s="1525">
        <f t="shared" si="178"/>
        <v>0</v>
      </c>
      <c r="AW308" s="1525">
        <f t="shared" si="179"/>
        <v>0</v>
      </c>
      <c r="AX308" s="152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4"/>
      <c r="AV309" s="1525">
        <f t="shared" si="178"/>
        <v>0</v>
      </c>
      <c r="AW309" s="1525">
        <f t="shared" si="179"/>
        <v>0</v>
      </c>
      <c r="AX309" s="152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4"/>
      <c r="AV310" s="1525">
        <f t="shared" si="178"/>
        <v>0</v>
      </c>
      <c r="AW310" s="1525">
        <f t="shared" si="179"/>
        <v>0</v>
      </c>
      <c r="AX310" s="152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4"/>
      <c r="AV311" s="1525">
        <f t="shared" si="178"/>
        <v>0</v>
      </c>
      <c r="AW311" s="1525">
        <f t="shared" si="179"/>
        <v>0</v>
      </c>
      <c r="AX311" s="152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4"/>
      <c r="AV312" s="1525">
        <f t="shared" si="178"/>
        <v>0</v>
      </c>
      <c r="AW312" s="1525">
        <f t="shared" si="179"/>
        <v>0</v>
      </c>
      <c r="AX312" s="152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4"/>
      <c r="AV313" s="1525">
        <f t="shared" si="178"/>
        <v>0</v>
      </c>
      <c r="AW313" s="1525">
        <f t="shared" si="179"/>
        <v>0</v>
      </c>
      <c r="AX313" s="152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4"/>
      <c r="AV314" s="1525">
        <f t="shared" si="178"/>
        <v>0</v>
      </c>
      <c r="AW314" s="1525">
        <f t="shared" si="179"/>
        <v>0</v>
      </c>
      <c r="AX314" s="152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4"/>
      <c r="AV315" s="1525">
        <f t="shared" si="178"/>
        <v>0</v>
      </c>
      <c r="AW315" s="1525">
        <f t="shared" si="179"/>
        <v>0</v>
      </c>
      <c r="AX315" s="152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4"/>
      <c r="AV316" s="1525">
        <f t="shared" si="178"/>
        <v>0</v>
      </c>
      <c r="AW316" s="1525">
        <f t="shared" si="179"/>
        <v>0</v>
      </c>
      <c r="AX316" s="152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4"/>
      <c r="AV317" s="1525">
        <f t="shared" si="178"/>
        <v>0</v>
      </c>
      <c r="AW317" s="1525">
        <f t="shared" si="179"/>
        <v>0</v>
      </c>
      <c r="AX317" s="152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4"/>
      <c r="AV318" s="1525">
        <f t="shared" si="178"/>
        <v>0</v>
      </c>
      <c r="AW318" s="1525">
        <f t="shared" si="179"/>
        <v>0</v>
      </c>
      <c r="AX318" s="152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4"/>
      <c r="AV319" s="1525">
        <f t="shared" si="178"/>
        <v>0</v>
      </c>
      <c r="AW319" s="1525">
        <f t="shared" si="179"/>
        <v>0</v>
      </c>
      <c r="AX319" s="152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4"/>
      <c r="AV320" s="1525">
        <f t="shared" si="178"/>
        <v>0</v>
      </c>
      <c r="AW320" s="1525">
        <f t="shared" si="179"/>
        <v>0</v>
      </c>
      <c r="AX320" s="152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4"/>
      <c r="AV321" s="1525">
        <f t="shared" si="178"/>
        <v>0</v>
      </c>
      <c r="AW321" s="1525">
        <f t="shared" si="179"/>
        <v>0</v>
      </c>
      <c r="AX321" s="152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4"/>
      <c r="AV322" s="1525">
        <f t="shared" si="178"/>
        <v>0</v>
      </c>
      <c r="AW322" s="1525">
        <f t="shared" si="179"/>
        <v>0</v>
      </c>
      <c r="AX322" s="152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4"/>
      <c r="AV323" s="1525">
        <f t="shared" si="178"/>
        <v>0</v>
      </c>
      <c r="AW323" s="1525">
        <f t="shared" si="179"/>
        <v>0</v>
      </c>
      <c r="AX323" s="152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4"/>
      <c r="AV324" s="1525">
        <f t="shared" si="178"/>
        <v>0</v>
      </c>
      <c r="AW324" s="1525">
        <f t="shared" si="179"/>
        <v>0</v>
      </c>
      <c r="AX324" s="152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4"/>
      <c r="AV325" s="1525">
        <f t="shared" si="178"/>
        <v>0</v>
      </c>
      <c r="AW325" s="1525">
        <f t="shared" si="179"/>
        <v>0</v>
      </c>
      <c r="AX325" s="152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4"/>
      <c r="AV326" s="1525">
        <f t="shared" si="178"/>
        <v>0</v>
      </c>
      <c r="AW326" s="1525">
        <f t="shared" si="179"/>
        <v>0</v>
      </c>
      <c r="AX326" s="152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4"/>
      <c r="AV327" s="1525">
        <f t="shared" si="178"/>
        <v>0</v>
      </c>
      <c r="AW327" s="1525">
        <f t="shared" si="179"/>
        <v>0</v>
      </c>
      <c r="AX327" s="152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4"/>
      <c r="AV328" s="1525">
        <f t="shared" si="178"/>
        <v>0</v>
      </c>
      <c r="AW328" s="1525">
        <f t="shared" si="179"/>
        <v>0</v>
      </c>
      <c r="AX328" s="152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4"/>
      <c r="AV329" s="1525">
        <f t="shared" si="178"/>
        <v>0</v>
      </c>
      <c r="AW329" s="1525">
        <f t="shared" si="179"/>
        <v>0</v>
      </c>
      <c r="AX329" s="152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4"/>
      <c r="AV330" s="1525">
        <f t="shared" si="178"/>
        <v>0</v>
      </c>
      <c r="AW330" s="1525">
        <f t="shared" si="179"/>
        <v>0</v>
      </c>
      <c r="AX330" s="152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4"/>
      <c r="AV331" s="1525">
        <f t="shared" si="178"/>
        <v>0</v>
      </c>
      <c r="AW331" s="1525">
        <f t="shared" si="179"/>
        <v>0</v>
      </c>
      <c r="AX331" s="152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4"/>
      <c r="AV332" s="1525">
        <f t="shared" si="178"/>
        <v>0</v>
      </c>
      <c r="AW332" s="1525">
        <f t="shared" si="179"/>
        <v>0</v>
      </c>
      <c r="AX332" s="152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4"/>
      <c r="AV333" s="1525">
        <f t="shared" si="178"/>
        <v>0</v>
      </c>
      <c r="AW333" s="1525">
        <f t="shared" si="179"/>
        <v>0</v>
      </c>
      <c r="AX333" s="152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4"/>
      <c r="AV334" s="1525">
        <f t="shared" si="178"/>
        <v>0</v>
      </c>
      <c r="AW334" s="1525">
        <f t="shared" si="179"/>
        <v>0</v>
      </c>
      <c r="AX334" s="152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4"/>
      <c r="AV335" s="1525">
        <f t="shared" ref="AV335:AV366" si="207">A335</f>
        <v>0</v>
      </c>
      <c r="AW335" s="1525">
        <f t="shared" ref="AW335:AW366" si="208">B335</f>
        <v>0</v>
      </c>
      <c r="AX335" s="152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4"/>
      <c r="AV336" s="1525">
        <f t="shared" si="207"/>
        <v>0</v>
      </c>
      <c r="AW336" s="1525">
        <f t="shared" si="208"/>
        <v>0</v>
      </c>
      <c r="AX336" s="152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4"/>
      <c r="AV337" s="1525">
        <f t="shared" si="207"/>
        <v>0</v>
      </c>
      <c r="AW337" s="1525">
        <f t="shared" si="208"/>
        <v>0</v>
      </c>
      <c r="AX337" s="152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4"/>
      <c r="AV338" s="1525">
        <f t="shared" si="207"/>
        <v>0</v>
      </c>
      <c r="AW338" s="1525">
        <f t="shared" si="208"/>
        <v>0</v>
      </c>
      <c r="AX338" s="152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4"/>
      <c r="AV339" s="1525">
        <f t="shared" si="207"/>
        <v>0</v>
      </c>
      <c r="AW339" s="1525">
        <f t="shared" si="208"/>
        <v>0</v>
      </c>
      <c r="AX339" s="152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4"/>
      <c r="AV340" s="1525">
        <f t="shared" si="207"/>
        <v>0</v>
      </c>
      <c r="AW340" s="1525">
        <f t="shared" si="208"/>
        <v>0</v>
      </c>
      <c r="AX340" s="152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4"/>
      <c r="AV341" s="1525">
        <f t="shared" si="207"/>
        <v>0</v>
      </c>
      <c r="AW341" s="1525">
        <f t="shared" si="208"/>
        <v>0</v>
      </c>
      <c r="AX341" s="152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4"/>
      <c r="AV342" s="1525">
        <f t="shared" si="207"/>
        <v>0</v>
      </c>
      <c r="AW342" s="1525">
        <f t="shared" si="208"/>
        <v>0</v>
      </c>
      <c r="AX342" s="152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4"/>
      <c r="AV343" s="1525">
        <f t="shared" si="207"/>
        <v>0</v>
      </c>
      <c r="AW343" s="1525">
        <f t="shared" si="208"/>
        <v>0</v>
      </c>
      <c r="AX343" s="152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4"/>
      <c r="AV344" s="1525">
        <f t="shared" si="207"/>
        <v>0</v>
      </c>
      <c r="AW344" s="1525">
        <f t="shared" si="208"/>
        <v>0</v>
      </c>
      <c r="AX344" s="152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4"/>
      <c r="AV345" s="1525">
        <f t="shared" si="207"/>
        <v>0</v>
      </c>
      <c r="AW345" s="1525">
        <f t="shared" si="208"/>
        <v>0</v>
      </c>
      <c r="AX345" s="152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4"/>
      <c r="AV346" s="1525">
        <f t="shared" si="207"/>
        <v>0</v>
      </c>
      <c r="AW346" s="1525">
        <f t="shared" si="208"/>
        <v>0</v>
      </c>
      <c r="AX346" s="152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4"/>
      <c r="AV347" s="1525">
        <f t="shared" si="207"/>
        <v>0</v>
      </c>
      <c r="AW347" s="1525">
        <f t="shared" si="208"/>
        <v>0</v>
      </c>
      <c r="AX347" s="152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4"/>
      <c r="AV348" s="1525">
        <f t="shared" si="207"/>
        <v>0</v>
      </c>
      <c r="AW348" s="1525">
        <f t="shared" si="208"/>
        <v>0</v>
      </c>
      <c r="AX348" s="152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4"/>
      <c r="AV349" s="1525">
        <f t="shared" si="207"/>
        <v>0</v>
      </c>
      <c r="AW349" s="1525">
        <f t="shared" si="208"/>
        <v>0</v>
      </c>
      <c r="AX349" s="152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4"/>
      <c r="AV350" s="1525">
        <f t="shared" si="207"/>
        <v>0</v>
      </c>
      <c r="AW350" s="1525">
        <f t="shared" si="208"/>
        <v>0</v>
      </c>
      <c r="AX350" s="152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4"/>
      <c r="AV351" s="1525">
        <f t="shared" si="207"/>
        <v>0</v>
      </c>
      <c r="AW351" s="1525">
        <f t="shared" si="208"/>
        <v>0</v>
      </c>
      <c r="AX351" s="152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4"/>
      <c r="AV352" s="1525">
        <f t="shared" si="207"/>
        <v>0</v>
      </c>
      <c r="AW352" s="1525">
        <f t="shared" si="208"/>
        <v>0</v>
      </c>
      <c r="AX352" s="152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4"/>
      <c r="AV353" s="1525">
        <f t="shared" si="207"/>
        <v>0</v>
      </c>
      <c r="AW353" s="1525">
        <f t="shared" si="208"/>
        <v>0</v>
      </c>
      <c r="AX353" s="152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4"/>
      <c r="AV354" s="1525">
        <f t="shared" si="207"/>
        <v>0</v>
      </c>
      <c r="AW354" s="1525">
        <f t="shared" si="208"/>
        <v>0</v>
      </c>
      <c r="AX354" s="152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4"/>
      <c r="AV355" s="1525">
        <f t="shared" si="207"/>
        <v>0</v>
      </c>
      <c r="AW355" s="1525">
        <f t="shared" si="208"/>
        <v>0</v>
      </c>
      <c r="AX355" s="152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4"/>
      <c r="AV356" s="1525">
        <f t="shared" si="207"/>
        <v>0</v>
      </c>
      <c r="AW356" s="1525">
        <f t="shared" si="208"/>
        <v>0</v>
      </c>
      <c r="AX356" s="152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4"/>
      <c r="AV357" s="1525">
        <f t="shared" si="207"/>
        <v>0</v>
      </c>
      <c r="AW357" s="1525">
        <f t="shared" si="208"/>
        <v>0</v>
      </c>
      <c r="AX357" s="152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4"/>
      <c r="AV358" s="1525">
        <f t="shared" si="207"/>
        <v>0</v>
      </c>
      <c r="AW358" s="1525">
        <f t="shared" si="208"/>
        <v>0</v>
      </c>
      <c r="AX358" s="152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4"/>
      <c r="AV359" s="1525">
        <f t="shared" si="207"/>
        <v>0</v>
      </c>
      <c r="AW359" s="1525">
        <f t="shared" si="208"/>
        <v>0</v>
      </c>
      <c r="AX359" s="152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4"/>
      <c r="AV360" s="1525">
        <f t="shared" si="207"/>
        <v>0</v>
      </c>
      <c r="AW360" s="1525">
        <f t="shared" si="208"/>
        <v>0</v>
      </c>
      <c r="AX360" s="152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4"/>
      <c r="AV361" s="1525">
        <f t="shared" si="207"/>
        <v>0</v>
      </c>
      <c r="AW361" s="1525">
        <f t="shared" si="208"/>
        <v>0</v>
      </c>
      <c r="AX361" s="152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4"/>
      <c r="AV362" s="1525">
        <f t="shared" si="207"/>
        <v>0</v>
      </c>
      <c r="AW362" s="1525">
        <f t="shared" si="208"/>
        <v>0</v>
      </c>
      <c r="AX362" s="152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4"/>
      <c r="AV363" s="1525">
        <f t="shared" si="207"/>
        <v>0</v>
      </c>
      <c r="AW363" s="1525">
        <f t="shared" si="208"/>
        <v>0</v>
      </c>
      <c r="AX363" s="152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4"/>
      <c r="AV364" s="1525">
        <f t="shared" si="207"/>
        <v>0</v>
      </c>
      <c r="AW364" s="1525">
        <f t="shared" si="208"/>
        <v>0</v>
      </c>
      <c r="AX364" s="152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4"/>
      <c r="AV365" s="1525">
        <f t="shared" si="207"/>
        <v>0</v>
      </c>
      <c r="AW365" s="1525">
        <f t="shared" si="208"/>
        <v>0</v>
      </c>
      <c r="AX365" s="152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4"/>
      <c r="AV366" s="1525">
        <f t="shared" si="207"/>
        <v>0</v>
      </c>
      <c r="AW366" s="1525">
        <f t="shared" si="208"/>
        <v>0</v>
      </c>
      <c r="AX366" s="152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4"/>
      <c r="AV367" s="1525">
        <f t="shared" ref="AV367:AV397" si="236">A367</f>
        <v>0</v>
      </c>
      <c r="AW367" s="1525">
        <f t="shared" ref="AW367:AW397" si="237">B367</f>
        <v>0</v>
      </c>
      <c r="AX367" s="152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4"/>
      <c r="AV368" s="1525">
        <f t="shared" si="236"/>
        <v>0</v>
      </c>
      <c r="AW368" s="1525">
        <f t="shared" si="237"/>
        <v>0</v>
      </c>
      <c r="AX368" s="152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4"/>
      <c r="AV369" s="1525">
        <f t="shared" si="236"/>
        <v>0</v>
      </c>
      <c r="AW369" s="1525">
        <f t="shared" si="237"/>
        <v>0</v>
      </c>
      <c r="AX369" s="152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4"/>
      <c r="AV370" s="1525">
        <f t="shared" si="236"/>
        <v>0</v>
      </c>
      <c r="AW370" s="1525">
        <f t="shared" si="237"/>
        <v>0</v>
      </c>
      <c r="AX370" s="152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4"/>
      <c r="AV371" s="1525">
        <f t="shared" si="236"/>
        <v>0</v>
      </c>
      <c r="AW371" s="1525">
        <f t="shared" si="237"/>
        <v>0</v>
      </c>
      <c r="AX371" s="152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4"/>
      <c r="AV372" s="1525">
        <f t="shared" si="236"/>
        <v>0</v>
      </c>
      <c r="AW372" s="1525">
        <f t="shared" si="237"/>
        <v>0</v>
      </c>
      <c r="AX372" s="152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4"/>
      <c r="AV373" s="1525">
        <f t="shared" si="236"/>
        <v>0</v>
      </c>
      <c r="AW373" s="1525">
        <f t="shared" si="237"/>
        <v>0</v>
      </c>
      <c r="AX373" s="152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4"/>
      <c r="AV374" s="1525">
        <f t="shared" si="236"/>
        <v>0</v>
      </c>
      <c r="AW374" s="1525">
        <f t="shared" si="237"/>
        <v>0</v>
      </c>
      <c r="AX374" s="152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4"/>
      <c r="AV375" s="1525">
        <f t="shared" si="236"/>
        <v>0</v>
      </c>
      <c r="AW375" s="1525">
        <f t="shared" si="237"/>
        <v>0</v>
      </c>
      <c r="AX375" s="152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4"/>
      <c r="AV376" s="1525">
        <f t="shared" si="236"/>
        <v>0</v>
      </c>
      <c r="AW376" s="1525">
        <f t="shared" si="237"/>
        <v>0</v>
      </c>
      <c r="AX376" s="152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4"/>
      <c r="AV377" s="1525">
        <f t="shared" si="236"/>
        <v>0</v>
      </c>
      <c r="AW377" s="1525">
        <f t="shared" si="237"/>
        <v>0</v>
      </c>
      <c r="AX377" s="152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4"/>
      <c r="AV378" s="1525">
        <f t="shared" si="236"/>
        <v>0</v>
      </c>
      <c r="AW378" s="1525">
        <f t="shared" si="237"/>
        <v>0</v>
      </c>
      <c r="AX378" s="152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4"/>
      <c r="AV379" s="1525">
        <f t="shared" si="236"/>
        <v>0</v>
      </c>
      <c r="AW379" s="1525">
        <f t="shared" si="237"/>
        <v>0</v>
      </c>
      <c r="AX379" s="152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4"/>
      <c r="AV380" s="1525">
        <f t="shared" si="236"/>
        <v>0</v>
      </c>
      <c r="AW380" s="1525">
        <f t="shared" si="237"/>
        <v>0</v>
      </c>
      <c r="AX380" s="152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4"/>
      <c r="AV381" s="1525">
        <f t="shared" si="236"/>
        <v>0</v>
      </c>
      <c r="AW381" s="1525">
        <f t="shared" si="237"/>
        <v>0</v>
      </c>
      <c r="AX381" s="152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4"/>
      <c r="AV382" s="1525">
        <f t="shared" si="236"/>
        <v>0</v>
      </c>
      <c r="AW382" s="1525">
        <f t="shared" si="237"/>
        <v>0</v>
      </c>
      <c r="AX382" s="152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4"/>
      <c r="AV383" s="1525">
        <f t="shared" si="236"/>
        <v>0</v>
      </c>
      <c r="AW383" s="1525">
        <f t="shared" si="237"/>
        <v>0</v>
      </c>
      <c r="AX383" s="152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4"/>
      <c r="AV384" s="1525">
        <f t="shared" si="236"/>
        <v>0</v>
      </c>
      <c r="AW384" s="1525">
        <f t="shared" si="237"/>
        <v>0</v>
      </c>
      <c r="AX384" s="152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4"/>
      <c r="AV385" s="1525">
        <f t="shared" si="236"/>
        <v>0</v>
      </c>
      <c r="AW385" s="1525">
        <f t="shared" si="237"/>
        <v>0</v>
      </c>
      <c r="AX385" s="152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4"/>
      <c r="AV386" s="1525">
        <f t="shared" si="236"/>
        <v>0</v>
      </c>
      <c r="AW386" s="1525">
        <f t="shared" si="237"/>
        <v>0</v>
      </c>
      <c r="AX386" s="152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4"/>
      <c r="AV387" s="1525">
        <f t="shared" si="236"/>
        <v>0</v>
      </c>
      <c r="AW387" s="1525">
        <f t="shared" si="237"/>
        <v>0</v>
      </c>
      <c r="AX387" s="152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4"/>
      <c r="AV388" s="1525">
        <f t="shared" si="236"/>
        <v>0</v>
      </c>
      <c r="AW388" s="1525">
        <f t="shared" si="237"/>
        <v>0</v>
      </c>
      <c r="AX388" s="152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4"/>
      <c r="AV389" s="1525">
        <f t="shared" si="236"/>
        <v>0</v>
      </c>
      <c r="AW389" s="1525">
        <f t="shared" si="237"/>
        <v>0</v>
      </c>
      <c r="AX389" s="152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4"/>
      <c r="AV390" s="1525">
        <f t="shared" si="236"/>
        <v>0</v>
      </c>
      <c r="AW390" s="1525">
        <f t="shared" si="237"/>
        <v>0</v>
      </c>
      <c r="AX390" s="152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4"/>
      <c r="AV391" s="1525">
        <f t="shared" si="236"/>
        <v>0</v>
      </c>
      <c r="AW391" s="1525">
        <f t="shared" si="237"/>
        <v>0</v>
      </c>
      <c r="AX391" s="152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4"/>
      <c r="AV392" s="1525">
        <f t="shared" si="236"/>
        <v>0</v>
      </c>
      <c r="AW392" s="1525">
        <f t="shared" si="237"/>
        <v>0</v>
      </c>
      <c r="AX392" s="152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4"/>
      <c r="AV393" s="1525">
        <f t="shared" si="236"/>
        <v>0</v>
      </c>
      <c r="AW393" s="1525">
        <f t="shared" si="237"/>
        <v>0</v>
      </c>
      <c r="AX393" s="152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4"/>
      <c r="AV394" s="1525">
        <f t="shared" si="236"/>
        <v>0</v>
      </c>
      <c r="AW394" s="1525">
        <f t="shared" si="237"/>
        <v>0</v>
      </c>
      <c r="AX394" s="152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4"/>
      <c r="AV395" s="1525">
        <f t="shared" si="236"/>
        <v>0</v>
      </c>
      <c r="AW395" s="1525">
        <f t="shared" si="237"/>
        <v>0</v>
      </c>
      <c r="AX395" s="152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4"/>
      <c r="AV396" s="1525">
        <f t="shared" si="236"/>
        <v>0</v>
      </c>
      <c r="AW396" s="1525">
        <f t="shared" si="237"/>
        <v>0</v>
      </c>
      <c r="AX396" s="152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4"/>
      <c r="AV397" s="1525">
        <f t="shared" si="236"/>
        <v>0</v>
      </c>
      <c r="AW397" s="1525">
        <f t="shared" si="237"/>
        <v>0</v>
      </c>
      <c r="AX397" s="152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4"/>
      <c r="AV398" s="1525">
        <f t="shared" ref="AV398:AV492" si="243">A398</f>
        <v>0</v>
      </c>
      <c r="AW398" s="1525">
        <f t="shared" ref="AW398:AW492" si="244">B398</f>
        <v>0</v>
      </c>
      <c r="AX398" s="152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4"/>
      <c r="AV399" s="1525">
        <f t="shared" si="243"/>
        <v>0</v>
      </c>
      <c r="AW399" s="1525">
        <f t="shared" si="244"/>
        <v>0</v>
      </c>
      <c r="AX399" s="152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4"/>
      <c r="AV400" s="1525">
        <f t="shared" si="243"/>
        <v>0</v>
      </c>
      <c r="AW400" s="1525">
        <f t="shared" si="244"/>
        <v>0</v>
      </c>
      <c r="AX400" s="152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4"/>
      <c r="AV401" s="1525">
        <f t="shared" si="243"/>
        <v>0</v>
      </c>
      <c r="AW401" s="1525">
        <f t="shared" si="244"/>
        <v>0</v>
      </c>
      <c r="AX401" s="152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4"/>
      <c r="AV402" s="1525">
        <f t="shared" si="243"/>
        <v>0</v>
      </c>
      <c r="AW402" s="1525">
        <f t="shared" si="244"/>
        <v>0</v>
      </c>
      <c r="AX402" s="152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4"/>
      <c r="AV403" s="1525">
        <f t="shared" si="243"/>
        <v>0</v>
      </c>
      <c r="AW403" s="1525">
        <f t="shared" si="244"/>
        <v>0</v>
      </c>
      <c r="AX403" s="152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4"/>
      <c r="AV404" s="1525">
        <f t="shared" si="243"/>
        <v>0</v>
      </c>
      <c r="AW404" s="1525">
        <f t="shared" si="244"/>
        <v>0</v>
      </c>
      <c r="AX404" s="152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4"/>
      <c r="AV405" s="1525">
        <f t="shared" si="243"/>
        <v>0</v>
      </c>
      <c r="AW405" s="1525">
        <f t="shared" si="244"/>
        <v>0</v>
      </c>
      <c r="AX405" s="152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4"/>
      <c r="AV406" s="1525">
        <f t="shared" si="243"/>
        <v>0</v>
      </c>
      <c r="AW406" s="1525">
        <f t="shared" si="244"/>
        <v>0</v>
      </c>
      <c r="AX406" s="152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4"/>
      <c r="AV407" s="1525">
        <f t="shared" si="243"/>
        <v>0</v>
      </c>
      <c r="AW407" s="1525">
        <f t="shared" si="244"/>
        <v>0</v>
      </c>
      <c r="AX407" s="152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4"/>
      <c r="AV408" s="1525">
        <f t="shared" si="243"/>
        <v>0</v>
      </c>
      <c r="AW408" s="1525">
        <f t="shared" si="244"/>
        <v>0</v>
      </c>
      <c r="AX408" s="152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4"/>
      <c r="AV409" s="1525">
        <f t="shared" si="243"/>
        <v>0</v>
      </c>
      <c r="AW409" s="1525">
        <f t="shared" si="244"/>
        <v>0</v>
      </c>
      <c r="AX409" s="152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4"/>
      <c r="AV410" s="1525">
        <f t="shared" si="243"/>
        <v>0</v>
      </c>
      <c r="AW410" s="1525">
        <f t="shared" si="244"/>
        <v>0</v>
      </c>
      <c r="AX410" s="152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4"/>
      <c r="AV411" s="1525">
        <f t="shared" si="243"/>
        <v>0</v>
      </c>
      <c r="AW411" s="1525">
        <f t="shared" si="244"/>
        <v>0</v>
      </c>
      <c r="AX411" s="152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4"/>
      <c r="AV412" s="1525">
        <f t="shared" si="243"/>
        <v>0</v>
      </c>
      <c r="AW412" s="1525">
        <f t="shared" si="244"/>
        <v>0</v>
      </c>
      <c r="AX412" s="152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4"/>
      <c r="AV413" s="1525">
        <f t="shared" si="243"/>
        <v>0</v>
      </c>
      <c r="AW413" s="1525">
        <f t="shared" si="244"/>
        <v>0</v>
      </c>
      <c r="AX413" s="152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4"/>
      <c r="AV414" s="1525">
        <f t="shared" si="243"/>
        <v>0</v>
      </c>
      <c r="AW414" s="1525">
        <f t="shared" si="244"/>
        <v>0</v>
      </c>
      <c r="AX414" s="152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4"/>
      <c r="AV415" s="1525">
        <f t="shared" si="243"/>
        <v>0</v>
      </c>
      <c r="AW415" s="1525">
        <f t="shared" si="244"/>
        <v>0</v>
      </c>
      <c r="AX415" s="152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4"/>
      <c r="AV416" s="1525">
        <f t="shared" si="243"/>
        <v>0</v>
      </c>
      <c r="AW416" s="1525">
        <f t="shared" si="244"/>
        <v>0</v>
      </c>
      <c r="AX416" s="152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4"/>
      <c r="AV417" s="1525">
        <f t="shared" si="243"/>
        <v>0</v>
      </c>
      <c r="AW417" s="1525">
        <f t="shared" si="244"/>
        <v>0</v>
      </c>
      <c r="AX417" s="152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4"/>
      <c r="AV418" s="1525">
        <f t="shared" si="243"/>
        <v>0</v>
      </c>
      <c r="AW418" s="1525">
        <f t="shared" si="244"/>
        <v>0</v>
      </c>
      <c r="AX418" s="152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4"/>
      <c r="AV419" s="1525">
        <f t="shared" si="243"/>
        <v>0</v>
      </c>
      <c r="AW419" s="1525">
        <f t="shared" si="244"/>
        <v>0</v>
      </c>
      <c r="AX419" s="152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4"/>
      <c r="AV420" s="1525">
        <f t="shared" si="243"/>
        <v>0</v>
      </c>
      <c r="AW420" s="1525">
        <f t="shared" si="244"/>
        <v>0</v>
      </c>
      <c r="AX420" s="152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4"/>
      <c r="AV421" s="1525">
        <f t="shared" si="243"/>
        <v>0</v>
      </c>
      <c r="AW421" s="1525">
        <f t="shared" si="244"/>
        <v>0</v>
      </c>
      <c r="AX421" s="152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4"/>
      <c r="AV422" s="1525">
        <f t="shared" si="243"/>
        <v>0</v>
      </c>
      <c r="AW422" s="1525">
        <f t="shared" si="244"/>
        <v>0</v>
      </c>
      <c r="AX422" s="152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4"/>
      <c r="AV423" s="1525">
        <f t="shared" si="243"/>
        <v>0</v>
      </c>
      <c r="AW423" s="1525">
        <f t="shared" si="244"/>
        <v>0</v>
      </c>
      <c r="AX423" s="152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4"/>
      <c r="AV424" s="1525">
        <f t="shared" si="243"/>
        <v>0</v>
      </c>
      <c r="AW424" s="1525">
        <f t="shared" si="244"/>
        <v>0</v>
      </c>
      <c r="AX424" s="152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4"/>
      <c r="AV425" s="1525">
        <f t="shared" si="243"/>
        <v>0</v>
      </c>
      <c r="AW425" s="1525">
        <f t="shared" si="244"/>
        <v>0</v>
      </c>
      <c r="AX425" s="152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4"/>
      <c r="AV426" s="1525">
        <f t="shared" si="243"/>
        <v>0</v>
      </c>
      <c r="AW426" s="1525">
        <f t="shared" si="244"/>
        <v>0</v>
      </c>
      <c r="AX426" s="152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4"/>
      <c r="AV427" s="1525">
        <f t="shared" si="243"/>
        <v>0</v>
      </c>
      <c r="AW427" s="1525">
        <f t="shared" si="244"/>
        <v>0</v>
      </c>
      <c r="AX427" s="152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4"/>
      <c r="AV428" s="1525">
        <f t="shared" si="243"/>
        <v>0</v>
      </c>
      <c r="AW428" s="1525">
        <f t="shared" si="244"/>
        <v>0</v>
      </c>
      <c r="AX428" s="152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4"/>
      <c r="AV429" s="1525">
        <f t="shared" si="243"/>
        <v>0</v>
      </c>
      <c r="AW429" s="1525">
        <f t="shared" si="244"/>
        <v>0</v>
      </c>
      <c r="AX429" s="152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4"/>
      <c r="AV430" s="1525">
        <f t="shared" si="243"/>
        <v>0</v>
      </c>
      <c r="AW430" s="1525">
        <f t="shared" si="244"/>
        <v>0</v>
      </c>
      <c r="AX430" s="152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4"/>
      <c r="AV431" s="1525">
        <f t="shared" si="243"/>
        <v>0</v>
      </c>
      <c r="AW431" s="1525">
        <f t="shared" si="244"/>
        <v>0</v>
      </c>
      <c r="AX431" s="152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4"/>
      <c r="AV432" s="1525">
        <f t="shared" si="243"/>
        <v>0</v>
      </c>
      <c r="AW432" s="1525">
        <f t="shared" si="244"/>
        <v>0</v>
      </c>
      <c r="AX432" s="152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4"/>
      <c r="AV433" s="1525">
        <f t="shared" si="243"/>
        <v>0</v>
      </c>
      <c r="AW433" s="1525">
        <f t="shared" si="244"/>
        <v>0</v>
      </c>
      <c r="AX433" s="152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4"/>
      <c r="AV434" s="1525">
        <f t="shared" si="243"/>
        <v>0</v>
      </c>
      <c r="AW434" s="1525">
        <f t="shared" si="244"/>
        <v>0</v>
      </c>
      <c r="AX434" s="152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4"/>
      <c r="AV435" s="1525">
        <f t="shared" si="243"/>
        <v>0</v>
      </c>
      <c r="AW435" s="1525">
        <f t="shared" si="244"/>
        <v>0</v>
      </c>
      <c r="AX435" s="152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4"/>
      <c r="AV436" s="1525">
        <f t="shared" si="243"/>
        <v>0</v>
      </c>
      <c r="AW436" s="1525">
        <f t="shared" si="244"/>
        <v>0</v>
      </c>
      <c r="AX436" s="152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4"/>
      <c r="AV437" s="1525">
        <f t="shared" si="243"/>
        <v>0</v>
      </c>
      <c r="AW437" s="1525">
        <f t="shared" si="244"/>
        <v>0</v>
      </c>
      <c r="AX437" s="152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4"/>
      <c r="AV438" s="1525">
        <f t="shared" si="243"/>
        <v>0</v>
      </c>
      <c r="AW438" s="1525">
        <f t="shared" si="244"/>
        <v>0</v>
      </c>
      <c r="AX438" s="152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4"/>
      <c r="AV439" s="1525">
        <f t="shared" si="243"/>
        <v>0</v>
      </c>
      <c r="AW439" s="1525">
        <f t="shared" si="244"/>
        <v>0</v>
      </c>
      <c r="AX439" s="152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4"/>
      <c r="AV440" s="1525">
        <f t="shared" si="243"/>
        <v>0</v>
      </c>
      <c r="AW440" s="1525">
        <f t="shared" si="244"/>
        <v>0</v>
      </c>
      <c r="AX440" s="152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4"/>
      <c r="AV441" s="1525">
        <f t="shared" si="243"/>
        <v>0</v>
      </c>
      <c r="AW441" s="1525">
        <f t="shared" si="244"/>
        <v>0</v>
      </c>
      <c r="AX441" s="152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4"/>
      <c r="AV442" s="1525">
        <f t="shared" si="243"/>
        <v>0</v>
      </c>
      <c r="AW442" s="1525">
        <f t="shared" si="244"/>
        <v>0</v>
      </c>
      <c r="AX442" s="152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4"/>
      <c r="AV443" s="1525">
        <f t="shared" si="243"/>
        <v>0</v>
      </c>
      <c r="AW443" s="1525">
        <f t="shared" si="244"/>
        <v>0</v>
      </c>
      <c r="AX443" s="152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4"/>
      <c r="AV444" s="1525">
        <f t="shared" si="243"/>
        <v>0</v>
      </c>
      <c r="AW444" s="1525">
        <f t="shared" si="244"/>
        <v>0</v>
      </c>
      <c r="AX444" s="152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4"/>
      <c r="AV445" s="1525">
        <f t="shared" si="243"/>
        <v>0</v>
      </c>
      <c r="AW445" s="1525">
        <f t="shared" si="244"/>
        <v>0</v>
      </c>
      <c r="AX445" s="152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4"/>
      <c r="AV446" s="1525">
        <f t="shared" si="243"/>
        <v>0</v>
      </c>
      <c r="AW446" s="1525">
        <f t="shared" si="244"/>
        <v>0</v>
      </c>
      <c r="AX446" s="152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4"/>
      <c r="AV447" s="1525">
        <f t="shared" si="243"/>
        <v>0</v>
      </c>
      <c r="AW447" s="1525">
        <f t="shared" si="244"/>
        <v>0</v>
      </c>
      <c r="AX447" s="152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4"/>
      <c r="AV448" s="1525">
        <f t="shared" si="243"/>
        <v>0</v>
      </c>
      <c r="AW448" s="1525">
        <f t="shared" si="244"/>
        <v>0</v>
      </c>
      <c r="AX448" s="152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4"/>
      <c r="AV449" s="1525">
        <f t="shared" si="243"/>
        <v>0</v>
      </c>
      <c r="AW449" s="1525">
        <f t="shared" si="244"/>
        <v>0</v>
      </c>
      <c r="AX449" s="152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4"/>
      <c r="AV450" s="1525">
        <f t="shared" si="243"/>
        <v>0</v>
      </c>
      <c r="AW450" s="1525">
        <f t="shared" si="244"/>
        <v>0</v>
      </c>
      <c r="AX450" s="152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4"/>
      <c r="AV451" s="1525">
        <f t="shared" si="243"/>
        <v>0</v>
      </c>
      <c r="AW451" s="1525">
        <f t="shared" si="244"/>
        <v>0</v>
      </c>
      <c r="AX451" s="152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4"/>
      <c r="AV452" s="1525">
        <f t="shared" si="243"/>
        <v>0</v>
      </c>
      <c r="AW452" s="1525">
        <f t="shared" si="244"/>
        <v>0</v>
      </c>
      <c r="AX452" s="152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4"/>
      <c r="AV453" s="1525">
        <f t="shared" si="243"/>
        <v>0</v>
      </c>
      <c r="AW453" s="1525">
        <f t="shared" si="244"/>
        <v>0</v>
      </c>
      <c r="AX453" s="152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4"/>
      <c r="AV454" s="1525">
        <f t="shared" si="243"/>
        <v>0</v>
      </c>
      <c r="AW454" s="1525">
        <f t="shared" si="244"/>
        <v>0</v>
      </c>
      <c r="AX454" s="152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4"/>
      <c r="AV455" s="1525">
        <f t="shared" si="243"/>
        <v>0</v>
      </c>
      <c r="AW455" s="1525">
        <f t="shared" si="244"/>
        <v>0</v>
      </c>
      <c r="AX455" s="152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4"/>
      <c r="AV456" s="1525">
        <f t="shared" si="243"/>
        <v>0</v>
      </c>
      <c r="AW456" s="1525">
        <f t="shared" si="244"/>
        <v>0</v>
      </c>
      <c r="AX456" s="152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4"/>
      <c r="AV457" s="1525">
        <f t="shared" si="243"/>
        <v>0</v>
      </c>
      <c r="AW457" s="1525">
        <f t="shared" si="244"/>
        <v>0</v>
      </c>
      <c r="AX457" s="152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4"/>
      <c r="AV458" s="1525">
        <f t="shared" si="243"/>
        <v>0</v>
      </c>
      <c r="AW458" s="1525">
        <f t="shared" si="244"/>
        <v>0</v>
      </c>
      <c r="AX458" s="152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4"/>
      <c r="AV459" s="1525">
        <f t="shared" si="243"/>
        <v>0</v>
      </c>
      <c r="AW459" s="1525">
        <f t="shared" si="244"/>
        <v>0</v>
      </c>
      <c r="AX459" s="152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4"/>
      <c r="AV460" s="1525">
        <f t="shared" si="243"/>
        <v>0</v>
      </c>
      <c r="AW460" s="1525">
        <f t="shared" si="244"/>
        <v>0</v>
      </c>
      <c r="AX460" s="152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4"/>
      <c r="AV461" s="1525">
        <f t="shared" si="243"/>
        <v>0</v>
      </c>
      <c r="AW461" s="1525">
        <f t="shared" si="244"/>
        <v>0</v>
      </c>
      <c r="AX461" s="152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4"/>
      <c r="AV462" s="1525">
        <f t="shared" si="243"/>
        <v>0</v>
      </c>
      <c r="AW462" s="1525">
        <f t="shared" si="244"/>
        <v>0</v>
      </c>
      <c r="AX462" s="152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4"/>
      <c r="AV463" s="1525">
        <f t="shared" si="243"/>
        <v>0</v>
      </c>
      <c r="AW463" s="1525">
        <f t="shared" si="244"/>
        <v>0</v>
      </c>
      <c r="AX463" s="152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4"/>
      <c r="AV464" s="1525">
        <f t="shared" si="243"/>
        <v>0</v>
      </c>
      <c r="AW464" s="1525">
        <f t="shared" si="244"/>
        <v>0</v>
      </c>
      <c r="AX464" s="152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4"/>
      <c r="AV465" s="1525">
        <f t="shared" si="243"/>
        <v>0</v>
      </c>
      <c r="AW465" s="1525">
        <f t="shared" si="244"/>
        <v>0</v>
      </c>
      <c r="AX465" s="152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4"/>
      <c r="AV466" s="1525">
        <f t="shared" si="243"/>
        <v>0</v>
      </c>
      <c r="AW466" s="1525">
        <f t="shared" si="244"/>
        <v>0</v>
      </c>
      <c r="AX466" s="152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4"/>
      <c r="AV467" s="1525">
        <f t="shared" si="243"/>
        <v>0</v>
      </c>
      <c r="AW467" s="1525">
        <f t="shared" si="244"/>
        <v>0</v>
      </c>
      <c r="AX467" s="152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4"/>
      <c r="AV468" s="1525">
        <f t="shared" si="243"/>
        <v>0</v>
      </c>
      <c r="AW468" s="1525">
        <f t="shared" si="244"/>
        <v>0</v>
      </c>
      <c r="AX468" s="152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4"/>
      <c r="AV469" s="1525">
        <f t="shared" si="243"/>
        <v>0</v>
      </c>
      <c r="AW469" s="1525">
        <f t="shared" si="244"/>
        <v>0</v>
      </c>
      <c r="AX469" s="152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4"/>
      <c r="AV470" s="1525">
        <f t="shared" si="243"/>
        <v>0</v>
      </c>
      <c r="AW470" s="1525">
        <f t="shared" si="244"/>
        <v>0</v>
      </c>
      <c r="AX470" s="152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4"/>
      <c r="AV471" s="1525">
        <f t="shared" si="243"/>
        <v>0</v>
      </c>
      <c r="AW471" s="1525">
        <f t="shared" si="244"/>
        <v>0</v>
      </c>
      <c r="AX471" s="152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4"/>
      <c r="AV472" s="1525">
        <f t="shared" si="243"/>
        <v>0</v>
      </c>
      <c r="AW472" s="1525">
        <f t="shared" si="244"/>
        <v>0</v>
      </c>
      <c r="AX472" s="152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4"/>
      <c r="AV473" s="1525">
        <f t="shared" si="243"/>
        <v>0</v>
      </c>
      <c r="AW473" s="1525">
        <f t="shared" si="244"/>
        <v>0</v>
      </c>
      <c r="AX473" s="152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4"/>
      <c r="AV474" s="1525">
        <f t="shared" si="243"/>
        <v>0</v>
      </c>
      <c r="AW474" s="1525">
        <f t="shared" si="244"/>
        <v>0</v>
      </c>
      <c r="AX474" s="152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4"/>
      <c r="AV475" s="1525">
        <f t="shared" si="243"/>
        <v>0</v>
      </c>
      <c r="AW475" s="1525">
        <f t="shared" si="244"/>
        <v>0</v>
      </c>
      <c r="AX475" s="152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4"/>
      <c r="AV476" s="1525">
        <f t="shared" si="243"/>
        <v>0</v>
      </c>
      <c r="AW476" s="1525">
        <f t="shared" si="244"/>
        <v>0</v>
      </c>
      <c r="AX476" s="152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4"/>
      <c r="AV477" s="1525">
        <f t="shared" si="243"/>
        <v>0</v>
      </c>
      <c r="AW477" s="1525">
        <f t="shared" si="244"/>
        <v>0</v>
      </c>
      <c r="AX477" s="152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4"/>
      <c r="AV478" s="1525">
        <f t="shared" si="243"/>
        <v>0</v>
      </c>
      <c r="AW478" s="1525">
        <f t="shared" si="244"/>
        <v>0</v>
      </c>
      <c r="AX478" s="152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4"/>
      <c r="AV479" s="1525">
        <f t="shared" si="243"/>
        <v>0</v>
      </c>
      <c r="AW479" s="1525">
        <f t="shared" si="244"/>
        <v>0</v>
      </c>
      <c r="AX479" s="152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4"/>
      <c r="AV480" s="1525">
        <f t="shared" si="243"/>
        <v>0</v>
      </c>
      <c r="AW480" s="1525">
        <f t="shared" si="244"/>
        <v>0</v>
      </c>
      <c r="AX480" s="152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4"/>
      <c r="AV481" s="1525">
        <f t="shared" si="243"/>
        <v>0</v>
      </c>
      <c r="AW481" s="1525">
        <f t="shared" si="244"/>
        <v>0</v>
      </c>
      <c r="AX481" s="152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4"/>
      <c r="AV482" s="1525">
        <f t="shared" si="243"/>
        <v>0</v>
      </c>
      <c r="AW482" s="1525">
        <f t="shared" si="244"/>
        <v>0</v>
      </c>
      <c r="AX482" s="152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4"/>
      <c r="AV483" s="1525">
        <f t="shared" si="243"/>
        <v>0</v>
      </c>
      <c r="AW483" s="1525">
        <f t="shared" si="244"/>
        <v>0</v>
      </c>
      <c r="AX483" s="152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4"/>
      <c r="AV484" s="1525">
        <f t="shared" si="243"/>
        <v>0</v>
      </c>
      <c r="AW484" s="1525">
        <f t="shared" si="244"/>
        <v>0</v>
      </c>
      <c r="AX484" s="152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4"/>
      <c r="AV485" s="1525">
        <f t="shared" si="243"/>
        <v>0</v>
      </c>
      <c r="AW485" s="1525">
        <f t="shared" si="244"/>
        <v>0</v>
      </c>
      <c r="AX485" s="152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4"/>
      <c r="AV486" s="1525">
        <f t="shared" si="243"/>
        <v>0</v>
      </c>
      <c r="AW486" s="1525">
        <f t="shared" si="244"/>
        <v>0</v>
      </c>
      <c r="AX486" s="152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4"/>
      <c r="AV487" s="1525">
        <f t="shared" si="243"/>
        <v>0</v>
      </c>
      <c r="AW487" s="1525">
        <f t="shared" si="244"/>
        <v>0</v>
      </c>
      <c r="AX487" s="152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4"/>
      <c r="AV488" s="1525">
        <f t="shared" si="243"/>
        <v>0</v>
      </c>
      <c r="AW488" s="1525">
        <f t="shared" si="244"/>
        <v>0</v>
      </c>
      <c r="AX488" s="152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4"/>
      <c r="AV489" s="1525">
        <f t="shared" si="243"/>
        <v>0</v>
      </c>
      <c r="AW489" s="1525">
        <f t="shared" si="244"/>
        <v>0</v>
      </c>
      <c r="AX489" s="152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4"/>
      <c r="AV490" s="1525">
        <f t="shared" si="243"/>
        <v>0</v>
      </c>
      <c r="AW490" s="1525">
        <f t="shared" si="244"/>
        <v>0</v>
      </c>
      <c r="AX490" s="152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4"/>
      <c r="AV491" s="1525">
        <f t="shared" si="243"/>
        <v>0</v>
      </c>
      <c r="AW491" s="1525">
        <f t="shared" si="244"/>
        <v>0</v>
      </c>
      <c r="AX491" s="152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4"/>
      <c r="AV492" s="1525">
        <f t="shared" si="243"/>
        <v>0</v>
      </c>
      <c r="AW492" s="1525">
        <f t="shared" si="244"/>
        <v>0</v>
      </c>
      <c r="AX492" s="152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4"/>
      <c r="AV493" s="1525">
        <f t="shared" ref="AV493:AV520" si="294">A493</f>
        <v>0</v>
      </c>
      <c r="AW493" s="1525">
        <f t="shared" ref="AW493:AW520" si="295">B493</f>
        <v>0</v>
      </c>
      <c r="AX493" s="152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4"/>
      <c r="AV494" s="1525">
        <f t="shared" si="294"/>
        <v>0</v>
      </c>
      <c r="AW494" s="1525">
        <f t="shared" si="295"/>
        <v>0</v>
      </c>
      <c r="AX494" s="152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4"/>
      <c r="AV495" s="1525">
        <f t="shared" si="294"/>
        <v>0</v>
      </c>
      <c r="AW495" s="1525">
        <f t="shared" si="295"/>
        <v>0</v>
      </c>
      <c r="AX495" s="152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4"/>
      <c r="AV496" s="1525">
        <f t="shared" si="294"/>
        <v>0</v>
      </c>
      <c r="AW496" s="1525">
        <f t="shared" si="295"/>
        <v>0</v>
      </c>
      <c r="AX496" s="152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4"/>
      <c r="AV497" s="1525">
        <f t="shared" si="294"/>
        <v>0</v>
      </c>
      <c r="AW497" s="1525">
        <f t="shared" si="295"/>
        <v>0</v>
      </c>
      <c r="AX497" s="152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4"/>
      <c r="AV498" s="1525">
        <f t="shared" si="294"/>
        <v>0</v>
      </c>
      <c r="AW498" s="1525">
        <f t="shared" si="295"/>
        <v>0</v>
      </c>
      <c r="AX498" s="152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4"/>
      <c r="AV499" s="1525">
        <f t="shared" si="294"/>
        <v>0</v>
      </c>
      <c r="AW499" s="1525">
        <f t="shared" si="295"/>
        <v>0</v>
      </c>
      <c r="AX499" s="152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4"/>
      <c r="AV500" s="1525">
        <f t="shared" si="294"/>
        <v>0</v>
      </c>
      <c r="AW500" s="1525">
        <f t="shared" si="295"/>
        <v>0</v>
      </c>
      <c r="AX500" s="152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4"/>
      <c r="AV501" s="1525">
        <f t="shared" si="294"/>
        <v>0</v>
      </c>
      <c r="AW501" s="1525">
        <f t="shared" si="295"/>
        <v>0</v>
      </c>
      <c r="AX501" s="152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4"/>
      <c r="AV502" s="1525">
        <f t="shared" si="294"/>
        <v>0</v>
      </c>
      <c r="AW502" s="1525">
        <f t="shared" si="295"/>
        <v>0</v>
      </c>
      <c r="AX502" s="152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4"/>
      <c r="AV503" s="1525">
        <f t="shared" si="294"/>
        <v>0</v>
      </c>
      <c r="AW503" s="1525">
        <f t="shared" si="295"/>
        <v>0</v>
      </c>
      <c r="AX503" s="152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4"/>
      <c r="AV504" s="1525">
        <f t="shared" si="294"/>
        <v>0</v>
      </c>
      <c r="AW504" s="1525">
        <f t="shared" si="295"/>
        <v>0</v>
      </c>
      <c r="AX504" s="152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4"/>
      <c r="AV505" s="1525">
        <f t="shared" si="294"/>
        <v>0</v>
      </c>
      <c r="AW505" s="1525">
        <f t="shared" si="295"/>
        <v>0</v>
      </c>
      <c r="AX505" s="152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4"/>
      <c r="AV506" s="1525">
        <f t="shared" si="294"/>
        <v>0</v>
      </c>
      <c r="AW506" s="1525">
        <f t="shared" si="295"/>
        <v>0</v>
      </c>
      <c r="AX506" s="152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4"/>
      <c r="AV507" s="1525">
        <f t="shared" si="294"/>
        <v>0</v>
      </c>
      <c r="AW507" s="1525">
        <f t="shared" si="295"/>
        <v>0</v>
      </c>
      <c r="AX507" s="152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4"/>
      <c r="AV508" s="1525">
        <f t="shared" si="294"/>
        <v>0</v>
      </c>
      <c r="AW508" s="1525">
        <f t="shared" si="295"/>
        <v>0</v>
      </c>
      <c r="AX508" s="152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4"/>
      <c r="AV509" s="1525">
        <f t="shared" si="294"/>
        <v>0</v>
      </c>
      <c r="AW509" s="1525">
        <f t="shared" si="295"/>
        <v>0</v>
      </c>
      <c r="AX509" s="152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4"/>
      <c r="AV510" s="1525">
        <f t="shared" si="294"/>
        <v>0</v>
      </c>
      <c r="AW510" s="1525">
        <f t="shared" si="295"/>
        <v>0</v>
      </c>
      <c r="AX510" s="152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4"/>
      <c r="AV511" s="1525">
        <f t="shared" si="294"/>
        <v>0</v>
      </c>
      <c r="AW511" s="1525">
        <f t="shared" si="295"/>
        <v>0</v>
      </c>
      <c r="AX511" s="152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4"/>
      <c r="AV512" s="1525">
        <f t="shared" si="294"/>
        <v>0</v>
      </c>
      <c r="AW512" s="1525">
        <f t="shared" si="295"/>
        <v>0</v>
      </c>
      <c r="AX512" s="152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4"/>
      <c r="AV513" s="1525">
        <f t="shared" si="294"/>
        <v>0</v>
      </c>
      <c r="AW513" s="1525">
        <f t="shared" si="295"/>
        <v>0</v>
      </c>
      <c r="AX513" s="152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4"/>
      <c r="AV514" s="1525">
        <f t="shared" si="294"/>
        <v>0</v>
      </c>
      <c r="AW514" s="1525">
        <f t="shared" si="295"/>
        <v>0</v>
      </c>
      <c r="AX514" s="152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4"/>
      <c r="AV515" s="1525">
        <f t="shared" si="294"/>
        <v>0</v>
      </c>
      <c r="AW515" s="1525">
        <f t="shared" si="295"/>
        <v>0</v>
      </c>
      <c r="AX515" s="152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4"/>
      <c r="AV516" s="1525">
        <f t="shared" si="294"/>
        <v>0</v>
      </c>
      <c r="AW516" s="1525">
        <f t="shared" si="295"/>
        <v>0</v>
      </c>
      <c r="AX516" s="152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4"/>
      <c r="AV517" s="1525">
        <f t="shared" si="294"/>
        <v>0</v>
      </c>
      <c r="AW517" s="1525">
        <f t="shared" si="295"/>
        <v>0</v>
      </c>
      <c r="AX517" s="152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4"/>
      <c r="AV518" s="1525">
        <f t="shared" si="294"/>
        <v>0</v>
      </c>
      <c r="AW518" s="1525">
        <f t="shared" si="295"/>
        <v>0</v>
      </c>
      <c r="AX518" s="152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4"/>
      <c r="AV519" s="1525">
        <f t="shared" si="294"/>
        <v>0</v>
      </c>
      <c r="AW519" s="1525">
        <f t="shared" si="295"/>
        <v>0</v>
      </c>
      <c r="AX519" s="152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4"/>
      <c r="AV520" s="1525">
        <f t="shared" si="294"/>
        <v>0</v>
      </c>
      <c r="AW520" s="1525">
        <f t="shared" si="295"/>
        <v>0</v>
      </c>
      <c r="AX520" s="152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4"/>
      <c r="AV521" s="1525">
        <f t="shared" ref="AV521:AV552" si="298">A521</f>
        <v>0</v>
      </c>
      <c r="AW521" s="1525">
        <f t="shared" ref="AW521:AW552" si="299">B521</f>
        <v>0</v>
      </c>
      <c r="AX521" s="152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4"/>
      <c r="AV522" s="1525">
        <f t="shared" si="298"/>
        <v>0</v>
      </c>
      <c r="AW522" s="1525">
        <f t="shared" si="299"/>
        <v>0</v>
      </c>
      <c r="AX522" s="152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4"/>
      <c r="AV523" s="1525">
        <f t="shared" si="298"/>
        <v>0</v>
      </c>
      <c r="AW523" s="1525">
        <f t="shared" si="299"/>
        <v>0</v>
      </c>
      <c r="AX523" s="152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4"/>
      <c r="AV524" s="1525">
        <f t="shared" si="298"/>
        <v>0</v>
      </c>
      <c r="AW524" s="1525">
        <f t="shared" si="299"/>
        <v>0</v>
      </c>
      <c r="AX524" s="152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4"/>
      <c r="AV525" s="1525">
        <f t="shared" si="298"/>
        <v>0</v>
      </c>
      <c r="AW525" s="1525">
        <f t="shared" si="299"/>
        <v>0</v>
      </c>
      <c r="AX525" s="152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4"/>
      <c r="AV526" s="1525">
        <f t="shared" si="298"/>
        <v>0</v>
      </c>
      <c r="AW526" s="1525">
        <f t="shared" si="299"/>
        <v>0</v>
      </c>
      <c r="AX526" s="152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4"/>
      <c r="AV527" s="1525">
        <f t="shared" si="298"/>
        <v>0</v>
      </c>
      <c r="AW527" s="1525">
        <f t="shared" si="299"/>
        <v>0</v>
      </c>
      <c r="AX527" s="152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4"/>
      <c r="AV528" s="1525">
        <f t="shared" si="298"/>
        <v>0</v>
      </c>
      <c r="AW528" s="1525">
        <f t="shared" si="299"/>
        <v>0</v>
      </c>
      <c r="AX528" s="152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4"/>
      <c r="AV529" s="1525">
        <f t="shared" si="298"/>
        <v>0</v>
      </c>
      <c r="AW529" s="1525">
        <f t="shared" si="299"/>
        <v>0</v>
      </c>
      <c r="AX529" s="152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4"/>
      <c r="AV530" s="1525">
        <f t="shared" si="298"/>
        <v>0</v>
      </c>
      <c r="AW530" s="1525">
        <f t="shared" si="299"/>
        <v>0</v>
      </c>
      <c r="AX530" s="152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4"/>
      <c r="AV531" s="1525">
        <f t="shared" si="298"/>
        <v>0</v>
      </c>
      <c r="AW531" s="1525">
        <f t="shared" si="299"/>
        <v>0</v>
      </c>
      <c r="AX531" s="152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4"/>
      <c r="AV532" s="1525">
        <f t="shared" si="298"/>
        <v>0</v>
      </c>
      <c r="AW532" s="1525">
        <f t="shared" si="299"/>
        <v>0</v>
      </c>
      <c r="AX532" s="152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4"/>
      <c r="AV533" s="1525">
        <f t="shared" si="298"/>
        <v>0</v>
      </c>
      <c r="AW533" s="1525">
        <f t="shared" si="299"/>
        <v>0</v>
      </c>
      <c r="AX533" s="152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4"/>
      <c r="AV534" s="1525">
        <f t="shared" si="298"/>
        <v>0</v>
      </c>
      <c r="AW534" s="1525">
        <f t="shared" si="299"/>
        <v>0</v>
      </c>
      <c r="AX534" s="152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4"/>
      <c r="AV535" s="1525">
        <f t="shared" si="298"/>
        <v>0</v>
      </c>
      <c r="AW535" s="1525">
        <f t="shared" si="299"/>
        <v>0</v>
      </c>
      <c r="AX535" s="152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4"/>
      <c r="AV536" s="1525">
        <f t="shared" si="298"/>
        <v>0</v>
      </c>
      <c r="AW536" s="1525">
        <f t="shared" si="299"/>
        <v>0</v>
      </c>
      <c r="AX536" s="152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4"/>
      <c r="AV537" s="1525">
        <f t="shared" si="298"/>
        <v>0</v>
      </c>
      <c r="AW537" s="1525">
        <f t="shared" si="299"/>
        <v>0</v>
      </c>
      <c r="AX537" s="152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4"/>
      <c r="AV538" s="1525">
        <f t="shared" si="298"/>
        <v>0</v>
      </c>
      <c r="AW538" s="1525">
        <f t="shared" si="299"/>
        <v>0</v>
      </c>
      <c r="AX538" s="152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4"/>
      <c r="AV539" s="1525">
        <f t="shared" si="298"/>
        <v>0</v>
      </c>
      <c r="AW539" s="1525">
        <f t="shared" si="299"/>
        <v>0</v>
      </c>
      <c r="AX539" s="152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4"/>
      <c r="AV540" s="1525">
        <f t="shared" si="298"/>
        <v>0</v>
      </c>
      <c r="AW540" s="1525">
        <f t="shared" si="299"/>
        <v>0</v>
      </c>
      <c r="AX540" s="152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4"/>
      <c r="AV541" s="1525">
        <f t="shared" si="298"/>
        <v>0</v>
      </c>
      <c r="AW541" s="1525">
        <f t="shared" si="299"/>
        <v>0</v>
      </c>
      <c r="AX541" s="152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4"/>
      <c r="AV542" s="1525">
        <f t="shared" si="298"/>
        <v>0</v>
      </c>
      <c r="AW542" s="1525">
        <f t="shared" si="299"/>
        <v>0</v>
      </c>
      <c r="AX542" s="152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4"/>
      <c r="AV543" s="1525">
        <f t="shared" si="298"/>
        <v>0</v>
      </c>
      <c r="AW543" s="1525">
        <f t="shared" si="299"/>
        <v>0</v>
      </c>
      <c r="AX543" s="152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4"/>
      <c r="AV544" s="1525">
        <f t="shared" si="298"/>
        <v>0</v>
      </c>
      <c r="AW544" s="1525">
        <f t="shared" si="299"/>
        <v>0</v>
      </c>
      <c r="AX544" s="152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4"/>
      <c r="AV545" s="1525">
        <f t="shared" si="298"/>
        <v>0</v>
      </c>
      <c r="AW545" s="1525">
        <f t="shared" si="299"/>
        <v>0</v>
      </c>
      <c r="AX545" s="152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4"/>
      <c r="AV546" s="1525">
        <f t="shared" si="298"/>
        <v>0</v>
      </c>
      <c r="AW546" s="1525">
        <f t="shared" si="299"/>
        <v>0</v>
      </c>
      <c r="AX546" s="152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4"/>
      <c r="AV547" s="1525">
        <f t="shared" si="298"/>
        <v>0</v>
      </c>
      <c r="AW547" s="1525">
        <f t="shared" si="299"/>
        <v>0</v>
      </c>
      <c r="AX547" s="152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4"/>
      <c r="AV548" s="1525">
        <f t="shared" si="298"/>
        <v>0</v>
      </c>
      <c r="AW548" s="1525">
        <f t="shared" si="299"/>
        <v>0</v>
      </c>
      <c r="AX548" s="152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4"/>
      <c r="AV549" s="1525">
        <f t="shared" si="298"/>
        <v>0</v>
      </c>
      <c r="AW549" s="1525">
        <f t="shared" si="299"/>
        <v>0</v>
      </c>
      <c r="AX549" s="152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4"/>
      <c r="AV550" s="1525">
        <f t="shared" si="298"/>
        <v>0</v>
      </c>
      <c r="AW550" s="1525">
        <f t="shared" si="299"/>
        <v>0</v>
      </c>
      <c r="AX550" s="152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4"/>
      <c r="AV551" s="1525">
        <f t="shared" si="298"/>
        <v>0</v>
      </c>
      <c r="AW551" s="1525">
        <f t="shared" si="299"/>
        <v>0</v>
      </c>
      <c r="AX551" s="152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4"/>
      <c r="AV552" s="1525">
        <f t="shared" si="298"/>
        <v>0</v>
      </c>
      <c r="AW552" s="1525">
        <f t="shared" si="299"/>
        <v>0</v>
      </c>
      <c r="AX552" s="152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4"/>
      <c r="AV553" s="1525">
        <f t="shared" ref="AV553:AV587" si="330">A553</f>
        <v>0</v>
      </c>
      <c r="AW553" s="1525">
        <f t="shared" ref="AW553:AW587" si="331">B553</f>
        <v>0</v>
      </c>
      <c r="AX553" s="152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4"/>
      <c r="AV554" s="1525">
        <f t="shared" si="330"/>
        <v>0</v>
      </c>
      <c r="AW554" s="1525">
        <f t="shared" si="331"/>
        <v>0</v>
      </c>
      <c r="AX554" s="152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4"/>
      <c r="AV555" s="1525">
        <f t="shared" si="330"/>
        <v>0</v>
      </c>
      <c r="AW555" s="1525">
        <f t="shared" si="331"/>
        <v>0</v>
      </c>
      <c r="AX555" s="152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4"/>
      <c r="AV556" s="1525">
        <f t="shared" si="330"/>
        <v>0</v>
      </c>
      <c r="AW556" s="1525">
        <f t="shared" si="331"/>
        <v>0</v>
      </c>
      <c r="AX556" s="152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4"/>
      <c r="AV557" s="1525">
        <f t="shared" si="330"/>
        <v>0</v>
      </c>
      <c r="AW557" s="1525">
        <f t="shared" si="331"/>
        <v>0</v>
      </c>
      <c r="AX557" s="152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4"/>
      <c r="AV558" s="1525">
        <f t="shared" si="330"/>
        <v>0</v>
      </c>
      <c r="AW558" s="1525">
        <f t="shared" si="331"/>
        <v>0</v>
      </c>
      <c r="AX558" s="152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4"/>
      <c r="AV559" s="1525">
        <f t="shared" si="330"/>
        <v>0</v>
      </c>
      <c r="AW559" s="1525">
        <f t="shared" si="331"/>
        <v>0</v>
      </c>
      <c r="AX559" s="152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4"/>
      <c r="AV560" s="1525">
        <f t="shared" si="330"/>
        <v>0</v>
      </c>
      <c r="AW560" s="1525">
        <f t="shared" si="331"/>
        <v>0</v>
      </c>
      <c r="AX560" s="152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4"/>
      <c r="AV561" s="1525">
        <f t="shared" si="330"/>
        <v>0</v>
      </c>
      <c r="AW561" s="1525">
        <f t="shared" si="331"/>
        <v>0</v>
      </c>
      <c r="AX561" s="152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4"/>
      <c r="AV562" s="1525">
        <f t="shared" si="330"/>
        <v>0</v>
      </c>
      <c r="AW562" s="1525">
        <f t="shared" si="331"/>
        <v>0</v>
      </c>
      <c r="AX562" s="152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4"/>
      <c r="AV563" s="1525">
        <f t="shared" si="330"/>
        <v>0</v>
      </c>
      <c r="AW563" s="1525">
        <f t="shared" si="331"/>
        <v>0</v>
      </c>
      <c r="AX563" s="152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4"/>
      <c r="AV564" s="1525">
        <f t="shared" si="330"/>
        <v>0</v>
      </c>
      <c r="AW564" s="1525">
        <f t="shared" si="331"/>
        <v>0</v>
      </c>
      <c r="AX564" s="152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4"/>
      <c r="AV565" s="1525">
        <f t="shared" si="330"/>
        <v>0</v>
      </c>
      <c r="AW565" s="1525">
        <f t="shared" si="331"/>
        <v>0</v>
      </c>
      <c r="AX565" s="152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4"/>
      <c r="AV566" s="1525">
        <f t="shared" si="330"/>
        <v>0</v>
      </c>
      <c r="AW566" s="1525">
        <f t="shared" si="331"/>
        <v>0</v>
      </c>
      <c r="AX566" s="152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4"/>
      <c r="AV567" s="1525">
        <f t="shared" si="330"/>
        <v>0</v>
      </c>
      <c r="AW567" s="1525">
        <f t="shared" si="331"/>
        <v>0</v>
      </c>
      <c r="AX567" s="152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4"/>
      <c r="AV568" s="1525">
        <f t="shared" si="330"/>
        <v>0</v>
      </c>
      <c r="AW568" s="1525">
        <f t="shared" si="331"/>
        <v>0</v>
      </c>
      <c r="AX568" s="152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4"/>
      <c r="AV569" s="1525">
        <f t="shared" si="330"/>
        <v>0</v>
      </c>
      <c r="AW569" s="1525">
        <f t="shared" si="331"/>
        <v>0</v>
      </c>
      <c r="AX569" s="152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4"/>
      <c r="AV570" s="1525">
        <f t="shared" si="330"/>
        <v>0</v>
      </c>
      <c r="AW570" s="1525">
        <f t="shared" si="331"/>
        <v>0</v>
      </c>
      <c r="AX570" s="152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4"/>
      <c r="AV571" s="1525">
        <f t="shared" si="330"/>
        <v>0</v>
      </c>
      <c r="AW571" s="1525">
        <f t="shared" si="331"/>
        <v>0</v>
      </c>
      <c r="AX571" s="152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4"/>
      <c r="AV572" s="1525">
        <f t="shared" si="330"/>
        <v>0</v>
      </c>
      <c r="AW572" s="1525">
        <f t="shared" si="331"/>
        <v>0</v>
      </c>
      <c r="AX572" s="152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4"/>
      <c r="AV573" s="1525">
        <f t="shared" si="330"/>
        <v>0</v>
      </c>
      <c r="AW573" s="1525">
        <f t="shared" si="331"/>
        <v>0</v>
      </c>
      <c r="AX573" s="152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4"/>
      <c r="AV574" s="1525">
        <f t="shared" si="330"/>
        <v>0</v>
      </c>
      <c r="AW574" s="1525">
        <f t="shared" si="331"/>
        <v>0</v>
      </c>
      <c r="AX574" s="152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4"/>
      <c r="AV575" s="1525">
        <f t="shared" si="330"/>
        <v>0</v>
      </c>
      <c r="AW575" s="1525">
        <f t="shared" si="331"/>
        <v>0</v>
      </c>
      <c r="AX575" s="152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4"/>
      <c r="AV576" s="1525">
        <f t="shared" si="330"/>
        <v>0</v>
      </c>
      <c r="AW576" s="1525">
        <f t="shared" si="331"/>
        <v>0</v>
      </c>
      <c r="AX576" s="152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4"/>
      <c r="AV577" s="1525">
        <f t="shared" si="330"/>
        <v>0</v>
      </c>
      <c r="AW577" s="1525">
        <f t="shared" si="331"/>
        <v>0</v>
      </c>
      <c r="AX577" s="152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4"/>
      <c r="AV578" s="1525">
        <f t="shared" si="330"/>
        <v>0</v>
      </c>
      <c r="AW578" s="1525">
        <f t="shared" si="331"/>
        <v>0</v>
      </c>
      <c r="AX578" s="152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4"/>
      <c r="AV579" s="1525">
        <f t="shared" si="330"/>
        <v>0</v>
      </c>
      <c r="AW579" s="1525">
        <f t="shared" si="331"/>
        <v>0</v>
      </c>
      <c r="AX579" s="152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4"/>
      <c r="AV580" s="1525">
        <f t="shared" si="330"/>
        <v>0</v>
      </c>
      <c r="AW580" s="1525">
        <f t="shared" si="331"/>
        <v>0</v>
      </c>
      <c r="AX580" s="152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4"/>
      <c r="AV581" s="1525">
        <f t="shared" si="330"/>
        <v>0</v>
      </c>
      <c r="AW581" s="1525">
        <f t="shared" si="331"/>
        <v>0</v>
      </c>
      <c r="AX581" s="152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4"/>
      <c r="AV582" s="1525">
        <f t="shared" si="330"/>
        <v>0</v>
      </c>
      <c r="AW582" s="1525">
        <f t="shared" si="331"/>
        <v>0</v>
      </c>
      <c r="AX582" s="152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4"/>
      <c r="AV583" s="1525">
        <f t="shared" si="330"/>
        <v>0</v>
      </c>
      <c r="AW583" s="1525">
        <f t="shared" si="331"/>
        <v>0</v>
      </c>
      <c r="AX583" s="152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4"/>
      <c r="AV584" s="1525">
        <f t="shared" si="330"/>
        <v>0</v>
      </c>
      <c r="AW584" s="1525">
        <f t="shared" si="331"/>
        <v>0</v>
      </c>
      <c r="AX584" s="152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4"/>
      <c r="AV585" s="1525">
        <f t="shared" si="330"/>
        <v>0</v>
      </c>
      <c r="AW585" s="1525">
        <f t="shared" si="331"/>
        <v>0</v>
      </c>
      <c r="AX585" s="152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4"/>
      <c r="AV586" s="1525">
        <f t="shared" si="330"/>
        <v>0</v>
      </c>
      <c r="AW586" s="1525">
        <f t="shared" si="331"/>
        <v>0</v>
      </c>
      <c r="AX586" s="152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4"/>
      <c r="AV587" s="1525">
        <f t="shared" si="330"/>
        <v>0</v>
      </c>
      <c r="AW587" s="1525">
        <f t="shared" si="331"/>
        <v>0</v>
      </c>
      <c r="AX587" s="152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F19" sqref="F1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56" t="s">
        <v>1817</v>
      </c>
      <c r="B2" s="3156"/>
      <c r="C2" s="3156"/>
      <c r="D2" s="903" t="s">
        <v>1793</v>
      </c>
      <c r="E2" s="1822" t="s">
        <v>1794</v>
      </c>
      <c r="F2" s="2884"/>
      <c r="G2" s="2875"/>
      <c r="H2" s="2876"/>
      <c r="I2" s="2546" t="s">
        <v>1818</v>
      </c>
      <c r="J2" s="2884"/>
      <c r="K2" s="2884"/>
      <c r="L2" s="2884"/>
      <c r="M2" s="2884"/>
      <c r="N2" s="2886"/>
      <c r="O2" s="2884"/>
      <c r="P2" s="2884"/>
    </row>
    <row r="3" spans="1:16" ht="15.75" thickBot="1">
      <c r="A3" s="3157" t="s">
        <v>1791</v>
      </c>
      <c r="B3" s="3157"/>
      <c r="C3" s="3157"/>
      <c r="D3" s="45">
        <f>'数据-基础表'!AY6</f>
        <v>0</v>
      </c>
      <c r="E3" s="45">
        <f>'数据-基础表'!AZ5</f>
        <v>45218.69</v>
      </c>
      <c r="F3" s="2884"/>
      <c r="G3" s="1305"/>
      <c r="H3" s="1156" t="s">
        <v>1792</v>
      </c>
      <c r="I3" s="963" t="e">
        <f>ROUND('数据-基础表'!B3/'数据-基础表'!A3,2)</f>
        <v>#DIV/0!</v>
      </c>
      <c r="J3" s="2884"/>
      <c r="K3" s="2884"/>
      <c r="L3" s="2884"/>
      <c r="M3" s="2884"/>
      <c r="N3" s="2886"/>
      <c r="O3" s="2884"/>
      <c r="P3" s="2884"/>
    </row>
    <row r="4" spans="1:16" ht="15">
      <c r="A4" s="3158"/>
      <c r="B4" s="3159"/>
      <c r="C4" s="3160"/>
      <c r="D4" s="1824" t="s">
        <v>1793</v>
      </c>
      <c r="E4" s="1825" t="s">
        <v>1794</v>
      </c>
      <c r="F4" s="2884"/>
      <c r="G4" s="2877" t="s">
        <v>1819</v>
      </c>
      <c r="H4" s="1156" t="s">
        <v>1799</v>
      </c>
      <c r="I4" s="963" t="e">
        <f>ROUND(SUMIF('数据-基础表'!I9:AS9,"地上",'数据-基础表'!I5:AS5)/'数据-基础表'!A3,2)</f>
        <v>#DIV/0!</v>
      </c>
      <c r="J4" s="2884"/>
      <c r="K4" s="2884"/>
      <c r="L4" s="2884"/>
      <c r="M4" s="2884"/>
      <c r="N4" s="2886"/>
      <c r="O4" s="2884"/>
      <c r="P4" s="2884"/>
    </row>
    <row r="5" spans="1:16">
      <c r="A5" s="46" t="s">
        <v>1795</v>
      </c>
      <c r="B5" s="3161" t="s">
        <v>1796</v>
      </c>
      <c r="C5" s="3161"/>
      <c r="D5" s="47">
        <f>ROUND($D$3*E5/$E$3,2)</f>
        <v>0</v>
      </c>
      <c r="E5" s="48">
        <f>SUMIF('数据-基础表'!$11:$11,"住宅",'数据-基础表'!$5:$5)</f>
        <v>0</v>
      </c>
      <c r="F5" s="2884"/>
      <c r="G5" s="1305"/>
      <c r="H5" s="1156" t="s">
        <v>1792</v>
      </c>
      <c r="I5" s="963" t="e">
        <f>ROUND(E31/D31,2)</f>
        <v>#DIV/0!</v>
      </c>
      <c r="J5" s="2884"/>
      <c r="K5" s="2884"/>
      <c r="L5" s="2884"/>
      <c r="M5" s="2884"/>
      <c r="N5" s="2884"/>
      <c r="O5" s="2884"/>
      <c r="P5" s="2884"/>
    </row>
    <row r="6" spans="1:16" ht="15" thickBot="1">
      <c r="A6" s="1827"/>
      <c r="B6" s="3161" t="s">
        <v>1797</v>
      </c>
      <c r="C6" s="3161"/>
      <c r="D6" s="47">
        <f>ROUND($D$3*E6/$E$3,2)</f>
        <v>0</v>
      </c>
      <c r="E6" s="48">
        <f>E3-E5</f>
        <v>45218.69</v>
      </c>
      <c r="F6" s="2884"/>
      <c r="G6" s="2878" t="s">
        <v>1798</v>
      </c>
      <c r="H6" s="1306" t="s">
        <v>1799</v>
      </c>
      <c r="I6" s="2879" t="e">
        <f>ROUND(F31/D31,2)</f>
        <v>#DIV/0!</v>
      </c>
      <c r="J6" s="2884"/>
      <c r="K6" s="2884"/>
      <c r="L6" s="2884"/>
      <c r="M6" s="2884"/>
      <c r="N6" s="2884"/>
      <c r="O6" s="2884"/>
      <c r="P6" s="2884"/>
    </row>
    <row r="7" spans="1:16" ht="15.75" thickBot="1">
      <c r="A7" s="3153"/>
      <c r="B7" s="3154"/>
      <c r="C7" s="3155"/>
      <c r="D7" s="1824" t="s">
        <v>1793</v>
      </c>
      <c r="E7" s="1828" t="s">
        <v>1800</v>
      </c>
      <c r="F7" s="2884"/>
      <c r="G7" s="2880" t="s">
        <v>1801</v>
      </c>
      <c r="H7" s="2881"/>
      <c r="I7" s="2882"/>
      <c r="J7" s="2884"/>
      <c r="K7" s="2884"/>
      <c r="L7" s="2884"/>
      <c r="M7" s="2884"/>
      <c r="N7" s="2884"/>
      <c r="O7" s="2884"/>
      <c r="P7" s="2884"/>
    </row>
    <row r="8" spans="1:16">
      <c r="A8" s="46" t="s">
        <v>1802</v>
      </c>
      <c r="B8" s="49" t="s">
        <v>1803</v>
      </c>
      <c r="C8" s="47" t="s">
        <v>1804</v>
      </c>
      <c r="D8" s="47">
        <f t="shared" ref="D8:D15" si="0">ROUND($D$3*E8/$E$3,2)</f>
        <v>0</v>
      </c>
      <c r="E8" s="50">
        <f>SUMIF('数据-基础表'!BB10:BK10,"地上",'数据-基础表'!BB5:BK5)</f>
        <v>45218.69</v>
      </c>
      <c r="F8" s="2884"/>
      <c r="G8" s="2885"/>
      <c r="H8" s="2885"/>
      <c r="I8" s="2884"/>
      <c r="J8" s="2884"/>
      <c r="K8" s="2884"/>
      <c r="L8" s="2884"/>
      <c r="M8" s="2884"/>
      <c r="N8" s="2884"/>
      <c r="O8" s="2884"/>
      <c r="P8" s="2884"/>
    </row>
    <row r="9" spans="1:16">
      <c r="A9" s="1829"/>
      <c r="B9" s="1830"/>
      <c r="C9" s="47" t="s">
        <v>1805</v>
      </c>
      <c r="D9" s="47">
        <f t="shared" si="0"/>
        <v>0</v>
      </c>
      <c r="E9" s="51">
        <v>0</v>
      </c>
      <c r="F9" s="2884"/>
      <c r="G9" s="2885"/>
      <c r="H9" s="2885"/>
      <c r="I9" s="2884"/>
      <c r="J9" s="2884"/>
      <c r="K9" s="2884"/>
      <c r="L9" s="2884"/>
      <c r="M9" s="2884"/>
      <c r="N9" s="2884"/>
      <c r="O9" s="2884"/>
      <c r="P9" s="2884"/>
    </row>
    <row r="10" spans="1:16">
      <c r="A10" s="1829"/>
      <c r="B10" s="1830"/>
      <c r="C10" s="47" t="s">
        <v>1814</v>
      </c>
      <c r="D10" s="47">
        <f t="shared" si="0"/>
        <v>0</v>
      </c>
      <c r="E10" s="50">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7" t="s">
        <v>1806</v>
      </c>
      <c r="D11" s="47">
        <f t="shared" si="0"/>
        <v>0</v>
      </c>
      <c r="E11" s="50">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7" t="s">
        <v>1807</v>
      </c>
      <c r="D12" s="47">
        <f t="shared" si="0"/>
        <v>0</v>
      </c>
      <c r="E12" s="50">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7" t="s">
        <v>1808</v>
      </c>
      <c r="D13" s="47">
        <f t="shared" si="0"/>
        <v>0</v>
      </c>
      <c r="E13" s="50">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7" t="s">
        <v>1820</v>
      </c>
      <c r="D14" s="47">
        <f t="shared" si="0"/>
        <v>0</v>
      </c>
      <c r="E14" s="50">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7" t="s">
        <v>1815</v>
      </c>
      <c r="D15" s="47">
        <f t="shared" si="0"/>
        <v>0</v>
      </c>
      <c r="E15" s="50">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49" t="s">
        <v>1809</v>
      </c>
      <c r="D16" s="49">
        <f>SUM(D8:D15)</f>
        <v>0</v>
      </c>
      <c r="E16" s="52">
        <f>SUM(E8:E15)</f>
        <v>45218.69</v>
      </c>
      <c r="F16" s="2884"/>
      <c r="G16" s="2885"/>
      <c r="H16" s="1831" t="s">
        <v>1821</v>
      </c>
      <c r="I16" s="1832"/>
      <c r="J16" s="1299"/>
      <c r="K16" s="3150" t="s">
        <v>1821</v>
      </c>
      <c r="L16" s="3151"/>
      <c r="M16" s="3151"/>
      <c r="N16" s="3151"/>
      <c r="O16" s="3151"/>
      <c r="P16" s="3152"/>
    </row>
    <row r="17" spans="1:19" ht="15">
      <c r="A17" s="1833" t="s">
        <v>1822</v>
      </c>
      <c r="B17" s="1834" t="s">
        <v>1823</v>
      </c>
      <c r="C17" s="1835" t="s">
        <v>1824</v>
      </c>
      <c r="D17" s="1836" t="s">
        <v>1812</v>
      </c>
      <c r="E17" s="1837" t="s">
        <v>1813</v>
      </c>
      <c r="F17" s="1838"/>
      <c r="G17" s="1839"/>
      <c r="H17" s="1840" t="s">
        <v>1825</v>
      </c>
      <c r="I17" s="1841" t="s">
        <v>1810</v>
      </c>
      <c r="J17" s="1299"/>
      <c r="K17" s="3147" t="s">
        <v>1826</v>
      </c>
      <c r="L17" s="3148"/>
      <c r="M17" s="3149"/>
      <c r="N17" s="3147" t="s">
        <v>1827</v>
      </c>
      <c r="O17" s="3148"/>
      <c r="P17" s="3149"/>
      <c r="R17" s="1823" t="s">
        <v>1828</v>
      </c>
      <c r="S17" s="59"/>
    </row>
    <row r="18" spans="1:19" ht="15">
      <c r="A18" s="1829"/>
      <c r="B18" s="1842"/>
      <c r="C18" s="1843"/>
      <c r="D18" s="1844"/>
      <c r="E18" s="1845" t="s">
        <v>1829</v>
      </c>
      <c r="F18" s="1846" t="s">
        <v>1830</v>
      </c>
      <c r="G18" s="1847" t="s">
        <v>1831</v>
      </c>
      <c r="H18" s="1171" t="s">
        <v>1832</v>
      </c>
      <c r="I18" s="1848" t="s">
        <v>1833</v>
      </c>
      <c r="J18" s="1299"/>
      <c r="K18" s="1171" t="s">
        <v>1834</v>
      </c>
      <c r="L18" s="1849" t="s">
        <v>1835</v>
      </c>
      <c r="M18" s="963" t="s">
        <v>1836</v>
      </c>
      <c r="N18" s="1171" t="s">
        <v>1834</v>
      </c>
      <c r="O18" s="1849" t="s">
        <v>1835</v>
      </c>
      <c r="P18" s="963" t="s">
        <v>1836</v>
      </c>
      <c r="R18" s="1156" t="s">
        <v>1837</v>
      </c>
      <c r="S18" s="1156" t="s">
        <v>1838</v>
      </c>
    </row>
    <row r="19" spans="1:19">
      <c r="A19" s="1850"/>
      <c r="B19" s="49" t="s">
        <v>1811</v>
      </c>
      <c r="C19" s="3059" t="s">
        <v>3073</v>
      </c>
      <c r="D19" s="47">
        <f>ROUND($D$3*E19/$E$3,2)</f>
        <v>0</v>
      </c>
      <c r="E19" s="55">
        <f t="shared" ref="E19:E26" si="1">SUM(F19:G19)</f>
        <v>45218.69</v>
      </c>
      <c r="F19" s="3024">
        <f>'数据-基础表'!I13</f>
        <v>45218.69</v>
      </c>
      <c r="G19" s="3025"/>
      <c r="H19" s="678">
        <f>ROUND($D$3*I19/$E$3,2)</f>
        <v>0</v>
      </c>
      <c r="I19" s="50">
        <f t="shared" ref="I19:I26" si="2">IF($I$17="自定义",P19,M19)</f>
        <v>0</v>
      </c>
      <c r="J19" s="1299"/>
      <c r="K19" s="1298">
        <f t="shared" ref="K19:K26" si="3">ROUND(E$28*E19/E$27,2)</f>
        <v>0</v>
      </c>
      <c r="L19" s="1156">
        <f t="shared" ref="L19:L26" si="4">ROUND(IF(COUNTIF(C19,"*住宅*")&gt;0,E$29*E19/E$32,0),2)</f>
        <v>0</v>
      </c>
      <c r="M19" s="1310">
        <f>K19+L19</f>
        <v>0</v>
      </c>
      <c r="N19" s="1852"/>
      <c r="O19" s="1853"/>
      <c r="P19" s="1310">
        <f>N19+O19</f>
        <v>0</v>
      </c>
      <c r="R19" s="1156">
        <f t="shared" ref="R19:S26" si="5">D19+H19</f>
        <v>0</v>
      </c>
      <c r="S19" s="1157">
        <f t="shared" si="5"/>
        <v>45218.69</v>
      </c>
    </row>
    <row r="20" spans="1:19">
      <c r="A20" s="1854"/>
      <c r="B20" s="49" t="s">
        <v>1839</v>
      </c>
      <c r="C20" s="1851"/>
      <c r="D20" s="47">
        <f t="shared" ref="D20:D26" si="6">ROUND($D$3*E20/$E$3,2)</f>
        <v>0</v>
      </c>
      <c r="E20" s="55">
        <f t="shared" si="1"/>
        <v>0</v>
      </c>
      <c r="F20" s="3024"/>
      <c r="G20" s="3025"/>
      <c r="H20" s="678">
        <f t="shared" ref="H20:H26" si="7">ROUND($D$3*I20/$E$3,2)</f>
        <v>0</v>
      </c>
      <c r="I20" s="50">
        <f t="shared" si="2"/>
        <v>0</v>
      </c>
      <c r="J20" s="1299"/>
      <c r="K20" s="1298">
        <f t="shared" si="3"/>
        <v>0</v>
      </c>
      <c r="L20" s="1156">
        <f t="shared" si="4"/>
        <v>0</v>
      </c>
      <c r="M20" s="1310">
        <f t="shared" ref="M20:M26" si="8">K20+L20</f>
        <v>0</v>
      </c>
      <c r="N20" s="1852"/>
      <c r="O20" s="1853"/>
      <c r="P20" s="1310">
        <f t="shared" ref="P20:P26" si="9">N20+O20</f>
        <v>0</v>
      </c>
      <c r="R20" s="1156">
        <f t="shared" si="5"/>
        <v>0</v>
      </c>
      <c r="S20" s="1157">
        <f t="shared" si="5"/>
        <v>0</v>
      </c>
    </row>
    <row r="21" spans="1:19">
      <c r="A21" s="1854"/>
      <c r="B21" s="49" t="s">
        <v>1839</v>
      </c>
      <c r="C21" s="1851"/>
      <c r="D21" s="47">
        <f t="shared" si="6"/>
        <v>0</v>
      </c>
      <c r="E21" s="55">
        <f t="shared" si="1"/>
        <v>0</v>
      </c>
      <c r="F21" s="3024"/>
      <c r="G21" s="3025"/>
      <c r="H21" s="678">
        <f t="shared" si="7"/>
        <v>0</v>
      </c>
      <c r="I21" s="50">
        <f t="shared" si="2"/>
        <v>0</v>
      </c>
      <c r="J21" s="1299"/>
      <c r="K21" s="1298">
        <f t="shared" si="3"/>
        <v>0</v>
      </c>
      <c r="L21" s="1156">
        <f t="shared" si="4"/>
        <v>0</v>
      </c>
      <c r="M21" s="1310">
        <f t="shared" si="8"/>
        <v>0</v>
      </c>
      <c r="N21" s="1852"/>
      <c r="O21" s="1853"/>
      <c r="P21" s="1310">
        <f t="shared" si="9"/>
        <v>0</v>
      </c>
      <c r="R21" s="1156">
        <f t="shared" si="5"/>
        <v>0</v>
      </c>
      <c r="S21" s="1157">
        <f t="shared" si="5"/>
        <v>0</v>
      </c>
    </row>
    <row r="22" spans="1:19">
      <c r="A22" s="1854"/>
      <c r="B22" s="49" t="s">
        <v>1839</v>
      </c>
      <c r="C22" s="57"/>
      <c r="D22" s="47">
        <f t="shared" si="6"/>
        <v>0</v>
      </c>
      <c r="E22" s="55">
        <f t="shared" si="1"/>
        <v>0</v>
      </c>
      <c r="F22" s="3026"/>
      <c r="G22" s="3027"/>
      <c r="H22" s="678">
        <f t="shared" si="7"/>
        <v>0</v>
      </c>
      <c r="I22" s="50">
        <f t="shared" si="2"/>
        <v>0</v>
      </c>
      <c r="J22" s="1299"/>
      <c r="K22" s="1298">
        <f t="shared" si="3"/>
        <v>0</v>
      </c>
      <c r="L22" s="1156">
        <f t="shared" si="4"/>
        <v>0</v>
      </c>
      <c r="M22" s="1310">
        <f t="shared" si="8"/>
        <v>0</v>
      </c>
      <c r="N22" s="1852"/>
      <c r="O22" s="1853"/>
      <c r="P22" s="1310">
        <f t="shared" si="9"/>
        <v>0</v>
      </c>
      <c r="R22" s="1156">
        <f t="shared" si="5"/>
        <v>0</v>
      </c>
      <c r="S22" s="1157">
        <f t="shared" si="5"/>
        <v>0</v>
      </c>
    </row>
    <row r="23" spans="1:19">
      <c r="A23" s="1854"/>
      <c r="B23" s="49" t="s">
        <v>1839</v>
      </c>
      <c r="C23" s="57"/>
      <c r="D23" s="47">
        <f>ROUND($D$3*E23/$E$3,2)</f>
        <v>0</v>
      </c>
      <c r="E23" s="55">
        <f>SUM(F23:G23)</f>
        <v>0</v>
      </c>
      <c r="F23" s="3026"/>
      <c r="G23" s="3027"/>
      <c r="H23" s="678">
        <f>ROUND($D$3*I23/$E$3,2)</f>
        <v>0</v>
      </c>
      <c r="I23" s="50">
        <f t="shared" si="2"/>
        <v>0</v>
      </c>
      <c r="J23" s="1299"/>
      <c r="K23" s="1298">
        <f t="shared" si="3"/>
        <v>0</v>
      </c>
      <c r="L23" s="1156">
        <f t="shared" si="4"/>
        <v>0</v>
      </c>
      <c r="M23" s="1310">
        <f t="shared" si="8"/>
        <v>0</v>
      </c>
      <c r="N23" s="1852"/>
      <c r="O23" s="1853"/>
      <c r="P23" s="1310">
        <f t="shared" si="9"/>
        <v>0</v>
      </c>
      <c r="R23" s="1156">
        <f t="shared" si="5"/>
        <v>0</v>
      </c>
      <c r="S23" s="1157">
        <f t="shared" si="5"/>
        <v>0</v>
      </c>
    </row>
    <row r="24" spans="1:19">
      <c r="A24" s="1854"/>
      <c r="B24" s="49" t="s">
        <v>1839</v>
      </c>
      <c r="C24" s="57"/>
      <c r="D24" s="47">
        <f>ROUND($D$3*E24/$E$3,2)</f>
        <v>0</v>
      </c>
      <c r="E24" s="55">
        <f>SUM(F24:G24)</f>
        <v>0</v>
      </c>
      <c r="F24" s="3026"/>
      <c r="G24" s="3027"/>
      <c r="H24" s="678">
        <f>ROUND($D$3*I24/$E$3,2)</f>
        <v>0</v>
      </c>
      <c r="I24" s="50">
        <f t="shared" si="2"/>
        <v>0</v>
      </c>
      <c r="J24" s="1299"/>
      <c r="K24" s="1298">
        <f t="shared" si="3"/>
        <v>0</v>
      </c>
      <c r="L24" s="1156">
        <f t="shared" si="4"/>
        <v>0</v>
      </c>
      <c r="M24" s="1310">
        <f t="shared" si="8"/>
        <v>0</v>
      </c>
      <c r="N24" s="1852"/>
      <c r="O24" s="1853"/>
      <c r="P24" s="1310">
        <f t="shared" si="9"/>
        <v>0</v>
      </c>
      <c r="R24" s="1156">
        <f t="shared" si="5"/>
        <v>0</v>
      </c>
      <c r="S24" s="1157">
        <f t="shared" si="5"/>
        <v>0</v>
      </c>
    </row>
    <row r="25" spans="1:19">
      <c r="A25" s="1854"/>
      <c r="B25" s="49" t="s">
        <v>1839</v>
      </c>
      <c r="C25" s="57"/>
      <c r="D25" s="47">
        <f t="shared" si="6"/>
        <v>0</v>
      </c>
      <c r="E25" s="55">
        <f t="shared" si="1"/>
        <v>0</v>
      </c>
      <c r="F25" s="3026"/>
      <c r="G25" s="3027"/>
      <c r="H25" s="46">
        <f t="shared" si="7"/>
        <v>0</v>
      </c>
      <c r="I25" s="50">
        <f t="shared" si="2"/>
        <v>0</v>
      </c>
      <c r="J25" s="1299"/>
      <c r="K25" s="1298">
        <f t="shared" si="3"/>
        <v>0</v>
      </c>
      <c r="L25" s="1156">
        <f t="shared" si="4"/>
        <v>0</v>
      </c>
      <c r="M25" s="1310">
        <f t="shared" si="8"/>
        <v>0</v>
      </c>
      <c r="N25" s="1852"/>
      <c r="O25" s="1853"/>
      <c r="P25" s="1310">
        <f t="shared" si="9"/>
        <v>0</v>
      </c>
      <c r="R25" s="1156">
        <f t="shared" si="5"/>
        <v>0</v>
      </c>
      <c r="S25" s="1157">
        <f t="shared" si="5"/>
        <v>0</v>
      </c>
    </row>
    <row r="26" spans="1:19">
      <c r="A26" s="1854"/>
      <c r="B26" s="49" t="s">
        <v>1839</v>
      </c>
      <c r="C26" s="58"/>
      <c r="D26" s="47">
        <f t="shared" si="6"/>
        <v>0</v>
      </c>
      <c r="E26" s="55">
        <f t="shared" si="1"/>
        <v>0</v>
      </c>
      <c r="F26" s="3026"/>
      <c r="G26" s="3027"/>
      <c r="H26" s="46">
        <f t="shared" si="7"/>
        <v>0</v>
      </c>
      <c r="I26" s="50">
        <f t="shared" si="2"/>
        <v>0</v>
      </c>
      <c r="J26" s="1299"/>
      <c r="K26" s="1305">
        <f t="shared" si="3"/>
        <v>0</v>
      </c>
      <c r="L26" s="1306">
        <f t="shared" si="4"/>
        <v>0</v>
      </c>
      <c r="M26" s="62">
        <f t="shared" si="8"/>
        <v>0</v>
      </c>
      <c r="N26" s="1855"/>
      <c r="O26" s="1856"/>
      <c r="P26" s="62">
        <f t="shared" si="9"/>
        <v>0</v>
      </c>
      <c r="R26" s="1156">
        <f t="shared" si="5"/>
        <v>0</v>
      </c>
      <c r="S26" s="1157">
        <f t="shared" si="5"/>
        <v>0</v>
      </c>
    </row>
    <row r="27" spans="1:19" ht="15.75" thickBot="1">
      <c r="A27" s="1854"/>
      <c r="B27" s="47"/>
      <c r="C27" s="1857" t="s">
        <v>1840</v>
      </c>
      <c r="D27" s="1300">
        <f>SUM(D19:D26)</f>
        <v>0</v>
      </c>
      <c r="E27" s="1301">
        <f>IF(SUM(E19:E26)='数据-基础表'!BA5,SUM(E19:E26),IF(F27="地上面积有误","面积有误","地下面积有误"))</f>
        <v>45218.69</v>
      </c>
      <c r="F27" s="1300">
        <f>IF(SUM(F19:F26)=E8,SUM(F19:F26),"地上面积有误")</f>
        <v>45218.69</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8">
        <f>IF(SUM(R19:R26)=$D$3,SUM(R19:R26),SUM(R19:R26)&amp;"误差"&amp;ROUND(SUM(R19:R26)-$D$3,2))</f>
        <v>0</v>
      </c>
      <c r="S27" s="1156">
        <f>IF(SUM(S19:S26)=$E$3,SUM(S19:S26),SUM(S19:S26)&amp;"误差"&amp;ROUND(SUM(S19:S26)-E3,2))</f>
        <v>45218.69</v>
      </c>
    </row>
    <row r="28" spans="1:19">
      <c r="A28" s="1854"/>
      <c r="B28" s="49" t="s">
        <v>1841</v>
      </c>
      <c r="C28" s="1168" t="s">
        <v>1842</v>
      </c>
      <c r="D28" s="47">
        <f>ROUND($D$3*E28/$E$3,2)</f>
        <v>0</v>
      </c>
      <c r="E28" s="55">
        <f>SUM(F28:G28)</f>
        <v>0</v>
      </c>
      <c r="F28" s="59">
        <f>'数据-基础表'!BQ5+'数据-基础表'!BS5</f>
        <v>0</v>
      </c>
      <c r="G28" s="60">
        <f>'数据-基础表'!BR5+'数据-基础表'!BT5</f>
        <v>0</v>
      </c>
      <c r="H28" s="2884"/>
      <c r="I28" s="2884"/>
      <c r="J28" s="2884"/>
      <c r="K28" s="2884"/>
      <c r="L28" s="2884"/>
      <c r="M28" s="2884"/>
      <c r="N28" s="2884"/>
      <c r="O28" s="2884"/>
      <c r="P28" s="2884"/>
    </row>
    <row r="29" spans="1:19">
      <c r="A29" s="1854"/>
      <c r="B29" s="49" t="s">
        <v>1841</v>
      </c>
      <c r="C29" s="1858" t="s">
        <v>1843</v>
      </c>
      <c r="D29" s="47">
        <f>ROUND($D$3*E29/$E$3,2)</f>
        <v>0</v>
      </c>
      <c r="E29" s="55">
        <f>SUM(F29:G29)</f>
        <v>0</v>
      </c>
      <c r="F29" s="61">
        <f>'数据-基础表'!BM5+'数据-基础表'!BO5</f>
        <v>0</v>
      </c>
      <c r="G29" s="62">
        <f>'数据-基础表'!BN5+'数据-基础表'!BP5</f>
        <v>0</v>
      </c>
      <c r="H29" s="2884"/>
      <c r="I29" s="2884"/>
      <c r="J29" s="2884"/>
      <c r="K29" s="2884"/>
      <c r="L29" s="2884"/>
      <c r="M29" s="2884"/>
      <c r="N29" s="2884"/>
      <c r="O29" s="2884"/>
      <c r="P29" s="2884"/>
    </row>
    <row r="30" spans="1:19" ht="15">
      <c r="A30" s="1854"/>
      <c r="B30" s="49"/>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3" t="s">
        <v>1844</v>
      </c>
      <c r="D31" s="684">
        <f>D27+D30</f>
        <v>0</v>
      </c>
      <c r="E31" s="684">
        <f>E27+E30</f>
        <v>45218.69</v>
      </c>
      <c r="F31" s="685">
        <f>F27+F30</f>
        <v>45218.69</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D21" sqref="D21"/>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5">
        <f>项目基本情况!D3</f>
        <v>44439</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3"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3074</v>
      </c>
      <c r="O5" s="1886" t="s">
        <v>1867</v>
      </c>
      <c r="P5" s="1889" t="s">
        <v>1868</v>
      </c>
      <c r="Q5" s="64" t="s">
        <v>1869</v>
      </c>
      <c r="R5" s="1890" t="s">
        <v>1870</v>
      </c>
      <c r="S5" s="1891" t="s">
        <v>1871</v>
      </c>
      <c r="T5" s="1892" t="s">
        <v>1872</v>
      </c>
      <c r="U5" s="1176" t="s">
        <v>1873</v>
      </c>
      <c r="V5" s="1177" t="s">
        <v>1874</v>
      </c>
      <c r="W5" s="1177" t="s">
        <v>1875</v>
      </c>
      <c r="X5" s="66"/>
      <c r="Y5" s="65" t="s">
        <v>1876</v>
      </c>
      <c r="Z5" s="1893" t="s">
        <v>1873</v>
      </c>
      <c r="AA5" s="1177" t="s">
        <v>1874</v>
      </c>
      <c r="AB5" s="1177" t="s">
        <v>1875</v>
      </c>
      <c r="AC5" s="66"/>
      <c r="AD5" s="66" t="s">
        <v>1876</v>
      </c>
      <c r="AE5" s="1176" t="s">
        <v>1877</v>
      </c>
      <c r="AF5" s="1177" t="s">
        <v>1878</v>
      </c>
      <c r="AG5" s="65" t="s">
        <v>1879</v>
      </c>
      <c r="AH5" s="1176" t="s">
        <v>1880</v>
      </c>
      <c r="AI5" s="1893" t="s">
        <v>1881</v>
      </c>
      <c r="AJ5" s="1893" t="s">
        <v>1882</v>
      </c>
      <c r="AK5" s="1177" t="s">
        <v>1883</v>
      </c>
      <c r="AL5" s="1177" t="s">
        <v>1884</v>
      </c>
      <c r="AM5" s="65"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51772</v>
      </c>
      <c r="F6" s="67">
        <f>SUMIF(项目基本情况!D$12:I$12,C6,项目基本情况!D$15:I$15)</f>
        <v>20.09</v>
      </c>
      <c r="G6" s="68">
        <f>IF(ISERROR(ROUND(POWER(1+H6,D6-F6)*(POWER(1+H6,F6)-1)/(POWER(1+H6,D6)-1),3)),0,ROUND(POWER(1+H6,D6-F6)*(POWER(1+H6,F6)-1)/(POWER(1+H6,D6)-1),3))</f>
        <v>0.72799999999999998</v>
      </c>
      <c r="H6" s="740">
        <v>0.05</v>
      </c>
      <c r="I6" s="740">
        <v>5.5E-2</v>
      </c>
      <c r="J6" s="69">
        <v>8.5000000000000006E-2</v>
      </c>
      <c r="K6" s="1160">
        <f>SUMIF('数据-汇总表'!C$19:C$33,A6,'数据-汇总表'!E$19:E$33)</f>
        <v>45218.69</v>
      </c>
      <c r="L6" s="741">
        <v>5000</v>
      </c>
      <c r="M6" s="70">
        <f t="shared" ref="M6:M14" si="0">ROUND(K6*L6/10000,0)</f>
        <v>22609</v>
      </c>
      <c r="N6" s="739">
        <f>ROUND(1-(2021-2012)/60,2)</f>
        <v>0.85</v>
      </c>
      <c r="O6" s="70" t="str">
        <f>IF($N$5="成新度","——",ROUND(M6*N6,0))</f>
        <v>——</v>
      </c>
      <c r="P6" s="71" t="str">
        <f>IF($N$5="成新度","——",M6-O6)</f>
        <v>——</v>
      </c>
      <c r="Q6" s="742">
        <v>0.2</v>
      </c>
      <c r="R6" s="72">
        <f ca="1">SUMIF('数据-汇总表'!C$19:C$33,A6,'数据-汇总表'!R$19:R$27)</f>
        <v>0</v>
      </c>
      <c r="S6" s="53">
        <f>IF('数据-汇总表'!$I$17="按面积比例",SUMIF('数据-汇总表'!C$19:C$33,A6,'数据-汇总表'!K$19:K$33),SUMIF('数据-汇总表'!C$19:C$33,A6,'数据-汇总表'!N$19:N$33))</f>
        <v>0</v>
      </c>
      <c r="T6" s="1332">
        <f>ROUND($L$14*S6/10000,0)</f>
        <v>0</v>
      </c>
      <c r="U6" s="73">
        <v>24000000</v>
      </c>
      <c r="V6" s="74">
        <v>2.5000000000000001E-2</v>
      </c>
      <c r="W6" s="3067">
        <v>0</v>
      </c>
      <c r="X6" s="1170"/>
      <c r="Y6" s="75">
        <f>N6</f>
        <v>0.85</v>
      </c>
      <c r="Z6" s="76"/>
      <c r="AA6" s="69"/>
      <c r="AB6" s="69"/>
      <c r="AC6" s="1170"/>
      <c r="AD6" s="77"/>
      <c r="AE6" s="1171">
        <f ca="1">IF(AN6="",0,SUMIF(INDIRECT("'"&amp;AN6&amp;"'"&amp;"!E:E"),$AE$5,INDIRECT("'"&amp;AN6&amp;"'"&amp;"!F:F")))</f>
        <v>20.09</v>
      </c>
      <c r="AF6" s="1530"/>
      <c r="AG6" s="142">
        <f>IF(AF6="",0,AE6-AF6)</f>
        <v>0</v>
      </c>
      <c r="AH6" s="78">
        <v>1</v>
      </c>
      <c r="AI6" s="80">
        <v>1</v>
      </c>
      <c r="AJ6" s="81"/>
      <c r="AK6" s="82">
        <v>1.4999999999999999E-2</v>
      </c>
      <c r="AL6" s="83">
        <v>1.5E-3</v>
      </c>
      <c r="AM6" s="84">
        <v>0.01</v>
      </c>
      <c r="AN6" s="1899" t="s">
        <v>3075</v>
      </c>
      <c r="AO6" s="54">
        <f ca="1">SUMIF(INDIRECT("'"&amp;AN6&amp;"'"&amp;"!A:A"),"总价",INDIRECT("'"&amp;AN6&amp;"'"&amp;"!B:B"))</f>
        <v>20922</v>
      </c>
      <c r="AP6" s="1900">
        <f>IF(C6="住宅",K6*L6,0)</f>
        <v>0</v>
      </c>
      <c r="AQ6" s="54">
        <f>ROUND($L$14*$N$14*S6/10000,0)</f>
        <v>0</v>
      </c>
      <c r="AR6" s="54">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32">
        <f t="shared" ref="T7:T13" si="5">ROUND($L$14*S7/10000,0)</f>
        <v>0</v>
      </c>
      <c r="U7" s="73"/>
      <c r="V7" s="74"/>
      <c r="W7" s="74"/>
      <c r="X7" s="1170"/>
      <c r="Y7" s="75"/>
      <c r="Z7" s="76"/>
      <c r="AA7" s="69"/>
      <c r="AB7" s="69"/>
      <c r="AC7" s="1170"/>
      <c r="AD7" s="77"/>
      <c r="AE7" s="1171">
        <f t="shared" ref="AE7:AE13" ca="1" si="6">IF(AN7="",0,SUMIF(INDIRECT("'"&amp;AN7&amp;"'"&amp;"!E:E"),$AE$5,INDIRECT("'"&amp;AN7&amp;"'"&amp;"!F:F")))</f>
        <v>0</v>
      </c>
      <c r="AF7" s="1530"/>
      <c r="AG7" s="142">
        <f t="shared" ref="AG7:AG13" si="7">IF(AF7="",0,AE7-AF7)</f>
        <v>0</v>
      </c>
      <c r="AH7" s="78"/>
      <c r="AI7" s="80"/>
      <c r="AJ7" s="81"/>
      <c r="AK7" s="82"/>
      <c r="AL7" s="83"/>
      <c r="AM7" s="84"/>
      <c r="AN7" s="1899"/>
      <c r="AO7" s="54" t="e">
        <f t="shared" ref="AO7:AO13" ca="1" si="8">SUMIF(INDIRECT("'"&amp;AN7&amp;"'"&amp;"!A:A"),"总价",INDIRECT("'"&amp;AN7&amp;"'"&amp;"!B:B"))</f>
        <v>#REF!</v>
      </c>
      <c r="AP7" s="1900">
        <f t="shared" ref="AP7:AP13" si="9">IF(C7="住宅",K7*L7,0)</f>
        <v>0</v>
      </c>
      <c r="AQ7" s="54">
        <f t="shared" ref="AQ7:AQ13" si="10">ROUND($L$14*$N$14*S7/10000,0)</f>
        <v>0</v>
      </c>
      <c r="AR7" s="54">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32">
        <f t="shared" si="5"/>
        <v>0</v>
      </c>
      <c r="U8" s="743"/>
      <c r="V8" s="744"/>
      <c r="W8" s="744"/>
      <c r="X8" s="1170"/>
      <c r="Y8" s="745"/>
      <c r="Z8" s="76"/>
      <c r="AA8" s="69"/>
      <c r="AB8" s="69"/>
      <c r="AC8" s="1170"/>
      <c r="AD8" s="77"/>
      <c r="AE8" s="1171">
        <f t="shared" ca="1" si="6"/>
        <v>0</v>
      </c>
      <c r="AF8" s="1530"/>
      <c r="AG8" s="142">
        <f t="shared" si="7"/>
        <v>0</v>
      </c>
      <c r="AH8" s="746"/>
      <c r="AI8" s="80"/>
      <c r="AJ8" s="81"/>
      <c r="AK8" s="747"/>
      <c r="AL8" s="748"/>
      <c r="AM8" s="749"/>
      <c r="AN8" s="1899"/>
      <c r="AO8" s="54" t="e">
        <f t="shared" ca="1" si="8"/>
        <v>#REF!</v>
      </c>
      <c r="AP8" s="1900">
        <f t="shared" si="9"/>
        <v>0</v>
      </c>
      <c r="AQ8" s="54">
        <f t="shared" si="10"/>
        <v>0</v>
      </c>
      <c r="AR8" s="54">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2">
        <f t="shared" si="5"/>
        <v>0</v>
      </c>
      <c r="U9" s="73"/>
      <c r="V9" s="74"/>
      <c r="W9" s="74"/>
      <c r="X9" s="1170"/>
      <c r="Y9" s="75"/>
      <c r="Z9" s="76"/>
      <c r="AA9" s="69"/>
      <c r="AB9" s="69"/>
      <c r="AC9" s="1170"/>
      <c r="AD9" s="77"/>
      <c r="AE9" s="1171">
        <f t="shared" ca="1" si="6"/>
        <v>0</v>
      </c>
      <c r="AF9" s="1530"/>
      <c r="AG9" s="142">
        <f t="shared" si="7"/>
        <v>0</v>
      </c>
      <c r="AH9" s="78"/>
      <c r="AI9" s="80"/>
      <c r="AJ9" s="81"/>
      <c r="AK9" s="82"/>
      <c r="AL9" s="83"/>
      <c r="AM9" s="84"/>
      <c r="AN9" s="1899"/>
      <c r="AO9" s="54" t="e">
        <f t="shared" ca="1" si="8"/>
        <v>#REF!</v>
      </c>
      <c r="AP9" s="1900">
        <f t="shared" si="9"/>
        <v>0</v>
      </c>
      <c r="AQ9" s="54">
        <f t="shared" si="10"/>
        <v>0</v>
      </c>
      <c r="AR9" s="54">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70"/>
      <c r="Y10" s="75"/>
      <c r="Z10" s="76"/>
      <c r="AA10" s="69"/>
      <c r="AB10" s="69"/>
      <c r="AC10" s="1170"/>
      <c r="AD10" s="77"/>
      <c r="AE10" s="1171">
        <f t="shared" ca="1" si="6"/>
        <v>0</v>
      </c>
      <c r="AF10" s="1530"/>
      <c r="AG10" s="142">
        <f t="shared" si="7"/>
        <v>0</v>
      </c>
      <c r="AH10" s="78"/>
      <c r="AI10" s="80"/>
      <c r="AJ10" s="81"/>
      <c r="AK10" s="82"/>
      <c r="AL10" s="83"/>
      <c r="AM10" s="84"/>
      <c r="AN10" s="1899"/>
      <c r="AO10" s="54" t="e">
        <f t="shared" ca="1" si="8"/>
        <v>#REF!</v>
      </c>
      <c r="AP10" s="1900">
        <f t="shared" si="9"/>
        <v>0</v>
      </c>
      <c r="AQ10" s="54">
        <f t="shared" si="10"/>
        <v>0</v>
      </c>
      <c r="AR10" s="54">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70"/>
      <c r="Y11" s="75"/>
      <c r="Z11" s="88"/>
      <c r="AA11" s="69"/>
      <c r="AB11" s="69"/>
      <c r="AC11" s="1170"/>
      <c r="AD11" s="77"/>
      <c r="AE11" s="1171">
        <f t="shared" ca="1" si="6"/>
        <v>0</v>
      </c>
      <c r="AF11" s="1530"/>
      <c r="AG11" s="142">
        <f t="shared" si="7"/>
        <v>0</v>
      </c>
      <c r="AH11" s="78"/>
      <c r="AI11" s="80"/>
      <c r="AJ11" s="81"/>
      <c r="AK11" s="89"/>
      <c r="AL11" s="90"/>
      <c r="AM11" s="91"/>
      <c r="AN11" s="1899"/>
      <c r="AO11" s="54" t="e">
        <f t="shared" ca="1" si="8"/>
        <v>#REF!</v>
      </c>
      <c r="AP11" s="1900">
        <f t="shared" si="9"/>
        <v>0</v>
      </c>
      <c r="AQ11" s="54">
        <f t="shared" si="10"/>
        <v>0</v>
      </c>
      <c r="AR11" s="54">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70"/>
      <c r="Y12" s="75"/>
      <c r="Z12" s="88"/>
      <c r="AA12" s="69"/>
      <c r="AB12" s="69"/>
      <c r="AC12" s="1170"/>
      <c r="AD12" s="77"/>
      <c r="AE12" s="1171">
        <f t="shared" ca="1" si="6"/>
        <v>0</v>
      </c>
      <c r="AF12" s="1530"/>
      <c r="AG12" s="142">
        <f t="shared" si="7"/>
        <v>0</v>
      </c>
      <c r="AH12" s="78"/>
      <c r="AI12" s="80"/>
      <c r="AJ12" s="81"/>
      <c r="AK12" s="89"/>
      <c r="AL12" s="90"/>
      <c r="AM12" s="91"/>
      <c r="AN12" s="1899"/>
      <c r="AO12" s="54" t="e">
        <f t="shared" ca="1" si="8"/>
        <v>#REF!</v>
      </c>
      <c r="AP12" s="1900">
        <f t="shared" si="9"/>
        <v>0</v>
      </c>
      <c r="AQ12" s="54">
        <f t="shared" si="10"/>
        <v>0</v>
      </c>
      <c r="AR12" s="54">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70"/>
      <c r="Y13" s="75"/>
      <c r="Z13" s="76"/>
      <c r="AA13" s="69"/>
      <c r="AB13" s="69"/>
      <c r="AC13" s="1170"/>
      <c r="AD13" s="77"/>
      <c r="AE13" s="1171">
        <f t="shared" ca="1" si="6"/>
        <v>0</v>
      </c>
      <c r="AF13" s="1530"/>
      <c r="AG13" s="142">
        <f t="shared" si="7"/>
        <v>0</v>
      </c>
      <c r="AH13" s="78"/>
      <c r="AI13" s="80"/>
      <c r="AJ13" s="81"/>
      <c r="AK13" s="82"/>
      <c r="AL13" s="83"/>
      <c r="AM13" s="84"/>
      <c r="AN13" s="1899"/>
      <c r="AO13" s="54" t="e">
        <f t="shared" ca="1" si="8"/>
        <v>#REF!</v>
      </c>
      <c r="AP13" s="1900">
        <f t="shared" si="9"/>
        <v>0</v>
      </c>
      <c r="AQ13" s="54">
        <f t="shared" si="10"/>
        <v>0</v>
      </c>
      <c r="AR13" s="54">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32"/>
      <c r="U14" s="678"/>
      <c r="V14" s="1165"/>
      <c r="W14" s="1165"/>
      <c r="X14" s="1166"/>
      <c r="Y14" s="1167"/>
      <c r="Z14" s="1168"/>
      <c r="AA14" s="1169"/>
      <c r="AB14" s="1169"/>
      <c r="AC14" s="1170"/>
      <c r="AD14" s="1166"/>
      <c r="AE14" s="1171"/>
      <c r="AF14" s="54"/>
      <c r="AG14" s="142"/>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7"/>
      <c r="G15" s="68"/>
      <c r="H15" s="1159"/>
      <c r="I15" s="1159"/>
      <c r="J15" s="1159"/>
      <c r="K15" s="1160">
        <f>SUMIF('数据-汇总表'!C$19:C$33,A15,'数据-汇总表'!E$19:E$33)</f>
        <v>0</v>
      </c>
      <c r="L15" s="1161"/>
      <c r="M15" s="70"/>
      <c r="N15" s="1162"/>
      <c r="O15" s="70"/>
      <c r="P15" s="71"/>
      <c r="Q15" s="1163"/>
      <c r="R15" s="72"/>
      <c r="S15" s="53"/>
      <c r="T15" s="1332"/>
      <c r="U15" s="678"/>
      <c r="V15" s="1165"/>
      <c r="W15" s="1165"/>
      <c r="X15" s="1166"/>
      <c r="Y15" s="1167"/>
      <c r="Z15" s="1168"/>
      <c r="AA15" s="1169"/>
      <c r="AB15" s="1169"/>
      <c r="AC15" s="1170"/>
      <c r="AD15" s="1166"/>
      <c r="AE15" s="1171"/>
      <c r="AF15" s="54"/>
      <c r="AG15" s="142"/>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2"/>
      <c r="C16" s="941"/>
      <c r="D16" s="1904"/>
      <c r="E16" s="92"/>
      <c r="F16" s="92"/>
      <c r="G16" s="93">
        <f>ROUND(SUMPRODUCT(G6:G13,K6:K13)/SUMPRODUCT((G6:G13&gt;0)*(K6:K13)),3)</f>
        <v>0.72799999999999998</v>
      </c>
      <c r="H16" s="94">
        <f>ROUND(SUMPRODUCT(H6:H13,K6:K13)/SUMPRODUCT((H6:H13&gt;0)*(K6:K13)),3)</f>
        <v>0.05</v>
      </c>
      <c r="I16" s="95"/>
      <c r="J16" s="95"/>
      <c r="K16" s="96">
        <f>SUM(K6:K15)</f>
        <v>45218.69</v>
      </c>
      <c r="L16" s="97">
        <f>ROUND(M16*10000/SUM(K6:K14),0)</f>
        <v>5000</v>
      </c>
      <c r="M16" s="97">
        <f>SUM(M6:M14)</f>
        <v>22609</v>
      </c>
      <c r="N16" s="98">
        <f>ROUND(SUMPRODUCT(M6:M14,N6:N14)/M16,3)</f>
        <v>0.85</v>
      </c>
      <c r="O16" s="97">
        <f>SUM(O6:O14)</f>
        <v>0</v>
      </c>
      <c r="P16" s="97">
        <f>SUM(P6:P14)</f>
        <v>0</v>
      </c>
      <c r="Q16" s="99">
        <f>ROUND(SUMPRODUCT(Q6:Q13,K6:K13)/SUMPRODUCT((Q6:Q13&gt;0)*(K6:K13)),2)</f>
        <v>0.2</v>
      </c>
      <c r="R16" s="116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3"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7">
        <v>0</v>
      </c>
      <c r="C19" s="3028" t="s">
        <v>3052</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8">
        <v>2</v>
      </c>
      <c r="C20" s="3029" t="s">
        <v>3050</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8">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09">
        <f>B19+B20</f>
        <v>2</v>
      </c>
      <c r="C22" s="2900"/>
      <c r="D22" s="2903"/>
      <c r="E22" s="2900"/>
      <c r="F22" s="2900"/>
      <c r="G22" s="2900"/>
      <c r="H22" s="2900"/>
      <c r="I22" s="2900"/>
      <c r="J22" s="2900"/>
      <c r="K22" s="2899"/>
      <c r="L22" s="2899"/>
      <c r="M22" s="2898"/>
      <c r="N22" s="3060" t="s">
        <v>3076</v>
      </c>
      <c r="O22" s="3060" t="s">
        <v>3077</v>
      </c>
      <c r="P22" s="3060" t="s">
        <v>3078</v>
      </c>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09">
        <f>B19+B21</f>
        <v>2</v>
      </c>
      <c r="C23" s="2900"/>
      <c r="D23" s="2903"/>
      <c r="E23" s="2900"/>
      <c r="F23" s="2900"/>
      <c r="G23" s="2900"/>
      <c r="H23" s="2900"/>
      <c r="I23" s="2900"/>
      <c r="J23" s="2900"/>
      <c r="K23" s="2899"/>
      <c r="L23" s="2899"/>
      <c r="M23" s="2898"/>
      <c r="N23" s="2898">
        <v>1</v>
      </c>
      <c r="O23" s="2898">
        <f>ROUND('数据-汇总表'!$F$19/4,2)</f>
        <v>11304.67</v>
      </c>
      <c r="P23" s="2898">
        <v>1</v>
      </c>
      <c r="Q23" s="2898">
        <v>3</v>
      </c>
      <c r="R23" s="2898">
        <v>0.25</v>
      </c>
      <c r="S23" s="2898"/>
      <c r="T23" s="2898">
        <v>12000</v>
      </c>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0">
        <f>B20-B21</f>
        <v>0</v>
      </c>
      <c r="C24" s="2900"/>
      <c r="D24" s="2903"/>
      <c r="E24" s="2900"/>
      <c r="F24" s="2900"/>
      <c r="G24" s="2900"/>
      <c r="H24" s="2900"/>
      <c r="I24" s="2900"/>
      <c r="J24" s="2900"/>
      <c r="K24" s="2899"/>
      <c r="L24" s="2899"/>
      <c r="M24" s="2898"/>
      <c r="N24" s="2898">
        <v>2</v>
      </c>
      <c r="O24" s="2898">
        <f>ROUND('数据-汇总表'!$F$19/4,2)</f>
        <v>11304.67</v>
      </c>
      <c r="P24" s="2898">
        <v>0.8</v>
      </c>
      <c r="Q24" s="2898">
        <f>P24*$Q$23</f>
        <v>2.4000000000000004</v>
      </c>
      <c r="R24" s="2898">
        <v>0.25</v>
      </c>
      <c r="S24" s="2898"/>
      <c r="T24" s="2898">
        <f>P24*$T$23</f>
        <v>9600</v>
      </c>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v>3</v>
      </c>
      <c r="O25" s="2898">
        <f>ROUND('数据-汇总表'!$F$19/4,2)</f>
        <v>11304.67</v>
      </c>
      <c r="P25" s="2898">
        <v>0.7</v>
      </c>
      <c r="Q25" s="2898">
        <f t="shared" ref="Q25:Q26" si="12">P25*$Q$23</f>
        <v>2.0999999999999996</v>
      </c>
      <c r="R25" s="2898">
        <v>0.25</v>
      </c>
      <c r="S25" s="2898"/>
      <c r="T25" s="2898">
        <f t="shared" ref="T25:T26" si="13">P25*$T$23</f>
        <v>8400</v>
      </c>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v>4</v>
      </c>
      <c r="O26" s="2898">
        <f>ROUND('数据-汇总表'!$F$19-O23-O24-O25,2)</f>
        <v>11304.68</v>
      </c>
      <c r="P26" s="2898">
        <v>0.6</v>
      </c>
      <c r="Q26" s="2898">
        <f t="shared" si="12"/>
        <v>1.7999999999999998</v>
      </c>
      <c r="R26" s="2898">
        <v>0.25</v>
      </c>
      <c r="S26" s="2898"/>
      <c r="T26" s="2898">
        <f t="shared" si="13"/>
        <v>7200</v>
      </c>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1">
        <v>0</v>
      </c>
      <c r="C27" s="3030" t="s">
        <v>3054</v>
      </c>
      <c r="D27" s="3065" t="s">
        <v>3141</v>
      </c>
      <c r="E27" s="2886"/>
      <c r="F27" s="2886"/>
      <c r="G27" s="2900"/>
      <c r="H27" s="2900"/>
      <c r="I27" s="2900"/>
      <c r="J27" s="2900"/>
      <c r="K27" s="2899"/>
      <c r="L27" s="2899"/>
      <c r="M27" s="2898"/>
      <c r="N27" s="2898"/>
      <c r="O27" s="2898"/>
      <c r="P27" s="2898"/>
      <c r="Q27" s="2898">
        <f>Q23*R23+Q24*R24+Q25*R25+Q26*R26</f>
        <v>2.3250000000000002</v>
      </c>
      <c r="R27" s="2898"/>
      <c r="S27" s="2898"/>
      <c r="T27" s="2898">
        <f>T23*R23+T24*R24+T25*R25+T26*R26</f>
        <v>9300</v>
      </c>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4">
        <v>0</v>
      </c>
      <c r="C28" s="2907"/>
      <c r="D28" s="2906"/>
      <c r="E28" s="2886"/>
      <c r="F28" s="2886"/>
      <c r="G28" s="2900"/>
      <c r="H28" s="2900"/>
      <c r="I28" s="2900"/>
      <c r="J28" s="2900"/>
      <c r="K28" s="2899"/>
      <c r="L28" s="2899"/>
      <c r="M28" s="2898"/>
      <c r="N28" s="2898"/>
      <c r="O28" s="2898"/>
      <c r="P28" s="2898"/>
      <c r="Q28" s="2898"/>
      <c r="R28" s="2898"/>
      <c r="S28" s="2898"/>
      <c r="T28" s="2898">
        <f>T27*'数据-汇总表'!F19/10000</f>
        <v>42053.381699999998</v>
      </c>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6">
        <v>0</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5">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7">
        <v>0.05</v>
      </c>
      <c r="C34" s="3032" t="s">
        <v>3043</v>
      </c>
      <c r="D34" s="2911" t="s">
        <v>3051</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4">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8">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9">
        <v>0.02</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7">
        <v>0.02</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3044" t="s">
        <v>3062</v>
      </c>
      <c r="B40" s="3066">
        <f ca="1">IF(A40="利息：取LPR",存贷款利率!G1,存贷款利率!G1+C40)</f>
        <v>3.85E-2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0">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1">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2">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3">
        <v>7.0000000000000007E-2</v>
      </c>
      <c r="C44" s="3032" t="s">
        <v>3055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1">
        <v>0.03</v>
      </c>
      <c r="C45" s="3031" t="s">
        <v>3047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1">
        <v>0.02</v>
      </c>
      <c r="C46" s="3031" t="s">
        <v>3048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4"/>
      <c r="C47" s="3034" t="s">
        <v>3056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5">
        <v>0.03</v>
      </c>
      <c r="C48" s="3031" t="s">
        <v>3047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1">
        <v>5.0000000000000001E-4</v>
      </c>
      <c r="C49" s="3031" t="s">
        <v>3049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8">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79">
        <v>25</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79">
        <v>20</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79">
        <v>15</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79">
        <v>10</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79">
        <v>5</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79">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79">
        <v>1</v>
      </c>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79"/>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79"/>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6"/>
      <c r="L134" s="26"/>
    </row>
    <row r="135" spans="1:12" s="1865" customFormat="1">
      <c r="A135" s="1927"/>
      <c r="D135" s="1928"/>
      <c r="K135" s="26"/>
      <c r="L135" s="26"/>
    </row>
    <row r="136" spans="1:12" s="1865" customFormat="1">
      <c r="A136" s="1927"/>
      <c r="D136" s="1928"/>
      <c r="K136" s="26"/>
      <c r="L136" s="26"/>
    </row>
    <row r="137" spans="1:12" s="1865" customFormat="1">
      <c r="A137" s="1927"/>
      <c r="D137" s="1928"/>
      <c r="K137" s="26"/>
      <c r="L137" s="26"/>
    </row>
    <row r="138" spans="1:12" s="1865" customFormat="1">
      <c r="A138" s="1927"/>
      <c r="D138" s="1928"/>
      <c r="K138" s="26"/>
      <c r="L138" s="26"/>
    </row>
    <row r="139" spans="1:12" s="1865" customFormat="1">
      <c r="A139" s="1927"/>
      <c r="D139" s="1928"/>
      <c r="K139" s="26"/>
      <c r="L139" s="26"/>
    </row>
    <row r="140" spans="1:12" s="1865" customFormat="1">
      <c r="A140" s="1927"/>
      <c r="D140" s="1928"/>
      <c r="K140" s="26"/>
      <c r="L140" s="26"/>
    </row>
    <row r="141" spans="1:12" s="1865" customFormat="1">
      <c r="A141" s="1927"/>
      <c r="D141" s="1928"/>
      <c r="K141" s="26"/>
      <c r="L141" s="26"/>
    </row>
    <row r="142" spans="1:12" s="1865" customFormat="1">
      <c r="A142" s="1927"/>
      <c r="D142" s="1928"/>
      <c r="K142" s="26"/>
      <c r="L142" s="26"/>
    </row>
    <row r="143" spans="1:12" s="1865" customFormat="1">
      <c r="A143" s="1927"/>
      <c r="D143" s="1928"/>
      <c r="K143" s="26"/>
      <c r="L143" s="26"/>
    </row>
    <row r="144" spans="1:12" s="1865" customFormat="1">
      <c r="A144" s="1927"/>
      <c r="D144" s="1928"/>
      <c r="K144" s="26"/>
      <c r="L144" s="26"/>
    </row>
    <row r="145" spans="1:12" s="1865" customFormat="1">
      <c r="A145" s="1927"/>
      <c r="D145" s="1928"/>
      <c r="K145" s="26"/>
      <c r="L145" s="26"/>
    </row>
    <row r="146" spans="1:12" s="1865" customFormat="1">
      <c r="A146" s="1927"/>
      <c r="D146" s="1928"/>
      <c r="K146" s="26"/>
      <c r="L146" s="26"/>
    </row>
    <row r="147" spans="1:12" s="1865" customFormat="1">
      <c r="A147" s="1927"/>
      <c r="D147" s="1928"/>
      <c r="K147" s="26"/>
      <c r="L147" s="26"/>
    </row>
    <row r="148" spans="1:12" s="1865" customFormat="1">
      <c r="A148" s="1927"/>
      <c r="D148" s="1928"/>
      <c r="K148" s="26"/>
      <c r="L148" s="26"/>
    </row>
    <row r="149" spans="1:12" s="1865" customFormat="1">
      <c r="A149" s="1927"/>
      <c r="D149" s="1928"/>
      <c r="K149" s="26"/>
      <c r="L149" s="26"/>
    </row>
    <row r="150" spans="1:12" s="1865" customFormat="1">
      <c r="A150" s="1927"/>
      <c r="D150" s="1928"/>
      <c r="K150" s="26"/>
      <c r="L150" s="26"/>
    </row>
    <row r="151" spans="1:12" s="1865" customFormat="1">
      <c r="A151" s="1927"/>
      <c r="D151" s="1928"/>
      <c r="K151" s="26"/>
      <c r="L151" s="26"/>
    </row>
    <row r="152" spans="1:12" s="1865" customFormat="1">
      <c r="A152" s="1927"/>
      <c r="D152" s="1928"/>
      <c r="K152" s="26"/>
      <c r="L152" s="26"/>
    </row>
    <row r="153" spans="1:12" s="1865" customFormat="1">
      <c r="A153" s="1927"/>
      <c r="D153" s="1928"/>
      <c r="K153" s="26"/>
      <c r="L153" s="26"/>
    </row>
    <row r="154" spans="1:12" s="1865" customFormat="1">
      <c r="A154" s="1927"/>
      <c r="D154" s="1928"/>
      <c r="K154" s="26"/>
      <c r="L154" s="26"/>
    </row>
    <row r="155" spans="1:12" s="1865" customFormat="1">
      <c r="A155" s="1927"/>
      <c r="D155" s="1928"/>
      <c r="K155" s="26"/>
      <c r="L155" s="26"/>
    </row>
    <row r="156" spans="1:12" s="1865" customFormat="1">
      <c r="A156" s="1927"/>
      <c r="D156" s="1928"/>
      <c r="K156" s="26"/>
      <c r="L156" s="26"/>
    </row>
    <row r="157" spans="1:12" s="1865" customFormat="1">
      <c r="A157" s="1927"/>
      <c r="D157" s="1928"/>
      <c r="K157" s="26"/>
      <c r="L157" s="26"/>
    </row>
    <row r="158" spans="1:12" s="1865" customFormat="1">
      <c r="A158" s="1927"/>
      <c r="D158" s="1928"/>
      <c r="K158" s="26"/>
      <c r="L158" s="26"/>
    </row>
    <row r="159" spans="1:12" s="1865" customFormat="1">
      <c r="A159" s="1927"/>
      <c r="D159" s="1928"/>
      <c r="K159" s="26"/>
      <c r="L159" s="26"/>
    </row>
    <row r="160" spans="1:12" s="1865" customFormat="1">
      <c r="A160" s="1927"/>
      <c r="D160" s="1928"/>
      <c r="K160" s="26"/>
      <c r="L160" s="26"/>
    </row>
    <row r="161" spans="1:12" s="1865" customFormat="1">
      <c r="A161" s="1927"/>
      <c r="D161" s="1928"/>
      <c r="K161" s="26"/>
      <c r="L161" s="26"/>
    </row>
    <row r="162" spans="1:12" s="1865" customFormat="1">
      <c r="A162" s="1927"/>
      <c r="D162" s="1928"/>
      <c r="K162" s="26"/>
      <c r="L162" s="26"/>
    </row>
    <row r="163" spans="1:12" s="1865" customFormat="1">
      <c r="A163" s="1927"/>
      <c r="D163" s="1928"/>
      <c r="K163" s="26"/>
      <c r="L163" s="26"/>
    </row>
    <row r="164" spans="1:12" s="1865" customFormat="1">
      <c r="A164" s="1927"/>
      <c r="D164" s="1928"/>
      <c r="K164" s="26"/>
      <c r="L164" s="26"/>
    </row>
    <row r="165" spans="1:12" s="1865" customFormat="1">
      <c r="A165" s="1927"/>
      <c r="D165" s="1928"/>
      <c r="K165" s="26"/>
      <c r="L165" s="26"/>
    </row>
    <row r="166" spans="1:12" s="1865" customFormat="1">
      <c r="A166" s="1927"/>
      <c r="D166" s="1928"/>
      <c r="K166" s="26"/>
      <c r="L166" s="26"/>
    </row>
    <row r="167" spans="1:12" s="1865" customFormat="1">
      <c r="A167" s="1927"/>
      <c r="D167" s="1928"/>
      <c r="K167" s="26"/>
      <c r="L167" s="26"/>
    </row>
    <row r="168" spans="1:12" s="1865" customFormat="1">
      <c r="A168" s="1927"/>
      <c r="D168" s="1928"/>
      <c r="K168" s="26"/>
      <c r="L168" s="26"/>
    </row>
    <row r="169" spans="1:12" s="1865" customFormat="1">
      <c r="A169" s="1927"/>
      <c r="D169" s="1928"/>
      <c r="K169" s="26"/>
      <c r="L169" s="26"/>
    </row>
    <row r="170" spans="1:12" s="1865" customFormat="1">
      <c r="A170" s="1927"/>
      <c r="D170" s="1928"/>
      <c r="K170" s="26"/>
      <c r="L170" s="26"/>
    </row>
    <row r="171" spans="1:12" s="1865" customFormat="1">
      <c r="A171" s="1927"/>
      <c r="D171" s="1928"/>
      <c r="K171" s="26"/>
      <c r="L171" s="26"/>
    </row>
    <row r="172" spans="1:12" s="1865" customFormat="1">
      <c r="A172" s="1927"/>
      <c r="D172" s="1928"/>
      <c r="K172" s="26"/>
      <c r="L172" s="26"/>
    </row>
    <row r="173" spans="1:12" s="1865" customFormat="1">
      <c r="A173" s="1927"/>
      <c r="D173" s="1928"/>
      <c r="K173" s="26"/>
      <c r="L173" s="26"/>
    </row>
    <row r="174" spans="1:12" s="1865" customFormat="1">
      <c r="A174" s="1927"/>
      <c r="D174" s="1928"/>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62" t="s">
        <v>3033</v>
      </c>
      <c r="B1" s="3163"/>
      <c r="C1" s="3163"/>
      <c r="D1" s="3163"/>
      <c r="E1" s="3163"/>
      <c r="F1" s="3163"/>
      <c r="G1" s="3163"/>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3028</v>
      </c>
      <c r="D2" s="2685"/>
      <c r="E2" s="2682"/>
      <c r="F2" s="2686"/>
      <c r="G2" s="2684" t="s">
        <v>3029</v>
      </c>
      <c r="H2" s="906"/>
      <c r="I2" s="906"/>
      <c r="J2" s="906"/>
      <c r="K2" s="906"/>
      <c r="L2" s="906"/>
      <c r="M2" s="906"/>
      <c r="N2" s="906"/>
      <c r="O2" s="906"/>
      <c r="P2" s="906"/>
      <c r="Q2" s="906"/>
      <c r="R2" s="906"/>
    </row>
    <row r="3" spans="1:29" ht="48">
      <c r="A3" s="2665" t="s">
        <v>3030</v>
      </c>
      <c r="B3" s="2687" t="s">
        <v>2999</v>
      </c>
      <c r="C3" s="2688" t="s">
        <v>3031</v>
      </c>
      <c r="D3" s="2689"/>
      <c r="E3" s="2666" t="s">
        <v>3030</v>
      </c>
      <c r="F3" s="2690" t="s">
        <v>3000</v>
      </c>
      <c r="G3" s="2691" t="s">
        <v>3032</v>
      </c>
      <c r="H3" s="906"/>
      <c r="I3" s="906"/>
      <c r="J3" s="906"/>
      <c r="K3" s="906"/>
      <c r="L3" s="906"/>
      <c r="M3" s="906"/>
      <c r="N3" s="906"/>
      <c r="O3" s="906"/>
      <c r="P3" s="906"/>
      <c r="Q3" s="906"/>
      <c r="R3" s="906"/>
    </row>
    <row r="4" spans="1:29" ht="36.75">
      <c r="A4" s="2666"/>
      <c r="B4" s="328" t="s">
        <v>3001</v>
      </c>
      <c r="C4" s="2692" t="s">
        <v>3002</v>
      </c>
      <c r="D4" s="2689"/>
      <c r="E4" s="2693"/>
      <c r="F4" s="1555" t="s">
        <v>3003</v>
      </c>
      <c r="G4" s="2694" t="s">
        <v>3004</v>
      </c>
      <c r="H4" s="906"/>
      <c r="I4" s="906"/>
      <c r="J4" s="906"/>
      <c r="K4" s="906"/>
      <c r="L4" s="906"/>
      <c r="M4" s="906"/>
      <c r="N4" s="906"/>
      <c r="O4" s="906"/>
      <c r="P4" s="906"/>
      <c r="Q4" s="906"/>
      <c r="R4" s="906"/>
    </row>
    <row r="5" spans="1:29" ht="36.75">
      <c r="A5" s="2666"/>
      <c r="B5" s="328" t="s">
        <v>3005</v>
      </c>
      <c r="C5" s="2692" t="s">
        <v>3006</v>
      </c>
      <c r="D5" s="2689"/>
      <c r="E5" s="2693"/>
      <c r="F5" s="328" t="s">
        <v>3007</v>
      </c>
      <c r="G5" s="2694" t="s">
        <v>3008</v>
      </c>
      <c r="H5" s="906"/>
      <c r="I5" s="906"/>
      <c r="J5" s="906"/>
      <c r="K5" s="906"/>
      <c r="L5" s="906"/>
      <c r="M5" s="906"/>
      <c r="N5" s="906"/>
      <c r="O5" s="906"/>
      <c r="P5" s="906"/>
      <c r="Q5" s="906"/>
      <c r="R5" s="906"/>
    </row>
    <row r="6" spans="1:29" ht="36">
      <c r="A6" s="2666"/>
      <c r="B6" s="328" t="s">
        <v>3009</v>
      </c>
      <c r="C6" s="2694" t="s">
        <v>3004</v>
      </c>
      <c r="D6" s="2689"/>
      <c r="E6" s="2693"/>
      <c r="F6" s="328" t="s">
        <v>3010</v>
      </c>
      <c r="G6" s="2694" t="s">
        <v>3011</v>
      </c>
      <c r="H6" s="906"/>
      <c r="I6" s="906"/>
      <c r="J6" s="906"/>
      <c r="K6" s="906"/>
      <c r="L6" s="906"/>
      <c r="M6" s="906"/>
      <c r="N6" s="906"/>
      <c r="O6" s="906"/>
      <c r="P6" s="906"/>
      <c r="Q6" s="906"/>
      <c r="R6" s="906"/>
    </row>
    <row r="7" spans="1:29" ht="24.75" thickBot="1">
      <c r="A7" s="2666"/>
      <c r="B7" s="328" t="s">
        <v>3007</v>
      </c>
      <c r="C7" s="2694" t="s">
        <v>3008</v>
      </c>
      <c r="D7" s="2695"/>
      <c r="E7" s="2696"/>
      <c r="F7" s="2697" t="s">
        <v>3012</v>
      </c>
      <c r="G7" s="2698" t="s">
        <v>3013</v>
      </c>
      <c r="H7" s="906"/>
      <c r="I7" s="906"/>
      <c r="J7" s="906"/>
      <c r="K7" s="906"/>
      <c r="L7" s="906"/>
      <c r="M7" s="906"/>
      <c r="N7" s="906"/>
      <c r="O7" s="906"/>
      <c r="P7" s="906"/>
      <c r="Q7" s="906"/>
      <c r="R7" s="906"/>
    </row>
    <row r="8" spans="1:29">
      <c r="A8" s="2666"/>
      <c r="B8" s="328" t="s">
        <v>3010</v>
      </c>
      <c r="C8" s="2694" t="s">
        <v>3011</v>
      </c>
      <c r="D8" s="2695"/>
      <c r="E8" s="2695"/>
      <c r="F8" s="2699"/>
      <c r="G8" s="2699"/>
      <c r="H8" s="906"/>
      <c r="I8" s="906"/>
      <c r="J8" s="906"/>
      <c r="K8" s="906"/>
      <c r="L8" s="906"/>
      <c r="M8" s="906"/>
      <c r="N8" s="906"/>
      <c r="O8" s="906"/>
      <c r="P8" s="906"/>
      <c r="Q8" s="906"/>
      <c r="R8" s="906"/>
    </row>
    <row r="9" spans="1:29" ht="24">
      <c r="A9" s="2666"/>
      <c r="B9" s="328" t="s">
        <v>3014</v>
      </c>
      <c r="C9" s="2692" t="s">
        <v>3015</v>
      </c>
      <c r="D9" s="2689"/>
      <c r="E9" s="2695"/>
      <c r="F9" s="2699"/>
      <c r="G9" s="2699"/>
      <c r="H9" s="906"/>
      <c r="I9" s="906"/>
      <c r="J9" s="906"/>
      <c r="K9" s="906"/>
      <c r="L9" s="906"/>
      <c r="M9" s="906"/>
      <c r="N9" s="906"/>
      <c r="O9" s="906"/>
      <c r="P9" s="906"/>
      <c r="Q9" s="906"/>
      <c r="R9" s="906"/>
    </row>
    <row r="10" spans="1:29" s="2705" customFormat="1" ht="15" thickBot="1">
      <c r="A10" s="2667"/>
      <c r="B10" s="2700" t="s">
        <v>3016</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3034</v>
      </c>
      <c r="B13" s="2708"/>
      <c r="C13" s="2708"/>
      <c r="D13" s="2706"/>
      <c r="E13" s="2708"/>
      <c r="F13" s="2708"/>
      <c r="G13" s="2708"/>
    </row>
    <row r="14" spans="1:29" ht="15" thickBot="1">
      <c r="A14" s="2718"/>
      <c r="B14" s="2718"/>
      <c r="C14" s="2719" t="s">
        <v>3017</v>
      </c>
      <c r="D14" s="2689"/>
      <c r="E14" s="2720"/>
      <c r="F14" s="2720"/>
      <c r="G14" s="2684" t="s">
        <v>3018</v>
      </c>
    </row>
    <row r="15" spans="1:29" ht="51">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8.25">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8.25">
      <c r="A17" s="2670"/>
      <c r="B17" s="2724" t="s">
        <v>3005</v>
      </c>
      <c r="C17" s="2725" t="str">
        <f>C5</f>
        <v>估价对象位于XX商圈，周边办公楼项目较多，入驻率高，办公集聚程度较好</v>
      </c>
      <c r="D17" s="2695"/>
      <c r="E17" s="2671"/>
      <c r="F17" s="2726" t="s">
        <v>3022</v>
      </c>
      <c r="G17" s="2728"/>
    </row>
    <row r="18" spans="1:18" ht="38.25">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5.5">
      <c r="A19" s="2670"/>
      <c r="B19" s="2726" t="s">
        <v>3023</v>
      </c>
      <c r="C19" s="2728"/>
      <c r="D19" s="2689"/>
      <c r="E19" s="2671"/>
      <c r="F19" s="328" t="s">
        <v>3007</v>
      </c>
      <c r="G19" s="2727" t="str">
        <f>G5</f>
        <v>估价对象所在区域公共配套设施齐备情况</v>
      </c>
    </row>
    <row r="20" spans="1:18" ht="25.5">
      <c r="A20" s="2670"/>
      <c r="B20" s="2726" t="s">
        <v>3024</v>
      </c>
      <c r="C20" s="2725" t="str">
        <f>C9</f>
        <v>区域自然环境：；人文环境；综合评价环境状况一般</v>
      </c>
      <c r="D20" s="2695"/>
      <c r="E20" s="2671"/>
      <c r="F20" s="328" t="s">
        <v>3010</v>
      </c>
      <c r="G20" s="2727" t="str">
        <f>G6</f>
        <v>估价对象所在区域基础设施水平</v>
      </c>
    </row>
    <row r="21" spans="1:18" ht="25.5">
      <c r="A21" s="2670"/>
      <c r="B21" s="328" t="s">
        <v>3007</v>
      </c>
      <c r="C21" s="2727" t="str">
        <f>C7</f>
        <v>估价对象所在区域公共配套设施齐备情况</v>
      </c>
      <c r="D21" s="2689"/>
      <c r="E21" s="2671"/>
      <c r="F21" s="2726" t="s">
        <v>3025</v>
      </c>
      <c r="G21" s="2729"/>
    </row>
    <row r="22" spans="1:18" ht="13.5" customHeight="1">
      <c r="A22" s="2670"/>
      <c r="B22" s="328" t="s">
        <v>3010</v>
      </c>
      <c r="C22" s="2727" t="str">
        <f>C8</f>
        <v>估价对象所在区域基础设施水平</v>
      </c>
      <c r="D22" s="2689"/>
      <c r="E22" s="2671"/>
      <c r="F22" s="2726" t="s">
        <v>3016</v>
      </c>
      <c r="G22" s="2728"/>
    </row>
    <row r="23" spans="1:18" s="906" customFormat="1" ht="15" thickBot="1">
      <c r="A23" s="2670"/>
      <c r="B23" s="2726" t="s">
        <v>3025</v>
      </c>
      <c r="C23" s="2729"/>
      <c r="D23" s="1925"/>
      <c r="E23" s="2672"/>
      <c r="F23" s="2730" t="s">
        <v>3026</v>
      </c>
      <c r="G23" s="2731"/>
      <c r="H23" s="2715"/>
      <c r="I23" s="2716"/>
      <c r="J23" s="2715"/>
      <c r="K23" s="2715"/>
      <c r="L23" s="2716"/>
      <c r="M23" s="2715"/>
      <c r="N23" s="2715"/>
      <c r="O23" s="2716"/>
      <c r="P23" s="2715"/>
      <c r="Q23" s="2715"/>
      <c r="R23" s="2717"/>
    </row>
    <row r="24" spans="1:18" s="906" customFormat="1" ht="15" thickBot="1">
      <c r="A24" s="2673"/>
      <c r="B24" s="2730" t="s">
        <v>3027</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45218.69</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44439</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35742</v>
      </c>
      <c r="C5" s="2736">
        <f ca="1">ROUND(B5*10000/$B$1,0)</f>
        <v>7904</v>
      </c>
      <c r="D5" s="2736" t="e">
        <f ca="1">ROUND(B5*10000/$B$2,0)</f>
        <v>#DIV/0!</v>
      </c>
      <c r="E5" s="2913"/>
      <c r="F5" s="2914"/>
      <c r="G5" s="2914"/>
      <c r="H5" s="2915"/>
      <c r="I5" s="2915"/>
      <c r="J5" s="2915"/>
      <c r="K5" s="2915"/>
    </row>
    <row r="6" spans="1:11" ht="16.5">
      <c r="A6" s="2736" t="s">
        <v>1322</v>
      </c>
      <c r="B6" s="2736">
        <f ca="1">SUM(G14:G23)</f>
        <v>35742</v>
      </c>
      <c r="C6" s="2736">
        <f ca="1">ROUND(B6*10000/$B$1,0)</f>
        <v>7904</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45218.69</v>
      </c>
      <c r="C14" s="2742">
        <f>结果表!C118</f>
        <v>0</v>
      </c>
      <c r="D14" s="2742">
        <f ca="1">结果表!H118</f>
        <v>35742</v>
      </c>
      <c r="E14" s="2742">
        <f ca="1">ROUND(D14*10000/B14,0)</f>
        <v>7904</v>
      </c>
      <c r="F14" s="2742" t="e">
        <f ca="1">ROUND(D14*10000/C14,0)</f>
        <v>#DIV/0!</v>
      </c>
      <c r="G14" s="2742">
        <f ca="1">结果表!D122</f>
        <v>35742</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I55" sqref="I55"/>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34" t="str">
        <f>项目基本情况!S2</f>
        <v>房地产</v>
      </c>
      <c r="B2" s="3235"/>
      <c r="C2" s="3235"/>
      <c r="D2" s="3235"/>
      <c r="E2" s="3235"/>
      <c r="F2" s="3235"/>
      <c r="G2" s="3235"/>
      <c r="H2" s="3235"/>
      <c r="I2" s="3236"/>
    </row>
    <row r="3" spans="1:12" ht="12.75">
      <c r="A3" s="3238" t="s">
        <v>1950</v>
      </c>
      <c r="B3" s="3239"/>
      <c r="C3" s="3239"/>
      <c r="D3" s="3239"/>
      <c r="E3" s="3239"/>
      <c r="F3" s="3239"/>
      <c r="G3" s="3239"/>
      <c r="H3" s="3239"/>
      <c r="I3" s="3239"/>
    </row>
    <row r="4" spans="1:12" ht="14.25">
      <c r="A4" s="1938" t="s">
        <v>1951</v>
      </c>
      <c r="B4" s="1939" t="s">
        <v>1952</v>
      </c>
      <c r="C4" s="1940" t="s">
        <v>3085</v>
      </c>
      <c r="D4" s="1940" t="s">
        <v>3075</v>
      </c>
      <c r="E4" s="3243" t="s">
        <v>1953</v>
      </c>
      <c r="F4" s="3244"/>
      <c r="G4" s="3244"/>
      <c r="H4" s="3244"/>
      <c r="I4" s="3245"/>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79" t="s">
        <v>1954</v>
      </c>
      <c r="B5" s="3237">
        <v>25</v>
      </c>
      <c r="C5" s="3240"/>
      <c r="D5" s="3228"/>
      <c r="E5" s="135" t="s">
        <v>1955</v>
      </c>
      <c r="F5" s="1941"/>
      <c r="G5" s="1941"/>
      <c r="H5" s="1941"/>
      <c r="I5" s="1555"/>
    </row>
    <row r="6" spans="1:12" ht="12.75">
      <c r="A6" s="3179"/>
      <c r="B6" s="3237"/>
      <c r="C6" s="3242"/>
      <c r="D6" s="3228"/>
      <c r="E6" s="135" t="s">
        <v>1956</v>
      </c>
      <c r="F6" s="1941"/>
      <c r="G6" s="1941"/>
      <c r="H6" s="1941"/>
      <c r="I6" s="1555"/>
    </row>
    <row r="7" spans="1:12" ht="12.75">
      <c r="A7" s="3179"/>
      <c r="B7" s="3237"/>
      <c r="C7" s="3241"/>
      <c r="D7" s="3228"/>
      <c r="E7" s="135" t="s">
        <v>1957</v>
      </c>
      <c r="F7" s="1941"/>
      <c r="G7" s="1941"/>
      <c r="H7" s="1941"/>
      <c r="I7" s="1555"/>
    </row>
    <row r="8" spans="1:12" ht="12.75">
      <c r="A8" s="3179" t="s">
        <v>1958</v>
      </c>
      <c r="B8" s="3237">
        <v>15</v>
      </c>
      <c r="C8" s="3240"/>
      <c r="D8" s="3228"/>
      <c r="E8" s="135" t="s">
        <v>1959</v>
      </c>
      <c r="F8" s="1941"/>
      <c r="G8" s="1941"/>
      <c r="H8" s="1941"/>
      <c r="I8" s="1555"/>
    </row>
    <row r="9" spans="1:12" ht="12.75">
      <c r="A9" s="3179"/>
      <c r="B9" s="3237"/>
      <c r="C9" s="3241"/>
      <c r="D9" s="3228"/>
      <c r="E9" s="135" t="s">
        <v>1960</v>
      </c>
      <c r="F9" s="1941"/>
      <c r="G9" s="1941"/>
      <c r="H9" s="1941"/>
      <c r="I9" s="1555"/>
    </row>
    <row r="10" spans="1:12" ht="12.75">
      <c r="A10" s="3179" t="s">
        <v>1961</v>
      </c>
      <c r="B10" s="3237">
        <v>15</v>
      </c>
      <c r="C10" s="3240"/>
      <c r="D10" s="3228"/>
      <c r="E10" s="135" t="s">
        <v>1962</v>
      </c>
      <c r="F10" s="1941"/>
      <c r="G10" s="1941"/>
      <c r="H10" s="1941"/>
      <c r="I10" s="1555"/>
    </row>
    <row r="11" spans="1:12" ht="12.75">
      <c r="A11" s="3179"/>
      <c r="B11" s="3237"/>
      <c r="C11" s="3241"/>
      <c r="D11" s="3228"/>
      <c r="E11" s="135" t="s">
        <v>1963</v>
      </c>
      <c r="F11" s="1941"/>
      <c r="G11" s="1941"/>
      <c r="H11" s="1941"/>
      <c r="I11" s="1555"/>
    </row>
    <row r="12" spans="1:12" ht="12.75">
      <c r="A12" s="3179" t="s">
        <v>1964</v>
      </c>
      <c r="B12" s="3237">
        <v>15</v>
      </c>
      <c r="C12" s="3240"/>
      <c r="D12" s="3228"/>
      <c r="E12" s="135" t="s">
        <v>1965</v>
      </c>
      <c r="F12" s="1941"/>
      <c r="G12" s="1941"/>
      <c r="H12" s="1941"/>
      <c r="I12" s="1555"/>
    </row>
    <row r="13" spans="1:12" ht="12.75">
      <c r="A13" s="3179"/>
      <c r="B13" s="3237"/>
      <c r="C13" s="3241"/>
      <c r="D13" s="3228"/>
      <c r="E13" s="135" t="s">
        <v>1966</v>
      </c>
      <c r="F13" s="1941"/>
      <c r="G13" s="1941"/>
      <c r="H13" s="1941"/>
      <c r="I13" s="1555"/>
    </row>
    <row r="14" spans="1:12" ht="12.75">
      <c r="A14" s="3179" t="s">
        <v>1967</v>
      </c>
      <c r="B14" s="3237">
        <v>30</v>
      </c>
      <c r="C14" s="3240">
        <v>7</v>
      </c>
      <c r="D14" s="3228">
        <v>3</v>
      </c>
      <c r="E14" s="135" t="s">
        <v>1968</v>
      </c>
      <c r="F14" s="1941"/>
      <c r="G14" s="1941"/>
      <c r="H14" s="1941"/>
      <c r="I14" s="1555"/>
    </row>
    <row r="15" spans="1:12" ht="12.75">
      <c r="A15" s="3179"/>
      <c r="B15" s="3237"/>
      <c r="C15" s="3242"/>
      <c r="D15" s="3228"/>
      <c r="E15" s="135" t="s">
        <v>1969</v>
      </c>
      <c r="F15" s="1941"/>
      <c r="G15" s="1941"/>
      <c r="H15" s="1941"/>
      <c r="I15" s="1555"/>
    </row>
    <row r="16" spans="1:12" ht="12.75">
      <c r="A16" s="3179"/>
      <c r="B16" s="3237"/>
      <c r="C16" s="3241"/>
      <c r="D16" s="3228"/>
      <c r="E16" s="135" t="s">
        <v>1970</v>
      </c>
      <c r="F16" s="1941"/>
      <c r="G16" s="1941"/>
      <c r="H16" s="1941"/>
      <c r="I16" s="1555"/>
    </row>
    <row r="17" spans="1:36" ht="15">
      <c r="A17" s="1942" t="s">
        <v>1971</v>
      </c>
      <c r="B17" s="59"/>
      <c r="C17" s="136">
        <f>SUM(C5:C16)</f>
        <v>7</v>
      </c>
      <c r="D17" s="136">
        <f>SUM(D5:D16)</f>
        <v>3</v>
      </c>
      <c r="E17" s="133"/>
      <c r="F17" s="133"/>
      <c r="G17" s="133"/>
      <c r="H17" s="133"/>
      <c r="I17" s="133"/>
      <c r="K17" s="307"/>
      <c r="L17" s="307" t="s">
        <v>1972</v>
      </c>
      <c r="M17" s="307" t="s">
        <v>1973</v>
      </c>
    </row>
    <row r="18" spans="1:36" ht="31.9" customHeight="1" thickBot="1">
      <c r="A18" s="1943" t="s">
        <v>1974</v>
      </c>
      <c r="B18" s="1944"/>
      <c r="C18" s="137">
        <f>ROUND(C17/SUM(C17:D17),2)</f>
        <v>0.7</v>
      </c>
      <c r="D18" s="137">
        <f>1-C18</f>
        <v>0.30000000000000004</v>
      </c>
      <c r="E18" s="3259" t="s">
        <v>2874</v>
      </c>
      <c r="F18" s="3260"/>
      <c r="G18" s="3260"/>
      <c r="H18" s="3260"/>
      <c r="I18" s="3260"/>
      <c r="K18" s="307" t="s">
        <v>1975</v>
      </c>
      <c r="L18" s="307">
        <f>IF(C1="",'数据-汇总表'!E3,SUMIF(项目类型,C1,'数据-汇总表'!E17:E26)+SUMIF(项目类型,C1,'数据-汇总表'!I17:I26))</f>
        <v>45218.69</v>
      </c>
      <c r="M18" s="307">
        <f>IF(C1="",'数据-汇总表'!E3,SUMIF(项目类型,C1,'数据-汇总表'!E17:E26))</f>
        <v>45218.69</v>
      </c>
    </row>
    <row r="19" spans="1:36" ht="15">
      <c r="A19" s="1945" t="s">
        <v>1976</v>
      </c>
      <c r="B19" s="1946" t="s">
        <v>1977</v>
      </c>
      <c r="C19" s="138">
        <f ca="1">SUMIF(INDIRECT("'"&amp;C4&amp;"'"&amp;"!A:A"),结果表!B19,INDIRECT("'"&amp;C4&amp;"'"&amp;"!B:B"))</f>
        <v>42093</v>
      </c>
      <c r="D19" s="139">
        <f ca="1">SUMIF(INDIRECT("'"&amp;D4&amp;"'"&amp;"!A:A"),结果表!B19,INDIRECT("'"&amp;D4&amp;"'"&amp;"!B:B"))</f>
        <v>20922</v>
      </c>
      <c r="E19" s="1945" t="s">
        <v>1978</v>
      </c>
      <c r="F19" s="1946" t="s">
        <v>1977</v>
      </c>
      <c r="G19" s="140">
        <f ca="1">ROUND(C19*$C$18+D19*$D$18,0)</f>
        <v>35742</v>
      </c>
      <c r="H19" s="1947"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8"/>
      <c r="B20" s="1156" t="s">
        <v>1981</v>
      </c>
      <c r="C20" s="141">
        <f ca="1">SUMIF(INDIRECT("'"&amp;C4&amp;"'"&amp;"!A:A"),结果表!B20,INDIRECT("'"&amp;C4&amp;"'"&amp;"!B:B"))</f>
        <v>9309</v>
      </c>
      <c r="D20" s="142">
        <f ca="1">SUMIF(INDIRECT("'"&amp;D4&amp;"'"&amp;"!A:A"),结果表!B20,INDIRECT("'"&amp;D4&amp;"'"&amp;"!B:B"))</f>
        <v>4627</v>
      </c>
      <c r="E20" s="1948"/>
      <c r="F20" s="1156" t="s">
        <v>1981</v>
      </c>
      <c r="G20" s="143">
        <f ca="1">ROUND(C20*$C$18+D20*$D$18,0)</f>
        <v>7904</v>
      </c>
      <c r="H20" s="916" t="s">
        <v>1982</v>
      </c>
      <c r="I20" s="133"/>
    </row>
    <row r="21" spans="1:36" ht="15" customHeight="1" thickBot="1">
      <c r="A21" s="936"/>
      <c r="B21" s="1949" t="s">
        <v>1983</v>
      </c>
      <c r="C21" s="727" t="e">
        <f ca="1">ROUND(C19*10000/L19,0)</f>
        <v>#DIV/0!</v>
      </c>
      <c r="D21" s="728" t="e">
        <f ca="1">ROUND(D19*10000/L19,0)</f>
        <v>#DIV/0!</v>
      </c>
      <c r="E21" s="936"/>
      <c r="F21" s="1949" t="s">
        <v>1983</v>
      </c>
      <c r="G21" s="144" t="e">
        <f ca="1">ROUND(G19*10000/L19,0)</f>
        <v>#DIV/0!</v>
      </c>
      <c r="H21" s="1950" t="s">
        <v>1982</v>
      </c>
      <c r="I21" s="133"/>
    </row>
    <row r="22" spans="1:36" ht="15" thickBot="1">
      <c r="A22" s="1872" t="s">
        <v>1984</v>
      </c>
      <c r="B22" s="1951"/>
      <c r="C22" s="1952"/>
      <c r="D22" s="729">
        <f ca="1">IF(C19&lt;D19,D19/C19-1,C19/D19-1)</f>
        <v>1.0119013478634931</v>
      </c>
      <c r="E22" s="133"/>
      <c r="F22" s="133"/>
      <c r="G22" s="133"/>
      <c r="H22" s="133"/>
      <c r="I22" s="133"/>
    </row>
    <row r="23" spans="1:36" ht="13.5" thickBot="1">
      <c r="A23" s="1931"/>
      <c r="B23" s="1931"/>
      <c r="C23" s="1931"/>
      <c r="D23" s="1931"/>
      <c r="E23" s="133"/>
      <c r="F23" s="133"/>
      <c r="G23" s="133"/>
      <c r="H23" s="133"/>
      <c r="I23" s="133"/>
    </row>
    <row r="24" spans="1:36" ht="14.25">
      <c r="A24" s="3252" t="s">
        <v>1985</v>
      </c>
      <c r="B24" s="1946" t="s">
        <v>1977</v>
      </c>
      <c r="C24" s="140">
        <f>IF(B30=0,0,D30)</f>
        <v>0</v>
      </c>
      <c r="D24" s="1953"/>
      <c r="E24" s="133"/>
      <c r="F24" s="133"/>
      <c r="G24" s="133"/>
      <c r="H24" s="133"/>
      <c r="I24" s="133"/>
    </row>
    <row r="25" spans="1:36" ht="14.25">
      <c r="A25" s="3253"/>
      <c r="B25" s="1156" t="s">
        <v>1981</v>
      </c>
      <c r="C25" s="145">
        <f>IF(B30=0,0,C30)</f>
        <v>0</v>
      </c>
      <c r="D25" s="1954"/>
      <c r="E25" s="133"/>
      <c r="F25" s="133"/>
      <c r="G25" s="133"/>
      <c r="H25" s="133"/>
      <c r="I25" s="133"/>
    </row>
    <row r="26" spans="1:36" ht="13.5" customHeight="1">
      <c r="A26" s="1955" t="s">
        <v>1986</v>
      </c>
      <c r="B26" s="146" t="s">
        <v>1987</v>
      </c>
      <c r="C26" s="146" t="s">
        <v>1988</v>
      </c>
      <c r="D26" s="147" t="s">
        <v>1989</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1990</v>
      </c>
      <c r="B30" s="146"/>
      <c r="C30" s="146"/>
      <c r="D30" s="146"/>
      <c r="E30" s="2519" t="s">
        <v>2875</v>
      </c>
      <c r="F30" s="133"/>
      <c r="G30" s="133"/>
      <c r="H30" s="133"/>
      <c r="I30" s="133"/>
    </row>
    <row r="31" spans="1:36" s="2525" customFormat="1" ht="26.45" customHeight="1" thickTop="1" thickBot="1">
      <c r="A31" s="2520"/>
      <c r="B31" s="2521"/>
      <c r="C31" s="2521"/>
      <c r="D31" s="2521"/>
      <c r="E31" s="2521"/>
      <c r="F31" s="2521"/>
      <c r="G31" s="2521"/>
      <c r="H31" s="2521"/>
      <c r="I31" s="2522" t="s">
        <v>2876</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8">
        <f ca="1">IF(D32="总价",G19-C24,G20-C25)</f>
        <v>35742</v>
      </c>
      <c r="D32" s="1959" t="s">
        <v>3142</v>
      </c>
      <c r="E32" s="133"/>
      <c r="F32" s="133"/>
      <c r="G32" s="133"/>
      <c r="H32" s="133"/>
      <c r="I32" s="133"/>
    </row>
    <row r="33" spans="1:15" ht="15">
      <c r="A33" s="893" t="s">
        <v>1992</v>
      </c>
      <c r="B33" s="1960"/>
      <c r="C33" s="1961"/>
      <c r="D33" s="1962"/>
      <c r="E33" s="1963" t="s">
        <v>1993</v>
      </c>
      <c r="F33" s="1964" t="str">
        <f>IF(D32="楼面单价","取值（单价）","取值（总价）")</f>
        <v>取值（总价）</v>
      </c>
      <c r="G33" s="133"/>
      <c r="H33" s="133"/>
      <c r="I33" s="133"/>
    </row>
    <row r="34" spans="1:15" ht="15">
      <c r="A34" s="1965"/>
      <c r="B34" s="1966"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7" t="s">
        <v>1995</v>
      </c>
      <c r="F34" s="1496"/>
      <c r="G34" s="133"/>
      <c r="H34" s="133"/>
      <c r="I34" s="133"/>
    </row>
    <row r="35" spans="1:15" ht="15.75" thickBot="1">
      <c r="A35" s="1968"/>
      <c r="B35" s="1969"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0" t="s">
        <v>1997</v>
      </c>
      <c r="F35" s="158"/>
      <c r="G35" s="133"/>
      <c r="H35" s="133"/>
      <c r="I35" s="133"/>
    </row>
    <row r="36" spans="1:15" ht="15.75" thickBot="1">
      <c r="A36" s="3229" t="s">
        <v>1998</v>
      </c>
      <c r="B36" s="1971" t="s">
        <v>1999</v>
      </c>
      <c r="C36" s="149"/>
      <c r="D36" s="1972"/>
      <c r="E36" s="1973"/>
      <c r="F36" s="1974"/>
      <c r="G36" s="133"/>
      <c r="H36" s="133"/>
      <c r="I36" s="133"/>
    </row>
    <row r="37" spans="1:15" ht="15.75" thickBot="1">
      <c r="A37" s="3230"/>
      <c r="B37" s="1858" t="s">
        <v>2000</v>
      </c>
      <c r="C37" s="151"/>
      <c r="D37" s="1299"/>
      <c r="E37" s="1299"/>
      <c r="F37" s="1974"/>
      <c r="G37" s="133"/>
      <c r="H37" s="133"/>
      <c r="I37" s="133"/>
    </row>
    <row r="38" spans="1:15" ht="15.75" thickBot="1">
      <c r="A38" s="3231"/>
      <c r="B38" s="1975" t="s">
        <v>2001</v>
      </c>
      <c r="C38" s="682"/>
      <c r="D38" s="1976" t="s">
        <v>2002</v>
      </c>
      <c r="E38" s="1299"/>
      <c r="F38" s="1974"/>
      <c r="G38" s="133"/>
      <c r="H38" s="133"/>
      <c r="I38" s="133"/>
    </row>
    <row r="39" spans="1:15" ht="15">
      <c r="A39" s="1948" t="s">
        <v>2003</v>
      </c>
      <c r="B39" s="1977" t="s">
        <v>2004</v>
      </c>
      <c r="C39" s="1978" t="s">
        <v>2005</v>
      </c>
      <c r="D39" s="1978" t="s">
        <v>2006</v>
      </c>
      <c r="E39" s="1979" t="s">
        <v>2007</v>
      </c>
      <c r="F39" s="1974"/>
      <c r="G39" s="133"/>
      <c r="H39" s="133"/>
      <c r="I39" s="133"/>
    </row>
    <row r="40" spans="1:15" ht="14.25">
      <c r="A40" s="1980" t="s">
        <v>2008</v>
      </c>
      <c r="B40" s="153"/>
      <c r="C40" s="154"/>
      <c r="D40" s="154"/>
      <c r="E40" s="155"/>
      <c r="F40" s="1974"/>
      <c r="G40" s="133"/>
      <c r="H40" s="133"/>
      <c r="I40" s="133"/>
    </row>
    <row r="41" spans="1:15" ht="14.25">
      <c r="A41" s="1980" t="s">
        <v>2009</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49" t="s">
        <v>2012</v>
      </c>
      <c r="B45" s="3250"/>
      <c r="C45" s="3251"/>
      <c r="D45" s="159">
        <f ca="1">ROUND(H101*F45,0)</f>
        <v>35742</v>
      </c>
      <c r="E45" s="160" t="s">
        <v>2013</v>
      </c>
      <c r="F45" s="161">
        <v>1</v>
      </c>
      <c r="G45" s="162" t="s">
        <v>2014</v>
      </c>
      <c r="H45" s="133"/>
      <c r="I45" s="133"/>
      <c r="J45" s="3166" t="s">
        <v>2015</v>
      </c>
      <c r="K45" s="3166"/>
      <c r="L45" s="3166"/>
      <c r="M45" s="3166"/>
      <c r="N45" s="3166"/>
      <c r="O45" s="3166"/>
    </row>
    <row r="46" spans="1:15" ht="14.25" customHeight="1">
      <c r="A46" s="3246" t="s">
        <v>2016</v>
      </c>
      <c r="B46" s="3247"/>
      <c r="C46" s="3247"/>
      <c r="D46" s="3247"/>
      <c r="E46" s="3247"/>
      <c r="F46" s="3247"/>
      <c r="G46" s="3248"/>
      <c r="H46" s="1990"/>
      <c r="I46" s="163"/>
      <c r="J46" s="2747">
        <v>1</v>
      </c>
      <c r="K46" s="3167" t="s">
        <v>2017</v>
      </c>
      <c r="L46" s="3167"/>
      <c r="M46" s="3168"/>
      <c r="N46" s="3168"/>
      <c r="O46" s="3168"/>
    </row>
    <row r="47" spans="1:15" ht="12" customHeight="1">
      <c r="A47" s="164" t="s">
        <v>2018</v>
      </c>
      <c r="B47" s="165"/>
      <c r="C47" s="166"/>
      <c r="D47" s="1245" t="s">
        <v>2019</v>
      </c>
      <c r="E47" s="307" t="s">
        <v>2020</v>
      </c>
      <c r="F47" s="167" t="s">
        <v>2021</v>
      </c>
      <c r="G47" s="2770" t="s">
        <v>2022</v>
      </c>
      <c r="H47" s="2771"/>
      <c r="I47" s="163"/>
      <c r="J47" s="2747">
        <v>2</v>
      </c>
      <c r="K47" s="3167" t="s">
        <v>2023</v>
      </c>
      <c r="L47" s="3167"/>
      <c r="M47" s="3169">
        <f>'数据-取费表'!B2</f>
        <v>44439</v>
      </c>
      <c r="N47" s="3169"/>
      <c r="O47" s="3169"/>
    </row>
    <row r="48" spans="1:15" ht="25.5">
      <c r="A48" s="3232" t="s">
        <v>2024</v>
      </c>
      <c r="B48" s="3233"/>
      <c r="C48" s="3233"/>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67" t="s">
        <v>2026</v>
      </c>
      <c r="L48" s="3167"/>
      <c r="M48" s="3170">
        <f ca="1">H101</f>
        <v>35742</v>
      </c>
      <c r="N48" s="3170"/>
      <c r="O48" s="3170"/>
    </row>
    <row r="49" spans="1:35" ht="25.5" customHeight="1">
      <c r="A49" s="2554" t="s">
        <v>2027</v>
      </c>
      <c r="B49" s="3215" t="s">
        <v>2028</v>
      </c>
      <c r="C49" s="3215"/>
      <c r="D49" s="1773">
        <v>0</v>
      </c>
      <c r="E49" s="329" t="s">
        <v>2029</v>
      </c>
      <c r="F49" s="2648" t="s">
        <v>34</v>
      </c>
      <c r="G49" s="3198"/>
      <c r="H49" s="2526" t="s">
        <v>2877</v>
      </c>
      <c r="I49" s="2527"/>
      <c r="J49" s="2747">
        <v>4</v>
      </c>
      <c r="K49" s="3167" t="str">
        <f>IF(项目基本情况!E8="房地产抵押价值","房地产抵押价值","抵押担保权已注销时的房地产抵押价值")</f>
        <v>房地产抵押价值</v>
      </c>
      <c r="L49" s="3167"/>
      <c r="M49" s="3170">
        <f ca="1">IF(项目基本情况!E8="房地产抵押价值",H107,H109)</f>
        <v>35742</v>
      </c>
      <c r="N49" s="3170"/>
      <c r="O49" s="3170"/>
    </row>
    <row r="50" spans="1:35" ht="25.5" customHeight="1">
      <c r="A50" s="2775"/>
      <c r="B50" s="3215" t="s">
        <v>2030</v>
      </c>
      <c r="C50" s="3215"/>
      <c r="D50" s="2776"/>
      <c r="E50" s="337"/>
      <c r="F50" s="2648"/>
      <c r="G50" s="3199"/>
      <c r="H50" s="2528" t="s">
        <v>2878</v>
      </c>
      <c r="I50" s="2527"/>
      <c r="J50" s="3166" t="s">
        <v>2031</v>
      </c>
      <c r="K50" s="3166"/>
      <c r="L50" s="3166"/>
      <c r="M50" s="3166"/>
      <c r="N50" s="3166"/>
      <c r="O50" s="3166"/>
    </row>
    <row r="51" spans="1:35" ht="20.45" customHeight="1">
      <c r="A51" s="2777"/>
      <c r="B51" s="3215" t="s">
        <v>2032</v>
      </c>
      <c r="C51" s="3215"/>
      <c r="D51" s="1245"/>
      <c r="E51" s="332"/>
      <c r="F51" s="2648"/>
      <c r="G51" s="3200"/>
      <c r="H51" s="2528" t="s">
        <v>2879</v>
      </c>
      <c r="I51" s="2527"/>
      <c r="J51" s="2748" t="s">
        <v>2033</v>
      </c>
      <c r="K51" s="3167" t="s">
        <v>2034</v>
      </c>
      <c r="L51" s="3167"/>
      <c r="M51" s="2748" t="s">
        <v>2035</v>
      </c>
      <c r="N51" s="2748" t="s">
        <v>2036</v>
      </c>
      <c r="O51" s="2748" t="s">
        <v>2037</v>
      </c>
    </row>
    <row r="52" spans="1:35" ht="24" customHeight="1">
      <c r="A52" s="2556" t="s">
        <v>2038</v>
      </c>
      <c r="B52" s="3215" t="s">
        <v>2039</v>
      </c>
      <c r="C52" s="3215"/>
      <c r="D52" s="1245">
        <f ca="1">ROUND(D45*'数据-取费表'!B41/(1+'数据-取费表'!C42),0)</f>
        <v>1906</v>
      </c>
      <c r="E52" s="2555" t="s">
        <v>2040</v>
      </c>
      <c r="F52" s="2778">
        <f>'数据-取费表'!B41</f>
        <v>5.6000000000000001E-2</v>
      </c>
      <c r="G52" s="2779"/>
      <c r="H52" s="2768"/>
      <c r="I52" s="1991"/>
      <c r="J52" s="2747">
        <v>1</v>
      </c>
      <c r="K52" s="3192" t="s">
        <v>2041</v>
      </c>
      <c r="L52" s="3192"/>
      <c r="M52" s="2749" t="b">
        <f>D48</f>
        <v>0</v>
      </c>
      <c r="N52" s="2747" t="str">
        <f>E48</f>
        <v>销售额×税（费）率</v>
      </c>
      <c r="O52" s="2750">
        <f>F48</f>
        <v>5.6000000000000001E-2</v>
      </c>
    </row>
    <row r="53" spans="1:35" ht="12" customHeight="1">
      <c r="A53" s="2556" t="s">
        <v>2042</v>
      </c>
      <c r="B53" s="3216" t="s">
        <v>3038</v>
      </c>
      <c r="C53" s="3217"/>
      <c r="D53" s="1245">
        <f ca="1">ROUND(D45*'数据-取费表'!B41/(1+'数据-取费表'!C42),0)</f>
        <v>1906</v>
      </c>
      <c r="E53" s="2555" t="s">
        <v>2040</v>
      </c>
      <c r="F53" s="2778">
        <f>'数据-取费表'!B41</f>
        <v>5.6000000000000001E-2</v>
      </c>
      <c r="G53" s="2779"/>
      <c r="H53" s="2768"/>
      <c r="I53" s="1991"/>
      <c r="J53" s="2747">
        <v>2</v>
      </c>
      <c r="K53" s="3192" t="s">
        <v>2043</v>
      </c>
      <c r="L53" s="3192"/>
      <c r="M53" s="2749">
        <f t="shared" ref="M53:O54" ca="1" si="0">D55</f>
        <v>18</v>
      </c>
      <c r="N53" s="2747" t="str">
        <f t="shared" si="0"/>
        <v>销售额×税（费）率</v>
      </c>
      <c r="O53" s="2750" t="str">
        <f t="shared" si="0"/>
        <v>免征</v>
      </c>
    </row>
    <row r="54" spans="1:35" ht="12" customHeight="1">
      <c r="A54" s="2556" t="s">
        <v>2044</v>
      </c>
      <c r="B54" s="3216" t="s">
        <v>3039</v>
      </c>
      <c r="C54" s="3217"/>
      <c r="D54" s="1245">
        <f ca="1">C68</f>
        <v>1906</v>
      </c>
      <c r="E54" s="332" t="s">
        <v>2045</v>
      </c>
      <c r="F54" s="2778">
        <f>'数据-取费表'!B41</f>
        <v>5.6000000000000001E-2</v>
      </c>
      <c r="G54" s="2779"/>
      <c r="H54" s="2780"/>
      <c r="I54" s="1991"/>
      <c r="J54" s="2747">
        <v>3</v>
      </c>
      <c r="K54" s="3192" t="s">
        <v>2046</v>
      </c>
      <c r="L54" s="3192"/>
      <c r="M54" s="2749">
        <f t="shared" ca="1" si="0"/>
        <v>20230</v>
      </c>
      <c r="N54" s="2747" t="str">
        <f t="shared" si="0"/>
        <v>增值额×税（费）率</v>
      </c>
      <c r="O54" s="2751" t="str">
        <f t="shared" si="0"/>
        <v>免征</v>
      </c>
    </row>
    <row r="55" spans="1:35" ht="24" customHeight="1">
      <c r="A55" s="3255" t="s">
        <v>2047</v>
      </c>
      <c r="B55" s="3233"/>
      <c r="C55" s="3233"/>
      <c r="D55" s="2545">
        <f ca="1">IF(H55="个人住宅",0,ROUND(D45*I55,0))</f>
        <v>18</v>
      </c>
      <c r="E55" s="2555" t="s">
        <v>2048</v>
      </c>
      <c r="F55" s="2778" t="str">
        <f>IF(H55="正常",I55,"免征")</f>
        <v>免征</v>
      </c>
      <c r="G55" s="2779"/>
      <c r="H55" s="2774"/>
      <c r="I55" s="169">
        <f>'数据-取费表'!B49</f>
        <v>5.0000000000000001E-4</v>
      </c>
      <c r="J55" s="2747">
        <f>IF(H59="非个人房产","",4)</f>
        <v>4</v>
      </c>
      <c r="K55" s="3192" t="str">
        <f>IF(H59="非个人房产","——","个人所得税")</f>
        <v>个人所得税</v>
      </c>
      <c r="L55" s="3192"/>
      <c r="M55" s="2752">
        <f ca="1">D59</f>
        <v>340</v>
      </c>
      <c r="N55" s="2226" t="str">
        <f>E59</f>
        <v>差额计税</v>
      </c>
      <c r="O55" s="2753">
        <f>F59</f>
        <v>0.01</v>
      </c>
    </row>
    <row r="56" spans="1:35" ht="24.75">
      <c r="A56" s="3255" t="s">
        <v>2049</v>
      </c>
      <c r="B56" s="3233"/>
      <c r="C56" s="3233"/>
      <c r="D56" s="2545">
        <f ca="1">IF(H56="个人住宅",D57,D58)</f>
        <v>20230</v>
      </c>
      <c r="E56" s="2555" t="s">
        <v>2050</v>
      </c>
      <c r="F56" s="2778" t="str">
        <f>IF(H56="正常",F58,"免征")</f>
        <v>免征</v>
      </c>
      <c r="G56" s="2781" t="s">
        <v>2051</v>
      </c>
      <c r="H56" s="2782"/>
      <c r="I56" s="1992"/>
      <c r="J56" s="2747" t="str">
        <f>IF(项目基本情况!K6="上海银行",IF(J55="",4,J55+1),"")</f>
        <v/>
      </c>
      <c r="K56" s="3173" t="str">
        <f>IF(项目基本情况!K6="上海银行","其他处置费用","")</f>
        <v/>
      </c>
      <c r="L56" s="3174"/>
      <c r="M56" s="2749" t="str">
        <f>IF(项目基本情况!K6="上海银行",M69,"")</f>
        <v/>
      </c>
      <c r="N56" s="3173" t="str">
        <f>IF(项目基本情况!K6="上海银行","包含处置中涉及的律师、诉讼、拍卖、评估等费用","")</f>
        <v/>
      </c>
      <c r="O56" s="3176"/>
    </row>
    <row r="57" spans="1:35" ht="12.75">
      <c r="A57" s="2556" t="s">
        <v>2027</v>
      </c>
      <c r="B57" s="3216" t="s">
        <v>2052</v>
      </c>
      <c r="C57" s="3217"/>
      <c r="D57" s="1773">
        <v>0</v>
      </c>
      <c r="E57" s="329" t="s">
        <v>2029</v>
      </c>
      <c r="F57" s="307"/>
      <c r="G57" s="2779"/>
      <c r="H57" s="2783"/>
      <c r="I57" s="1992"/>
      <c r="J57" s="3192">
        <f>IF(AND(J55="",J56=""),4,IF(项目基本情况!K6="上海银行",结果表!J56+1,结果表!J55+1))</f>
        <v>5</v>
      </c>
      <c r="K57" s="3192" t="s">
        <v>2053</v>
      </c>
      <c r="L57" s="2754" t="s">
        <v>2054</v>
      </c>
      <c r="M57" s="2755"/>
      <c r="N57" s="2756">
        <f ca="1">SUMIF(M52:M56,"&lt;9e307")</f>
        <v>20588</v>
      </c>
      <c r="O57" s="2757"/>
      <c r="P57" s="2917">
        <f ca="1">N57/M49</f>
        <v>0.57601701079961953</v>
      </c>
    </row>
    <row r="58" spans="1:35" ht="24.75">
      <c r="A58" s="2556" t="s">
        <v>2038</v>
      </c>
      <c r="B58" s="3216" t="s">
        <v>2055</v>
      </c>
      <c r="C58" s="3215"/>
      <c r="D58" s="2545">
        <f ca="1">IF(H58="转让取得",C81,C97)</f>
        <v>20230</v>
      </c>
      <c r="E58" s="2555" t="s">
        <v>2050</v>
      </c>
      <c r="F58" s="307" t="s">
        <v>34</v>
      </c>
      <c r="G58" s="2779"/>
      <c r="H58" s="2782"/>
      <c r="I58" s="1992"/>
      <c r="J58" s="3192"/>
      <c r="K58" s="3192"/>
      <c r="L58" s="2754" t="s">
        <v>2056</v>
      </c>
      <c r="M58" s="2758"/>
      <c r="N58" s="2759" t="str">
        <f ca="1">NUMBERSTRING(INT(N57*10000),2)&amp;"元整"</f>
        <v>贰亿零伍佰捌拾捌万元整</v>
      </c>
      <c r="O58" s="2760"/>
    </row>
    <row r="59" spans="1:35" ht="24.75" thickBot="1">
      <c r="A59" s="3196" t="s">
        <v>2057</v>
      </c>
      <c r="B59" s="3197"/>
      <c r="C59" s="3197"/>
      <c r="D59" s="2784">
        <f ca="1">IF(H59="非个人房产","——",IF(H59="个人住宅（满五唯一有凭证）",0,IF(H59="个人其他（无凭证）",ROUND(D45*F59,0),ROUND(C67*F59,0))))</f>
        <v>340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2880</v>
      </c>
      <c r="J59" s="3194">
        <f>J57+1</f>
        <v>6</v>
      </c>
      <c r="K59" s="3192" t="s">
        <v>2058</v>
      </c>
      <c r="L59" s="2747" t="s">
        <v>2054</v>
      </c>
      <c r="M59" s="2761"/>
      <c r="N59" s="2762">
        <f ca="1">M49-N57</f>
        <v>15154</v>
      </c>
      <c r="O59" s="2763"/>
    </row>
    <row r="60" spans="1:35" ht="12" customHeight="1">
      <c r="A60" s="1993"/>
      <c r="B60" s="1931"/>
      <c r="C60" s="1931"/>
      <c r="D60" s="1931"/>
      <c r="E60" s="1761"/>
      <c r="F60" s="1992"/>
      <c r="G60" s="1992"/>
      <c r="H60" s="1994"/>
      <c r="I60" s="133"/>
      <c r="J60" s="3195"/>
      <c r="K60" s="3192"/>
      <c r="L60" s="2754" t="s">
        <v>2056</v>
      </c>
      <c r="M60" s="2758"/>
      <c r="N60" s="2759" t="str">
        <f ca="1">NUMBERSTRING(INT(N59*10000),2)&amp;"元整"</f>
        <v>壹亿伍仟壹佰伍拾肆万元整</v>
      </c>
      <c r="O60" s="2760"/>
    </row>
    <row r="61" spans="1:35" ht="13.5" thickBot="1">
      <c r="A61" s="3254" t="s">
        <v>2059</v>
      </c>
      <c r="B61" s="3254"/>
      <c r="C61" s="3254"/>
      <c r="D61" s="3254"/>
      <c r="E61" s="3254"/>
      <c r="F61" s="1992"/>
      <c r="G61" s="1992"/>
      <c r="H61" s="1994"/>
      <c r="I61" s="133"/>
      <c r="J61" s="2747">
        <f>J59+1</f>
        <v>7</v>
      </c>
      <c r="K61" s="3192" t="s">
        <v>2060</v>
      </c>
      <c r="L61" s="3192"/>
      <c r="M61" s="2764"/>
      <c r="N61" s="2765">
        <f ca="1">ROUND(N59*10000/'数据-汇总表'!E3,0)</f>
        <v>3351</v>
      </c>
      <c r="O61" s="2766"/>
    </row>
    <row r="62" spans="1:35" ht="12.75">
      <c r="A62" s="3211" t="s">
        <v>2061</v>
      </c>
      <c r="B62" s="3212"/>
      <c r="C62" s="2207"/>
      <c r="D62" s="2207" t="s">
        <v>2062</v>
      </c>
      <c r="E62" s="170" t="s">
        <v>2063</v>
      </c>
      <c r="F62" s="1992"/>
      <c r="G62" s="1992"/>
      <c r="H62" s="1994"/>
      <c r="I62" s="133"/>
    </row>
    <row r="63" spans="1:35" ht="12.75">
      <c r="A63" s="177" t="s">
        <v>775</v>
      </c>
      <c r="B63" s="171" t="s">
        <v>2064</v>
      </c>
      <c r="C63" s="2788">
        <f ca="1">ROUND((C64+C65)/(1+'数据-取费表'!C42),0)</f>
        <v>34040</v>
      </c>
      <c r="D63" s="171"/>
      <c r="E63" s="172"/>
      <c r="F63" s="1992"/>
      <c r="G63" s="1992"/>
      <c r="H63" s="1994"/>
      <c r="I63" s="133"/>
      <c r="J63" s="3175" t="s">
        <v>2065</v>
      </c>
      <c r="K63" s="1499" t="s">
        <v>2066</v>
      </c>
      <c r="L63" s="1499">
        <f ca="1">IF(M49&gt;10000,M49*0.5%,IF(AND(M49&gt;1000,M49&lt;=10000),M49*1%,IF(AND(M49&gt;100,M49&lt;=1000),M49*3%,IF(AND(M49&gt;10,M49&lt;=100),M49*5%,M49*8%))))</f>
        <v>178.71</v>
      </c>
      <c r="M63" s="307">
        <f ca="1">ROUND(L63,1)</f>
        <v>178.7</v>
      </c>
      <c r="N63" s="2767"/>
      <c r="Z63" s="1936"/>
      <c r="AI63" s="1937"/>
    </row>
    <row r="64" spans="1:35" ht="14.25" customHeight="1">
      <c r="A64" s="173" t="s">
        <v>770</v>
      </c>
      <c r="B64" s="174" t="s">
        <v>2067</v>
      </c>
      <c r="C64" s="2789">
        <f ca="1">D45</f>
        <v>35742</v>
      </c>
      <c r="D64" s="174" t="s">
        <v>32</v>
      </c>
      <c r="E64" s="176"/>
      <c r="F64" s="1992"/>
      <c r="G64" s="1992"/>
      <c r="H64" s="1994"/>
      <c r="I64" s="133"/>
      <c r="J64" s="3175"/>
      <c r="K64" s="1499" t="s">
        <v>2068</v>
      </c>
      <c r="L64" s="1499">
        <f ca="1">IF(M49&gt;2000,M49*0.5%,IF(AND(M49&gt;1000,M49&lt;=2000),M49*0.6%,IF(AND(M49&gt;500,M49&lt;=1000),M49*0.7%,IF(AND(M49&gt;200,M49&lt;=500),M49*0.8%,IF(AND(M49&gt;100,M49&lt;=200),M49*0.9%,IF(AND(M49&gt;50,M49&lt;=100),M49*1%,IF(AND(M49&gt;20,M49&lt;=50),M49*1.5%,IF(AND(M49&gt;10,M49&lt;=20),M49*2%,IF(AND(M49&gt;1,M49&lt;=10),M49*2.5%)))))))))</f>
        <v>178.71</v>
      </c>
      <c r="M64" s="307">
        <f t="shared" ref="M64:M65" ca="1" si="1">ROUND(L64,1)</f>
        <v>178.7</v>
      </c>
      <c r="N64" s="2768" t="s">
        <v>2069</v>
      </c>
      <c r="Z64" s="1936"/>
      <c r="AI64" s="1937"/>
    </row>
    <row r="65" spans="1:35" ht="14.25" customHeight="1">
      <c r="A65" s="173" t="s">
        <v>771</v>
      </c>
      <c r="B65" s="174" t="s">
        <v>2070</v>
      </c>
      <c r="C65" s="2790"/>
      <c r="D65" s="174"/>
      <c r="E65" s="176"/>
      <c r="F65" s="1992"/>
      <c r="G65" s="1992"/>
      <c r="H65" s="1994"/>
      <c r="I65" s="133"/>
      <c r="J65" s="3175"/>
      <c r="K65" s="1499" t="s">
        <v>2071</v>
      </c>
      <c r="L65" s="1499">
        <f ca="1">IF(M49&gt;1000,M49*0.1%,IF(AND(M49&gt;500,M49&lt;=1000),M49*0.5%,IF(AND(M49&gt;50,M49&lt;=500),M49*1%,IF(AND(M49&gt;1,M49&lt;=50),M49*1.5%))))</f>
        <v>35.741999999999997</v>
      </c>
      <c r="M65" s="307">
        <f t="shared" ca="1" si="1"/>
        <v>35.700000000000003</v>
      </c>
      <c r="N65" s="2768" t="s">
        <v>2069</v>
      </c>
      <c r="Z65" s="1936"/>
      <c r="AI65" s="1937"/>
    </row>
    <row r="66" spans="1:35" ht="14.25" customHeight="1">
      <c r="A66" s="177" t="s">
        <v>772</v>
      </c>
      <c r="B66" s="178" t="s">
        <v>2072</v>
      </c>
      <c r="C66" s="2791"/>
      <c r="D66" s="178" t="s">
        <v>32</v>
      </c>
      <c r="E66" s="1507" t="s">
        <v>1337</v>
      </c>
      <c r="F66" s="1992"/>
      <c r="G66" s="1992"/>
      <c r="H66" s="1994"/>
      <c r="I66" s="133"/>
      <c r="J66" s="3175"/>
      <c r="K66" s="1499" t="s">
        <v>2073</v>
      </c>
      <c r="L66" s="1499">
        <f ca="1">M49*0.5%</f>
        <v>178.71</v>
      </c>
      <c r="M66" s="307">
        <f ca="1">IF(L66&gt;0.5,0.5,ROUND(L66,0))</f>
        <v>0.5</v>
      </c>
      <c r="N66" s="2768" t="s">
        <v>2074</v>
      </c>
      <c r="Z66" s="1936"/>
      <c r="AI66" s="1937"/>
    </row>
    <row r="67" spans="1:35" ht="14.25" customHeight="1">
      <c r="A67" s="177" t="s">
        <v>773</v>
      </c>
      <c r="B67" s="178" t="s">
        <v>2075</v>
      </c>
      <c r="C67" s="2792">
        <f ca="1">C63-C66</f>
        <v>34040</v>
      </c>
      <c r="D67" s="174" t="s">
        <v>32</v>
      </c>
      <c r="E67" s="176"/>
      <c r="F67" s="1992"/>
      <c r="G67" s="1992"/>
      <c r="H67" s="1994"/>
      <c r="I67" s="133"/>
      <c r="J67" s="3175"/>
      <c r="K67" s="1499" t="s">
        <v>2076</v>
      </c>
      <c r="L67" s="1499">
        <f ca="1">IF(M49&gt;=10000,(8.25+(M49-10000)*0.01%),IF(AND(M49&gt;=8000,M49&lt;10000),(7.85+(M49-8000)*0.02%),IF(AND(M49&gt;=5000,M49&lt;8000),(6.65+(M49-5000)*0.04%),IF(AND(M49&gt;=2000,M49&lt;5000),(4.25+(PM49-2000)*0.08%),IF(AND(M49&gt;=1000,M49&lt;2000),(2.75+(M49-1000)*0.15%),IF(AND(M49&gt;=100,M49&lt;1000),(0.5+(M49-100)*0.25%),IF(AND(M49&gt;0,M49&lt;100),M49*0.5%)))))))</f>
        <v>10.824200000000001</v>
      </c>
      <c r="M67" s="307">
        <f ca="1">ROUND(L67*0.9,1)</f>
        <v>9.6999999999999993</v>
      </c>
      <c r="N67" s="2767"/>
      <c r="Z67" s="1936"/>
      <c r="AI67" s="1937"/>
    </row>
    <row r="68" spans="1:35" ht="14.25" customHeight="1" thickBot="1">
      <c r="A68" s="180" t="s">
        <v>774</v>
      </c>
      <c r="B68" s="181" t="s">
        <v>2077</v>
      </c>
      <c r="C68" s="2793">
        <f ca="1">IF(C67&lt;=0,0,ROUND(C67*D68,0))</f>
        <v>1906</v>
      </c>
      <c r="D68" s="2794">
        <f>'数据-取费表'!B41</f>
        <v>5.6000000000000001E-2</v>
      </c>
      <c r="E68" s="183"/>
      <c r="F68" s="1992"/>
      <c r="G68" s="1992"/>
      <c r="H68" s="1994"/>
      <c r="I68" s="133"/>
      <c r="J68" s="3175"/>
      <c r="K68" s="1499" t="s">
        <v>2078</v>
      </c>
      <c r="L68" s="1499">
        <f ca="1">IF(M49&gt;10000,M49*0.5%,IF(AND(M49&gt;5000,M49&lt;=10000),M49*1%,IF(AND(M49&gt;1000,M49&lt;=5000),M49*2%,IF(AND(M49&gt;200,M49&lt;=1000),M49*3%,M49*5%))))</f>
        <v>178.71</v>
      </c>
      <c r="M68" s="307">
        <f ca="1">ROUND(L68,1)</f>
        <v>178.7</v>
      </c>
      <c r="N68" s="2767"/>
      <c r="Z68" s="1936"/>
      <c r="AI68" s="1937"/>
    </row>
    <row r="69" spans="1:35" s="1956" customFormat="1" ht="16.5" customHeight="1">
      <c r="A69" s="1995"/>
      <c r="B69" s="1996"/>
      <c r="C69" s="1997"/>
      <c r="D69" s="1998"/>
      <c r="E69" s="1999"/>
      <c r="F69" s="1761"/>
      <c r="G69" s="1761"/>
      <c r="H69" s="1760"/>
      <c r="I69" s="1931"/>
      <c r="J69" s="3175"/>
      <c r="K69" s="1499" t="s">
        <v>2079</v>
      </c>
      <c r="L69" s="1499"/>
      <c r="M69" s="307">
        <f ca="1">ROUND(SUM(M63:M68),0)</f>
        <v>582</v>
      </c>
      <c r="N69" s="2769">
        <f ca="1">M69/M49</f>
        <v>1.6283364109451064E-2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19" t="s">
        <v>2080</v>
      </c>
      <c r="B70" s="3220"/>
      <c r="C70" s="3220"/>
      <c r="D70" s="3220"/>
      <c r="E70" s="3220"/>
      <c r="F70" s="3220"/>
      <c r="G70" s="3220"/>
      <c r="H70" s="322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1" t="s">
        <v>2061</v>
      </c>
      <c r="B71" s="3212"/>
      <c r="C71" s="2207"/>
      <c r="D71" s="2207" t="s">
        <v>2062</v>
      </c>
      <c r="E71" s="184" t="s">
        <v>2063</v>
      </c>
      <c r="F71" s="185"/>
      <c r="G71" s="185"/>
      <c r="H71" s="186"/>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2081</v>
      </c>
      <c r="C72" s="2792">
        <f ca="1">ROUND(D45/(1+'数据-取费表'!C42),0)</f>
        <v>34040</v>
      </c>
      <c r="D72" s="174" t="s">
        <v>32</v>
      </c>
      <c r="E72" s="2552"/>
      <c r="F72" s="2551"/>
      <c r="G72" s="2551"/>
      <c r="H72" s="187"/>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2082</v>
      </c>
      <c r="C73" s="2792">
        <f ca="1">C74+C78</f>
        <v>204</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2083</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2084</v>
      </c>
      <c r="C75" s="2795"/>
      <c r="D75" s="174" t="s">
        <v>32</v>
      </c>
      <c r="E75" s="189" t="s">
        <v>2085</v>
      </c>
      <c r="F75" s="2796"/>
      <c r="G75" s="189"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2087</v>
      </c>
      <c r="C76" s="174">
        <f>IF(F75="购房发票",ROUND(C75*H75*D76,0),0)</f>
        <v>0</v>
      </c>
      <c r="D76" s="2798">
        <v>0.05</v>
      </c>
      <c r="E76" s="3216" t="s">
        <v>2088</v>
      </c>
      <c r="F76" s="3215"/>
      <c r="G76" s="3215"/>
      <c r="H76" s="321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2089</v>
      </c>
      <c r="C77" s="174">
        <f>ROUND(IF(G77="个人住宅",0,IF(G77="2016年5月1日前购买",C75*D77,C75*D77/(1+'数据-取费表'!C42))),0)</f>
        <v>0</v>
      </c>
      <c r="D77" s="2799">
        <f>'数据-取费表'!B48+'数据-取费表'!B49</f>
        <v>3.0499999999999999E-2</v>
      </c>
      <c r="E77" s="2545" t="s">
        <v>2090</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2091</v>
      </c>
      <c r="C78" s="2800">
        <f ca="1">ROUND(D45*D78/(1+'数据-取费表'!C42),0)</f>
        <v>204</v>
      </c>
      <c r="D78" s="2801">
        <f>'数据-取费表'!B43</f>
        <v>6.000000000000001E-3</v>
      </c>
      <c r="E78" s="3208" t="s">
        <v>2092</v>
      </c>
      <c r="F78" s="3209"/>
      <c r="G78" s="3209"/>
      <c r="H78" s="3210"/>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2093</v>
      </c>
      <c r="C79" s="2792">
        <f ca="1">C72-C73</f>
        <v>33836</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2094</v>
      </c>
      <c r="C80" s="2802">
        <f ca="1">IF(C79&lt;=0,0,C79/C73)</f>
        <v>165.86274509803923</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2095</v>
      </c>
      <c r="C81" s="2803">
        <f ca="1">ROUND(IF(C79&lt;=0,0,IF(C80&gt;=200%,C79*60%-C73*35%,IF(C80&gt;=100%,C79*50%-C73*15%,IF(C80&gt;=50%,C79*40%-C73*5%,IF(C80&lt;50%,C79*30%,0))))),0)</f>
        <v>20230</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19" t="s">
        <v>2096</v>
      </c>
      <c r="B83" s="3220"/>
      <c r="C83" s="3220"/>
      <c r="D83" s="3220"/>
      <c r="E83" s="3220"/>
      <c r="F83" s="3220"/>
      <c r="G83" s="3220"/>
      <c r="H83" s="322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1" t="s">
        <v>2061</v>
      </c>
      <c r="B84" s="3212"/>
      <c r="C84" s="2207"/>
      <c r="D84" s="2207" t="s">
        <v>2062</v>
      </c>
      <c r="E84" s="184" t="s">
        <v>2063</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2081</v>
      </c>
      <c r="C85" s="2792">
        <f ca="1">ROUND(D45/(1+'数据-取费表'!C42),0)</f>
        <v>34040</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2082</v>
      </c>
      <c r="C86" s="2792">
        <f ca="1">IF(H88="仅含出让金",C87+C90+C91+C92+C93+C94,C87+C91+C92+C93+C94)</f>
        <v>204</v>
      </c>
      <c r="D86" s="2805"/>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2098</v>
      </c>
      <c r="C88" s="2806"/>
      <c r="D88" s="2801"/>
      <c r="E88" s="198" t="s">
        <v>2099</v>
      </c>
      <c r="F88" s="2548"/>
      <c r="G88" s="199" t="s">
        <v>2100</v>
      </c>
      <c r="H88" s="2008"/>
      <c r="I88" s="2005"/>
      <c r="J88" s="2745" t="s">
        <v>3035</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2089</v>
      </c>
      <c r="C89" s="2800">
        <f>ROUND(C88*D89,0)</f>
        <v>0</v>
      </c>
      <c r="D89" s="2801">
        <f>'数据-取费表'!B48+'数据-取费表'!B49</f>
        <v>3.0499999999999999E-2</v>
      </c>
      <c r="E89" s="198"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2102</v>
      </c>
      <c r="C90" s="2806"/>
      <c r="D90" s="2801"/>
      <c r="E90" s="198" t="str">
        <f>IF(H88="-","土地取得成本中已包含该笔费用"," ")</f>
        <v xml:space="preserve"> </v>
      </c>
      <c r="F90" s="2548"/>
      <c r="G90" s="3177" t="s">
        <v>2872</v>
      </c>
      <c r="H90" s="3178"/>
      <c r="I90" s="2005"/>
      <c r="J90" s="2745" t="s">
        <v>3036</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2103</v>
      </c>
      <c r="B91" s="174" t="s">
        <v>2104</v>
      </c>
      <c r="C91" s="2800">
        <f>IF(H91="——",成本法!C33,I91)</f>
        <v>0</v>
      </c>
      <c r="D91" s="2801"/>
      <c r="E91" s="3208" t="s">
        <v>2105</v>
      </c>
      <c r="F91" s="3209"/>
      <c r="G91" s="3209"/>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2106</v>
      </c>
      <c r="B92" s="174" t="s">
        <v>2107</v>
      </c>
      <c r="C92" s="2800">
        <f>ROUND((C87+C90+C91)*D92,0)</f>
        <v>0</v>
      </c>
      <c r="D92" s="2807"/>
      <c r="E92" s="3208" t="s">
        <v>2108</v>
      </c>
      <c r="F92" s="3209"/>
      <c r="G92" s="3209"/>
      <c r="H92" s="3210"/>
      <c r="I92" s="2005"/>
      <c r="J92" s="2746" t="s">
        <v>3037</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2109</v>
      </c>
      <c r="B93" s="174" t="s">
        <v>2091</v>
      </c>
      <c r="C93" s="2800">
        <f ca="1">ROUND(D45*D93/(1+'数据-取费表'!C42),0)</f>
        <v>204</v>
      </c>
      <c r="D93" s="2801">
        <f>'数据-取费表'!B43</f>
        <v>6.000000000000001E-3</v>
      </c>
      <c r="E93" s="3208" t="s">
        <v>2092</v>
      </c>
      <c r="F93" s="3209"/>
      <c r="G93" s="3209"/>
      <c r="H93" s="321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2110</v>
      </c>
      <c r="B94" s="174" t="s">
        <v>2111</v>
      </c>
      <c r="C94" s="2806">
        <f>ROUND((C87+C90+C91)*D94,0)</f>
        <v>0</v>
      </c>
      <c r="D94" s="2801">
        <v>0.2</v>
      </c>
      <c r="E94" s="3256" t="s">
        <v>2112</v>
      </c>
      <c r="F94" s="3257"/>
      <c r="G94" s="3257"/>
      <c r="H94" s="3258"/>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2093</v>
      </c>
      <c r="C95" s="2792">
        <f ca="1">ROUND(C85-C86,0)</f>
        <v>33836</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2094</v>
      </c>
      <c r="C96" s="2802">
        <f ca="1">IF(C95&lt;=0,0,C95/C86)</f>
        <v>165.86274509803923</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2095</v>
      </c>
      <c r="C97" s="2803">
        <f ca="1">ROUND(IF(C95&lt;=0,0,IF(C96&gt;=200%,C95*60%-C86*35%,IF(C96&gt;=100%,C95*50%-C86*15%,IF(C96&gt;=50%,C95*40%-C86*5%,IF(C96&lt;50%,C95*30%,0))))),0)</f>
        <v>20230</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2113</v>
      </c>
      <c r="B99" s="1931"/>
      <c r="C99" s="1931"/>
      <c r="D99" s="1931"/>
      <c r="E99" s="1761"/>
      <c r="F99" s="1761"/>
      <c r="G99" s="1761"/>
      <c r="H99" s="1760"/>
      <c r="I99" s="133"/>
    </row>
    <row r="100" spans="1:35" ht="18.75" customHeight="1">
      <c r="A100" s="3158" t="s">
        <v>2114</v>
      </c>
      <c r="B100" s="3159"/>
      <c r="C100" s="3159"/>
      <c r="D100" s="3193"/>
      <c r="E100" s="3159" t="s">
        <v>2115</v>
      </c>
      <c r="F100" s="3159"/>
      <c r="G100" s="3159"/>
      <c r="H100" s="3193"/>
      <c r="I100" s="133"/>
    </row>
    <row r="101" spans="1:35" ht="18.75" customHeight="1">
      <c r="A101" s="3201" t="s">
        <v>2116</v>
      </c>
      <c r="B101" s="3202"/>
      <c r="C101" s="2809" t="str">
        <f>C4</f>
        <v>成本法</v>
      </c>
      <c r="D101" s="2810" t="str">
        <f>D4</f>
        <v>收益法</v>
      </c>
      <c r="E101" s="3171" t="s">
        <v>2117</v>
      </c>
      <c r="F101" s="3172"/>
      <c r="G101" s="2011" t="s">
        <v>2118</v>
      </c>
      <c r="H101" s="2819">
        <f ca="1">H118</f>
        <v>35742</v>
      </c>
      <c r="I101" s="133"/>
    </row>
    <row r="102" spans="1:35" ht="18.75" customHeight="1">
      <c r="A102" s="3203" t="s">
        <v>2119</v>
      </c>
      <c r="B102" s="2808" t="s">
        <v>2118</v>
      </c>
      <c r="C102" s="2809">
        <f ca="1">C19</f>
        <v>42093</v>
      </c>
      <c r="D102" s="2810">
        <f ca="1">D19</f>
        <v>20922</v>
      </c>
      <c r="E102" s="3171"/>
      <c r="F102" s="3172"/>
      <c r="G102" s="2011" t="s">
        <v>2120</v>
      </c>
      <c r="H102" s="2779">
        <f ca="1">I118</f>
        <v>7904</v>
      </c>
      <c r="I102" s="133"/>
    </row>
    <row r="103" spans="1:35" ht="42.75" customHeight="1">
      <c r="A103" s="3203"/>
      <c r="B103" s="2808" t="s">
        <v>2120</v>
      </c>
      <c r="C103" s="2811">
        <f ca="1">C20</f>
        <v>9309</v>
      </c>
      <c r="D103" s="2812">
        <f ca="1">D20</f>
        <v>4627</v>
      </c>
      <c r="E103" s="3164" t="s">
        <v>2121</v>
      </c>
      <c r="F103" s="3165"/>
      <c r="G103" s="2012" t="s">
        <v>2122</v>
      </c>
      <c r="H103" s="2819">
        <f>IF(D36="正常操作",H104+H105+H106,H105+H106)</f>
        <v>0</v>
      </c>
      <c r="I103" s="133"/>
    </row>
    <row r="104" spans="1:35" ht="18.75" customHeight="1">
      <c r="A104" s="3203" t="s">
        <v>2123</v>
      </c>
      <c r="B104" s="2813" t="s">
        <v>2118</v>
      </c>
      <c r="C104" s="2814">
        <f ca="1">H118</f>
        <v>35742</v>
      </c>
      <c r="D104" s="2815"/>
      <c r="E104" s="1858" t="s">
        <v>2124</v>
      </c>
      <c r="F104" s="1849"/>
      <c r="G104" s="2012" t="s">
        <v>2122</v>
      </c>
      <c r="H104" s="2820">
        <f>IF(D36="同一抵押权人同一抵押物续贷",C36&amp;"（续贷，未扣减，详见特别提示）",C36)</f>
        <v>0</v>
      </c>
      <c r="I104" s="133"/>
    </row>
    <row r="105" spans="1:35" ht="18.75" customHeight="1" thickBot="1">
      <c r="A105" s="3213"/>
      <c r="B105" s="2816" t="s">
        <v>2120</v>
      </c>
      <c r="C105" s="2817">
        <f ca="1">I118</f>
        <v>7904</v>
      </c>
      <c r="D105" s="2818"/>
      <c r="E105" s="1858" t="s">
        <v>2125</v>
      </c>
      <c r="F105" s="1849"/>
      <c r="G105" s="2012" t="s">
        <v>2122</v>
      </c>
      <c r="H105" s="2821">
        <f>C37</f>
        <v>0</v>
      </c>
      <c r="I105" s="133"/>
    </row>
    <row r="106" spans="1:35" ht="18.75" customHeight="1">
      <c r="A106" s="1931" t="s">
        <v>2126</v>
      </c>
      <c r="B106" s="1931"/>
      <c r="C106" s="1931"/>
      <c r="D106" s="1931"/>
      <c r="E106" s="2013" t="s">
        <v>2127</v>
      </c>
      <c r="F106" s="1849"/>
      <c r="G106" s="2012" t="s">
        <v>2122</v>
      </c>
      <c r="H106" s="2821">
        <f>C38</f>
        <v>0</v>
      </c>
      <c r="I106" s="133"/>
    </row>
    <row r="107" spans="1:35" ht="18.75" customHeight="1">
      <c r="A107" s="133"/>
      <c r="B107" s="133"/>
      <c r="C107" s="133"/>
      <c r="D107" s="133"/>
      <c r="E107" s="3204" t="str">
        <f>IF(项目基本情况!E8="已注销","——","3.房地产抵押价值")</f>
        <v>3.房地产抵押价值</v>
      </c>
      <c r="F107" s="3172"/>
      <c r="G107" s="2011" t="s">
        <v>2118</v>
      </c>
      <c r="H107" s="2819">
        <f ca="1">IF(E107="——","——",H101-H103)</f>
        <v>35742</v>
      </c>
      <c r="I107" s="133"/>
    </row>
    <row r="108" spans="1:35" ht="18.75" customHeight="1">
      <c r="A108" s="133"/>
      <c r="B108" s="133"/>
      <c r="C108" s="133"/>
      <c r="D108" s="133"/>
      <c r="E108" s="3204"/>
      <c r="F108" s="3172"/>
      <c r="G108" s="2011" t="s">
        <v>2120</v>
      </c>
      <c r="H108" s="2779">
        <f ca="1">ROUND(H107*10000/'数据-汇总表'!E3,0)</f>
        <v>7904</v>
      </c>
      <c r="I108" s="133"/>
    </row>
    <row r="109" spans="1:35" ht="18.75" customHeight="1">
      <c r="A109" s="133"/>
      <c r="B109" s="133"/>
      <c r="C109" s="133"/>
      <c r="D109" s="133"/>
      <c r="E109" s="3204" t="str">
        <f>IF(项目基本情况!E8="已注销及未注销","4.抵押担保权已注销时的房地产抵押价值",IF(项目基本情况!E8="已注销","3.抵押担保权已注销时的房地产抵押价值","——"))</f>
        <v>——</v>
      </c>
      <c r="F109" s="3172"/>
      <c r="G109" s="2011" t="s">
        <v>2118</v>
      </c>
      <c r="H109" s="2822" t="str">
        <f>IF(E109="——","——",H101-H105-H106)</f>
        <v>——</v>
      </c>
      <c r="I109" s="133"/>
    </row>
    <row r="110" spans="1:35" ht="18.75" customHeight="1">
      <c r="A110" s="133"/>
      <c r="B110" s="133"/>
      <c r="C110" s="133"/>
      <c r="D110" s="133"/>
      <c r="E110" s="3204"/>
      <c r="F110" s="3172"/>
      <c r="G110" s="2011" t="s">
        <v>2120</v>
      </c>
      <c r="H110" s="2779" t="str">
        <f>IF(H109="——","——",ROUND(H109*10000/'数据-汇总表'!E3,0))</f>
        <v>——</v>
      </c>
      <c r="I110" s="133"/>
    </row>
    <row r="111" spans="1:35" ht="18.75" customHeight="1">
      <c r="A111" s="133"/>
      <c r="B111" s="133"/>
      <c r="C111" s="133"/>
      <c r="D111" s="133"/>
      <c r="E111" s="3205" t="str">
        <f>IF(项目基本情况!E9="抵押净值",IF(OR(项目基本情况!E8="已注销",项目基本情况!E8="房地产抵押价值"),"4.抵押净值","5.抵押净值"),"——")</f>
        <v>——</v>
      </c>
      <c r="F111" s="3191"/>
      <c r="G111" s="2011" t="s">
        <v>2118</v>
      </c>
      <c r="H111" s="2819" t="str">
        <f>IF(E111="——","——",N59)</f>
        <v>——</v>
      </c>
      <c r="I111" s="133"/>
    </row>
    <row r="112" spans="1:35" ht="18.75" customHeight="1" thickBot="1">
      <c r="A112" s="133"/>
      <c r="B112" s="133"/>
      <c r="C112" s="133"/>
      <c r="D112" s="133"/>
      <c r="E112" s="3206"/>
      <c r="F112" s="3207"/>
      <c r="G112" s="2014" t="s">
        <v>2120</v>
      </c>
      <c r="H112" s="2823" t="str">
        <f>IF(E111="——","——",N61)</f>
        <v>——</v>
      </c>
      <c r="I112" s="133"/>
    </row>
    <row r="113" spans="1:27" ht="18.75" customHeight="1">
      <c r="A113" s="133"/>
      <c r="B113" s="133"/>
      <c r="C113" s="133"/>
      <c r="D113" s="133"/>
      <c r="E113" s="3214" t="s">
        <v>2126</v>
      </c>
      <c r="F113" s="3214"/>
      <c r="G113" s="3214"/>
      <c r="H113" s="3214"/>
      <c r="I113" s="133"/>
    </row>
    <row r="114" spans="1:27" ht="3.75" customHeight="1">
      <c r="A114" s="1931"/>
      <c r="B114" s="1931"/>
      <c r="C114" s="1931"/>
      <c r="D114" s="1931"/>
      <c r="E114" s="1993"/>
      <c r="F114" s="1993"/>
      <c r="G114" s="1993"/>
      <c r="H114" s="1993"/>
      <c r="I114" s="1931"/>
    </row>
    <row r="115" spans="1:27" ht="18.75" customHeight="1">
      <c r="A115" s="3225" t="s">
        <v>2128</v>
      </c>
      <c r="B115" s="3226"/>
      <c r="C115" s="3226"/>
      <c r="D115" s="3226"/>
      <c r="E115" s="3226"/>
      <c r="F115" s="3226"/>
      <c r="G115" s="3226"/>
      <c r="H115" s="3226"/>
      <c r="I115" s="3227"/>
    </row>
    <row r="116" spans="1:27" ht="27" customHeight="1">
      <c r="A116" s="3179" t="s">
        <v>2129</v>
      </c>
      <c r="B116" s="3183" t="s">
        <v>2130</v>
      </c>
      <c r="C116" s="3183" t="s">
        <v>2131</v>
      </c>
      <c r="D116" s="3189" t="s">
        <v>2132</v>
      </c>
      <c r="E116" s="3190"/>
      <c r="F116" s="3221" t="s">
        <v>2133</v>
      </c>
      <c r="G116" s="3221"/>
      <c r="H116" s="3179" t="s">
        <v>2134</v>
      </c>
      <c r="I116" s="3179"/>
    </row>
    <row r="117" spans="1:27" ht="18.75" customHeight="1">
      <c r="A117" s="3179"/>
      <c r="B117" s="3184"/>
      <c r="C117" s="3184"/>
      <c r="D117" s="2550" t="s">
        <v>2135</v>
      </c>
      <c r="E117" s="2550" t="s">
        <v>2136</v>
      </c>
      <c r="F117" s="2550" t="s">
        <v>2135</v>
      </c>
      <c r="G117" s="2550" t="s">
        <v>2137</v>
      </c>
      <c r="H117" s="2550" t="s">
        <v>2135</v>
      </c>
      <c r="I117" s="2550" t="s">
        <v>2137</v>
      </c>
    </row>
    <row r="118" spans="1:27" ht="24.75" customHeight="1">
      <c r="A118" s="2824" t="str">
        <f>项目基本情况!S2</f>
        <v>房地产</v>
      </c>
      <c r="B118" s="2550">
        <f>M18</f>
        <v>45218.69</v>
      </c>
      <c r="C118" s="2550">
        <f>M19</f>
        <v>0</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35742</v>
      </c>
      <c r="I118" s="2550">
        <f ca="1">ROUND(IF(D32="楼面单价",C32,H118*10000/B118),0)</f>
        <v>7904</v>
      </c>
    </row>
    <row r="119" spans="1:27" ht="18.75" customHeight="1">
      <c r="A119" s="3179" t="s">
        <v>2138</v>
      </c>
      <c r="B119" s="3179"/>
      <c r="C119" s="3179"/>
      <c r="D119" s="3185" t="e">
        <f ca="1">NUMBERSTRING(INT(D118*10000),2)&amp;"元整"</f>
        <v>#REF!</v>
      </c>
      <c r="E119" s="3186"/>
      <c r="F119" s="3185" t="e">
        <f ca="1">NUMBERSTRING(INT(F118*10000),2)&amp;"元整"</f>
        <v>#REF!</v>
      </c>
      <c r="G119" s="3186"/>
      <c r="H119" s="3185" t="str">
        <f ca="1">NUMBERSTRING(INT(H118*10000),2)&amp;"元整"</f>
        <v>叁亿伍仟柒佰肆拾贰万元整</v>
      </c>
      <c r="I119" s="3186"/>
    </row>
    <row r="120" spans="1:27" ht="18.75" customHeight="1">
      <c r="A120" s="3180" t="str">
        <f>IF(项目基本情况!B9="房地产市场价值","",MID(E103,3,LEN(E103)-2))</f>
        <v>估价师知悉的法定优先受偿款</v>
      </c>
      <c r="B120" s="3181"/>
      <c r="C120" s="3182"/>
      <c r="D120" s="3180">
        <f>H103</f>
        <v>0</v>
      </c>
      <c r="E120" s="3181"/>
      <c r="F120" s="3181"/>
      <c r="G120" s="3181"/>
      <c r="H120" s="3181"/>
      <c r="I120" s="3182"/>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2" t="s">
        <v>2138</v>
      </c>
      <c r="B121" s="3223"/>
      <c r="C121" s="3224"/>
      <c r="D121" s="3185" t="str">
        <f>IF(D120=0,"零元整",NUMBERSTRING(INT(D120*10000),2)&amp;"元整")</f>
        <v>零元整</v>
      </c>
      <c r="E121" s="3187"/>
      <c r="F121" s="3187"/>
      <c r="G121" s="3187"/>
      <c r="H121" s="3187"/>
      <c r="I121" s="3186"/>
      <c r="AA121" s="733"/>
    </row>
    <row r="122" spans="1:27" ht="18.75" customHeight="1">
      <c r="A122" s="3191" t="str">
        <f>IF(项目基本情况!B9="房地产市场价值","",MID(E107,3,LEN(E107)-2))</f>
        <v>房地产抵押价值</v>
      </c>
      <c r="B122" s="3191"/>
      <c r="C122" s="3191"/>
      <c r="D122" s="3180">
        <f ca="1">H107</f>
        <v>35742</v>
      </c>
      <c r="E122" s="3181"/>
      <c r="F122" s="3181"/>
      <c r="G122" s="3181"/>
      <c r="H122" s="3181"/>
      <c r="I122" s="3182"/>
      <c r="AA122" s="733"/>
    </row>
    <row r="123" spans="1:27" ht="18.75" customHeight="1">
      <c r="A123" s="3179" t="s">
        <v>2138</v>
      </c>
      <c r="B123" s="3179"/>
      <c r="C123" s="3179"/>
      <c r="D123" s="3185" t="str">
        <f ca="1">NUMBERSTRING(INT(D122*10000),2)&amp;"元整"</f>
        <v>叁亿伍仟柒佰肆拾贰万元整</v>
      </c>
      <c r="E123" s="3187"/>
      <c r="F123" s="3187"/>
      <c r="G123" s="3187"/>
      <c r="H123" s="3187"/>
      <c r="I123" s="3186"/>
      <c r="AA123" s="733"/>
    </row>
    <row r="124" spans="1:27" ht="18.75" customHeight="1">
      <c r="A124" s="3191" t="str">
        <f>IF(项目基本情况!B9="房地产市场价值","",MID(E109,3,LEN(E109)-2))</f>
        <v/>
      </c>
      <c r="B124" s="3191"/>
      <c r="C124" s="3191"/>
      <c r="D124" s="3180" t="str">
        <f>H109</f>
        <v>——</v>
      </c>
      <c r="E124" s="3181"/>
      <c r="F124" s="3181"/>
      <c r="G124" s="3181"/>
      <c r="H124" s="3181"/>
      <c r="I124" s="3182"/>
      <c r="AA124" s="733"/>
    </row>
    <row r="125" spans="1:27" ht="18.75" customHeight="1">
      <c r="A125" s="3179" t="s">
        <v>2138</v>
      </c>
      <c r="B125" s="3179"/>
      <c r="C125" s="3179"/>
      <c r="D125" s="3185" t="e">
        <f>NUMBERSTRING(INT(D124*10000),2)&amp;"元整"</f>
        <v>#VALUE!</v>
      </c>
      <c r="E125" s="3187"/>
      <c r="F125" s="3187"/>
      <c r="G125" s="3187"/>
      <c r="H125" s="3187"/>
      <c r="I125" s="3186"/>
      <c r="AA125" s="733"/>
    </row>
    <row r="126" spans="1:27" ht="18.75" customHeight="1">
      <c r="A126" s="3191" t="str">
        <f>IF(项目基本情况!B9="房地产市场价值","",MID(E111,3,LEN(E111)-2))</f>
        <v/>
      </c>
      <c r="B126" s="3191"/>
      <c r="C126" s="3191"/>
      <c r="D126" s="3180" t="str">
        <f>H111</f>
        <v>——</v>
      </c>
      <c r="E126" s="3181"/>
      <c r="F126" s="3181"/>
      <c r="G126" s="3181"/>
      <c r="H126" s="3181"/>
      <c r="I126" s="3182"/>
      <c r="AA126" s="733"/>
    </row>
    <row r="127" spans="1:27" ht="18.75" customHeight="1">
      <c r="A127" s="3179" t="s">
        <v>2138</v>
      </c>
      <c r="B127" s="3179"/>
      <c r="C127" s="3179"/>
      <c r="D127" s="3185" t="e">
        <f>NUMBERSTRING(INT(D126*10000),2)&amp;"元整"</f>
        <v>#VALUE!</v>
      </c>
      <c r="E127" s="3187"/>
      <c r="F127" s="3187"/>
      <c r="G127" s="3187"/>
      <c r="H127" s="3187"/>
      <c r="I127" s="3186"/>
      <c r="AA127" s="733"/>
    </row>
    <row r="128" spans="1:27" ht="21.75" customHeight="1">
      <c r="A128" s="3188" t="s">
        <v>2139</v>
      </c>
      <c r="B128" s="3188"/>
      <c r="C128" s="3188"/>
      <c r="D128" s="3188"/>
      <c r="E128" s="3188"/>
      <c r="F128" s="3188"/>
      <c r="G128" s="3188"/>
      <c r="H128" s="3188"/>
      <c r="I128" s="3188"/>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Normal="70" zoomScaleSheetLayoutView="100" workbookViewId="0">
      <selection activeCell="C49" sqref="C49"/>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2" t="s">
        <v>1343</v>
      </c>
      <c r="C1" s="203"/>
      <c r="D1" s="203"/>
      <c r="E1" s="203"/>
      <c r="F1" s="203"/>
      <c r="G1" s="1286">
        <f>MATCH(B1,'数据-取费表'!A6:A16,0)+5</f>
        <v>6</v>
      </c>
    </row>
    <row r="2" spans="1:9" s="205" customFormat="1" ht="18" customHeight="1">
      <c r="A2" s="206" t="s">
        <v>2148</v>
      </c>
      <c r="B2" s="207">
        <f ca="1">IF(D2="——",C52,C52-E2)</f>
        <v>42093</v>
      </c>
      <c r="C2" s="204" t="s">
        <v>2149</v>
      </c>
      <c r="D2" s="2037" t="s">
        <v>70</v>
      </c>
      <c r="E2" s="1329" t="e">
        <f ca="1">SUMIF(INDIRECT("'"&amp;G2&amp;"'"&amp;"!A:A"),"承租人权益价值",INDIRECT("'"&amp;G2&amp;"'"&amp;"!c:c"))</f>
        <v>#REF!</v>
      </c>
      <c r="F2" s="2038" t="s">
        <v>2149</v>
      </c>
      <c r="G2" s="2039"/>
    </row>
    <row r="3" spans="1:9" s="205" customFormat="1" ht="18" customHeight="1" thickBot="1">
      <c r="A3" s="208" t="s">
        <v>2150</v>
      </c>
      <c r="B3" s="209">
        <f ca="1">ROUND(B2*10000/(IF(B1="",'数据-汇总表'!E3,INDIRECT("'数据-取费表'!k"&amp;$G$1))),0)</f>
        <v>9309</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9566</v>
      </c>
      <c r="D5" s="216" t="s">
        <v>2155</v>
      </c>
      <c r="E5" s="217" t="s">
        <v>2156</v>
      </c>
      <c r="F5" s="217" t="s">
        <v>2157</v>
      </c>
      <c r="G5" s="218"/>
    </row>
    <row r="6" spans="1:9" s="219" customFormat="1" ht="13.5" customHeight="1">
      <c r="A6" s="885" t="s">
        <v>2158</v>
      </c>
      <c r="B6" s="220" t="s">
        <v>2159</v>
      </c>
      <c r="C6" s="221">
        <f>'土地比较法-住宅、综合'!B2</f>
        <v>9283</v>
      </c>
      <c r="D6" s="222"/>
      <c r="E6" s="223"/>
      <c r="F6" s="223"/>
      <c r="G6" s="224"/>
    </row>
    <row r="7" spans="1:9" s="219" customFormat="1" ht="13.5" customHeight="1">
      <c r="A7" s="885" t="s">
        <v>2160</v>
      </c>
      <c r="B7" s="220" t="s">
        <v>2161</v>
      </c>
      <c r="C7" s="225">
        <f>ROUND(C6*F7,0)</f>
        <v>283</v>
      </c>
      <c r="D7" s="225"/>
      <c r="E7" s="223"/>
      <c r="F7" s="226">
        <f>IF(项目基本情况!B8="出让",0,'数据-取费表'!B48+'数据-取费表'!B49)</f>
        <v>3.0499999999999999E-2</v>
      </c>
      <c r="G7" s="224"/>
    </row>
    <row r="8" spans="1:9" s="228" customFormat="1">
      <c r="A8" s="885" t="s">
        <v>2162</v>
      </c>
      <c r="B8" s="220" t="s">
        <v>2163</v>
      </c>
      <c r="C8" s="225">
        <f ca="1">IF(G8="已包含在土地购买价格中","0",IF(B1="",'数据-取费表'!B29,IF(G9="全部缴纳",C9+C10,H9)))</f>
        <v>0</v>
      </c>
      <c r="D8" s="227"/>
      <c r="E8" s="225"/>
      <c r="F8" s="226"/>
      <c r="G8" s="2040" t="s">
        <v>3082</v>
      </c>
    </row>
    <row r="9" spans="1:9" s="219" customFormat="1" ht="13.5" customHeight="1">
      <c r="A9" s="886" t="s">
        <v>800</v>
      </c>
      <c r="B9" s="229" t="s">
        <v>2164</v>
      </c>
      <c r="C9" s="230">
        <f ca="1">ROUND(D9*E9/10000,0)</f>
        <v>0</v>
      </c>
      <c r="D9" s="953">
        <f ca="1">IF(B1="",'数据-汇总表'!E5,IF(INDIRECT("'数据-取费表'!c"&amp;$G$1)="住宅",INDIRECT("'数据-取费表'!k"&amp;$G$1),0))</f>
        <v>0</v>
      </c>
      <c r="E9" s="230">
        <f>'数据-取费表'!B27</f>
        <v>0</v>
      </c>
      <c r="F9" s="226"/>
      <c r="G9" s="2041" t="s">
        <v>3083</v>
      </c>
      <c r="H9" s="1297"/>
      <c r="I9" s="2042" t="s">
        <v>2165</v>
      </c>
    </row>
    <row r="10" spans="1:9" s="219" customFormat="1" ht="13.5" customHeight="1">
      <c r="A10" s="886" t="s">
        <v>801</v>
      </c>
      <c r="B10" s="229" t="s">
        <v>2166</v>
      </c>
      <c r="C10" s="230">
        <f ca="1">ROUND(D10*E10/10000,0)</f>
        <v>0</v>
      </c>
      <c r="D10" s="953">
        <f ca="1">IF(B1="",'数据-汇总表'!E6,IF(INDIRECT("'数据-取费表'!c"&amp;$G$1)="住宅",INDIRECT("'数据-取费表'!s"&amp;$G$1),INDIRECT("'数据-取费表'!k"&amp;$G$1)+INDIRECT("'数据-取费表'!s"&amp;$G$1)))</f>
        <v>45218.69</v>
      </c>
      <c r="E10" s="230">
        <f>'数据-取费表'!B28</f>
        <v>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45218.69</v>
      </c>
      <c r="E19" s="216">
        <f>'数据-取费表'!B31</f>
        <v>200</v>
      </c>
      <c r="F19" s="236"/>
      <c r="G19" s="2040" t="s">
        <v>3084</v>
      </c>
    </row>
    <row r="20" spans="1:7" s="219" customFormat="1" ht="13.5" customHeight="1">
      <c r="A20" s="260" t="s">
        <v>2179</v>
      </c>
      <c r="B20" s="215" t="s">
        <v>2180</v>
      </c>
      <c r="C20" s="237">
        <f ca="1">ROUND((C5+C19)*F20,0)</f>
        <v>191</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758</v>
      </c>
      <c r="D22" s="240">
        <f ca="1">C26</f>
        <v>8.0000000000000004E-4</v>
      </c>
      <c r="E22" s="241" t="s">
        <v>2184</v>
      </c>
      <c r="F22" s="242">
        <f ca="1">'数据-取费表'!B40</f>
        <v>3.85E-2</v>
      </c>
      <c r="G22" s="239" t="str">
        <f>IF('数据-取费表'!B22&lt;=1,"单利计息","复利计息")</f>
        <v>复利计息</v>
      </c>
    </row>
    <row r="23" spans="1:7" s="219" customFormat="1" ht="13.5" customHeight="1">
      <c r="A23" s="887" t="s">
        <v>2188</v>
      </c>
      <c r="B23" s="220" t="s">
        <v>2189</v>
      </c>
      <c r="C23" s="1263">
        <f ca="1">ROUND(IF('数据-取费表'!B22&lt;=1,C5*F22*'数据-取费表'!B23,C5*(POWER((1+F22),'数据-取费表'!B23)-1)),0)</f>
        <v>751</v>
      </c>
      <c r="D23" s="243"/>
      <c r="E23" s="243"/>
      <c r="F23" s="244"/>
      <c r="G23" s="245" t="s">
        <v>2190</v>
      </c>
    </row>
    <row r="24" spans="1:7" s="219" customFormat="1" ht="13.5" customHeight="1">
      <c r="A24" s="887"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3">
        <f ca="1">ROUND(IF('数据-取费表'!B22&lt;=1,C20*F22*'数据-取费表'!B23/2,C20*(POWER((1+F22),'数据-取费表'!B23/2)-1)),0)</f>
        <v>7</v>
      </c>
      <c r="D25" s="243"/>
      <c r="E25" s="246"/>
      <c r="F25" s="244"/>
      <c r="G25" s="247" t="s">
        <v>2196</v>
      </c>
    </row>
    <row r="26" spans="1:7" s="219" customFormat="1">
      <c r="A26" s="887"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1951</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ROUND((C5+C19+C20)*F27*'数据-取费表'!B21/'数据-取费表'!B20,0)</f>
        <v>1951</v>
      </c>
      <c r="D28" s="240"/>
      <c r="E28" s="241"/>
      <c r="F28" s="251"/>
      <c r="G28" s="252"/>
    </row>
    <row r="29" spans="1:7" s="219" customFormat="1" ht="13.5" customHeight="1">
      <c r="A29" s="887"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13522</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24530</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22609</v>
      </c>
      <c r="D34" s="222"/>
      <c r="E34" s="225"/>
      <c r="F34" s="262">
        <f ca="1">IF('数据-取费表'!B24=0,1,IF(B1="",'数据-取费表'!N16,INDIRECT("'数据-取费表'!n"&amp;$G$1)))</f>
        <v>1</v>
      </c>
      <c r="G34" s="224" t="s">
        <v>2212</v>
      </c>
    </row>
    <row r="35" spans="1:7" ht="13.5" customHeight="1">
      <c r="A35" s="887" t="s">
        <v>796</v>
      </c>
      <c r="B35" s="220" t="s">
        <v>2213</v>
      </c>
      <c r="C35" s="225">
        <f ca="1">ROUND(C34*F35,0)</f>
        <v>678</v>
      </c>
      <c r="D35" s="225"/>
      <c r="E35" s="225"/>
      <c r="F35" s="264">
        <f>'数据-取费表'!B33</f>
        <v>0.03</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7" t="s">
        <v>798</v>
      </c>
      <c r="B37" s="220" t="s">
        <v>2217</v>
      </c>
      <c r="C37" s="254">
        <f ca="1">ROUND(E37*D37*F34/10000,0)</f>
        <v>904</v>
      </c>
      <c r="D37" s="222">
        <f ca="1">D19</f>
        <v>45218.69</v>
      </c>
      <c r="E37" s="254">
        <f>'数据-取费表'!B35</f>
        <v>200</v>
      </c>
      <c r="F37" s="264"/>
      <c r="G37" s="266" t="s">
        <v>2218</v>
      </c>
    </row>
    <row r="38" spans="1:7" ht="13.5" customHeight="1">
      <c r="A38" s="887" t="s">
        <v>799</v>
      </c>
      <c r="B38" s="220" t="s">
        <v>2219</v>
      </c>
      <c r="C38" s="225">
        <f ca="1">ROUND(C34*F38,0)</f>
        <v>339</v>
      </c>
      <c r="D38" s="225"/>
      <c r="E38" s="225"/>
      <c r="F38" s="264">
        <f>'数据-取费表'!B36</f>
        <v>1.4999999999999999E-2</v>
      </c>
      <c r="G38" s="224" t="s">
        <v>2214</v>
      </c>
    </row>
    <row r="39" spans="1:7" s="219" customFormat="1" ht="13.5" customHeight="1">
      <c r="A39" s="260" t="s">
        <v>2220</v>
      </c>
      <c r="B39" s="215" t="s">
        <v>2221</v>
      </c>
      <c r="C39" s="237">
        <f ca="1">ROUND(C33*F20,0)</f>
        <v>491</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963</v>
      </c>
      <c r="D41" s="240">
        <f ca="1">C44</f>
        <v>8.0000000000000004E-4</v>
      </c>
      <c r="E41" s="241" t="s">
        <v>2225</v>
      </c>
      <c r="F41" s="2534">
        <f ca="1">F22</f>
        <v>3.85E-2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944</v>
      </c>
      <c r="D42" s="243"/>
      <c r="E42" s="243"/>
      <c r="F42" s="244"/>
      <c r="G42" s="3261" t="s">
        <v>2230</v>
      </c>
    </row>
    <row r="43" spans="1:7" ht="13.5" customHeight="1">
      <c r="A43" s="887" t="s">
        <v>792</v>
      </c>
      <c r="B43" s="220" t="s">
        <v>2231</v>
      </c>
      <c r="C43" s="243">
        <f ca="1">ROUND(IF('数据-取费表'!B22&lt;=1,C39*F22*'数据-取费表'!B21/2,C39*(POWER((1+F22),'数据-取费表'!B21/2)-1)),0)</f>
        <v>19</v>
      </c>
      <c r="D43" s="243"/>
      <c r="E43" s="243"/>
      <c r="F43" s="244"/>
      <c r="G43" s="3262"/>
    </row>
    <row r="44" spans="1:7" ht="13.5" customHeight="1">
      <c r="A44" s="887" t="s">
        <v>793</v>
      </c>
      <c r="B44" s="220" t="s">
        <v>2232</v>
      </c>
      <c r="C44" s="243">
        <f ca="1">ROUND(IF('数据-取费表'!B22&lt;=1,C40*F22*'数据-取费表'!B21/2,C40*(POWER((1+F22),'数据-取费表'!B21/2)-1)),4)</f>
        <v>8.0000000000000004E-4</v>
      </c>
      <c r="D44" s="243"/>
      <c r="E44" s="243"/>
      <c r="F44" s="244"/>
      <c r="G44" s="3263"/>
    </row>
    <row r="45" spans="1:7" s="219" customFormat="1" ht="13.5" customHeight="1">
      <c r="A45" s="260" t="s">
        <v>2233</v>
      </c>
      <c r="B45" s="249" t="s">
        <v>2199</v>
      </c>
      <c r="C45" s="250">
        <f ca="1">C46</f>
        <v>5004</v>
      </c>
      <c r="D45" s="240">
        <f ca="1">C47</f>
        <v>4.0000000000000001E-3</v>
      </c>
      <c r="E45" s="241" t="s">
        <v>2225</v>
      </c>
      <c r="F45" s="2535">
        <f ca="1">F27</f>
        <v>0.2</v>
      </c>
      <c r="G45" s="252" t="s">
        <v>2234</v>
      </c>
    </row>
    <row r="46" spans="1:7" s="219" customFormat="1" ht="13.5" customHeight="1">
      <c r="A46" s="887" t="s">
        <v>791</v>
      </c>
      <c r="B46" s="253" t="s">
        <v>2235</v>
      </c>
      <c r="C46" s="254">
        <f ca="1">ROUND((C33+C39)*F27,0)</f>
        <v>5004</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1493">
        <f>ROUND(F30/(1+'数据-取费表'!C42),4)</f>
        <v>5.33E-2</v>
      </c>
      <c r="D48" s="241" t="s">
        <v>2225</v>
      </c>
      <c r="E48" s="237"/>
      <c r="F48" s="2534">
        <f>F30</f>
        <v>5.6000000000000001E-2</v>
      </c>
      <c r="G48" s="239" t="s">
        <v>2238</v>
      </c>
    </row>
    <row r="49" spans="1:7" ht="16.5" customHeight="1">
      <c r="A49" s="260" t="s">
        <v>2204</v>
      </c>
      <c r="B49" s="215" t="s">
        <v>2239</v>
      </c>
      <c r="C49" s="237">
        <f ca="1">ROUND((C33+C39+C41+C45)/(1-C40-D41-D45-C48),0)</f>
        <v>33613</v>
      </c>
      <c r="D49" s="237"/>
      <c r="E49" s="237"/>
      <c r="F49" s="269"/>
      <c r="G49" s="239" t="s">
        <v>2240</v>
      </c>
    </row>
    <row r="50" spans="1:7" s="263" customFormat="1" ht="24">
      <c r="A50" s="260" t="s">
        <v>2241</v>
      </c>
      <c r="B50" s="215" t="s">
        <v>2242</v>
      </c>
      <c r="C50" s="237"/>
      <c r="D50" s="237"/>
      <c r="E50" s="237"/>
      <c r="F50" s="269">
        <f>IF('数据-取费表'!B24=0,'数据-取费表'!N16,1)</f>
        <v>0.85</v>
      </c>
      <c r="G50" s="252" t="s">
        <v>2243</v>
      </c>
    </row>
    <row r="51" spans="1:7" ht="16.5" customHeight="1">
      <c r="A51" s="260" t="s">
        <v>2244</v>
      </c>
      <c r="B51" s="215" t="s">
        <v>2245</v>
      </c>
      <c r="C51" s="237">
        <f ca="1">ROUND(C49*F50,0)</f>
        <v>28571</v>
      </c>
      <c r="D51" s="237"/>
      <c r="E51" s="237"/>
      <c r="F51" s="269"/>
      <c r="G51" s="239" t="s">
        <v>2246</v>
      </c>
    </row>
    <row r="52" spans="1:7" s="213" customFormat="1" ht="16.5" thickBot="1">
      <c r="A52" s="270" t="s">
        <v>2247</v>
      </c>
      <c r="B52" s="271"/>
      <c r="C52" s="272">
        <f ca="1">C31+C51</f>
        <v>42093</v>
      </c>
      <c r="D52" s="271"/>
      <c r="E52" s="271"/>
      <c r="F52" s="271"/>
      <c r="G52" s="273"/>
    </row>
    <row r="55" spans="1:7" ht="15">
      <c r="B55" s="275" t="s">
        <v>2248</v>
      </c>
      <c r="C55" s="276"/>
    </row>
    <row r="56" spans="1:7">
      <c r="B56" s="278" t="s">
        <v>1478</v>
      </c>
      <c r="C56" s="280">
        <f ca="1">1-C57</f>
        <v>0.32099999999999995</v>
      </c>
    </row>
    <row r="57" spans="1:7">
      <c r="B57" s="278" t="s">
        <v>1479</v>
      </c>
      <c r="C57" s="279">
        <f ca="1">ROUND(C51/C52,3)</f>
        <v>0.67900000000000005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2" t="str">
        <f>项目基本情况!B1</f>
        <v>房地产抵押价值预评估</v>
      </c>
      <c r="C37" s="3072"/>
      <c r="D37" s="3072"/>
      <c r="E37" s="3072"/>
      <c r="F37" s="3072"/>
      <c r="G37" s="3072"/>
      <c r="H37" s="3072"/>
      <c r="I37" s="3072"/>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2"/>
      <c r="C1" s="2043" t="s">
        <v>2249</v>
      </c>
      <c r="D1" s="203"/>
      <c r="E1" s="203"/>
      <c r="F1" s="203"/>
      <c r="G1" s="1286">
        <f>MATCH(B1,'数据-取费表'!A6:A16,0)+5</f>
        <v>7</v>
      </c>
      <c r="H1" s="1191" t="str">
        <f>IF(ISERROR(FIND("住宅",B1)),"非住宅","住宅")</f>
        <v>非住宅</v>
      </c>
    </row>
    <row r="2" spans="1:8" s="205" customFormat="1" ht="18" customHeight="1">
      <c r="A2" s="206" t="s">
        <v>2148</v>
      </c>
      <c r="B2" s="207">
        <f ca="1">ROUND(IF(D2="——",C52/10000,C52/10000-E2),0)</f>
        <v>29851</v>
      </c>
      <c r="C2" s="204" t="s">
        <v>2149</v>
      </c>
      <c r="D2" s="2037" t="s">
        <v>70</v>
      </c>
      <c r="E2" s="1329" t="e">
        <f ca="1">SUMIF(INDIRECT("'"&amp;G2&amp;"'"&amp;"!A:A"),"承租人权益价值",INDIRECT("'"&amp;G2&amp;"'"&amp;"!c:c"))</f>
        <v>#REF!</v>
      </c>
      <c r="F2" s="2038" t="s">
        <v>2149</v>
      </c>
      <c r="G2" s="2039"/>
    </row>
    <row r="3" spans="1:8" s="205" customFormat="1" ht="18" customHeight="1" thickBot="1">
      <c r="A3" s="208" t="s">
        <v>2150</v>
      </c>
      <c r="B3" s="209">
        <f ca="1">ROUND(B2*10000/(IF(B1="",'数据-汇总表'!E3,INDIRECT("'数据-取费表'!k"&amp;$G$1))),0)</f>
        <v>6601</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0</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3.0499999999999999E-2</v>
      </c>
      <c r="G7" s="224"/>
    </row>
    <row r="8" spans="1:8" s="228" customFormat="1">
      <c r="A8" s="885" t="s">
        <v>2162</v>
      </c>
      <c r="B8" s="220" t="s">
        <v>2163</v>
      </c>
      <c r="C8" s="225">
        <f ca="1">IF(G8="已包含在土地购买价格中",0,C9+C10)</f>
        <v>0</v>
      </c>
      <c r="D8" s="227"/>
      <c r="E8" s="225"/>
      <c r="F8" s="226"/>
      <c r="G8" s="2040"/>
    </row>
    <row r="9" spans="1:8" s="219" customFormat="1" ht="13.5" customHeight="1">
      <c r="A9" s="886" t="s">
        <v>800</v>
      </c>
      <c r="B9" s="229" t="s">
        <v>2164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2166</v>
      </c>
      <c r="C10" s="230">
        <f ca="1">ROUND(D10*E10,0)</f>
        <v>0</v>
      </c>
      <c r="D10" s="953">
        <f ca="1">IF(B1="",'数据-汇总表'!E6,IF(INDIRECT("'数据-取费表'!c"&amp;$G$1)="住宅",INDIRECT("'数据-取费表'!s"&amp;$G$1),INDIRECT("'数据-取费表'!k"&amp;$G$1)+INDIRECT("'数据-取费表'!s"&amp;$G$1)))</f>
        <v>45218.69</v>
      </c>
      <c r="E10" s="230">
        <f>'数据-取费表'!B28</f>
        <v>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9043738</v>
      </c>
      <c r="D19" s="957">
        <f ca="1">D9+D10</f>
        <v>45218.69</v>
      </c>
      <c r="E19" s="216">
        <f>'数据-取费表'!B31</f>
        <v>200</v>
      </c>
      <c r="F19" s="236"/>
      <c r="G19" s="2040"/>
    </row>
    <row r="20" spans="1:7" s="219" customFormat="1" ht="13.5" customHeight="1">
      <c r="A20" s="260" t="s">
        <v>2260</v>
      </c>
      <c r="B20" s="215" t="s">
        <v>2261</v>
      </c>
      <c r="C20" s="237">
        <f ca="1">ROUND((C5+C19)*F20,0)</f>
        <v>180875</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716737</v>
      </c>
      <c r="D22" s="240">
        <f ca="1">C26</f>
        <v>8.0000000000000004E-4</v>
      </c>
      <c r="E22" s="241" t="s">
        <v>2265</v>
      </c>
      <c r="F22" s="242">
        <f ca="1">'数据-取费表'!B40</f>
        <v>3.85E-2</v>
      </c>
      <c r="G22" s="239" t="str">
        <f>IF('数据-取费表'!B22&lt;=1,"单利计息","复利计息")</f>
        <v>复利计息</v>
      </c>
    </row>
    <row r="23" spans="1:7" s="219" customFormat="1" ht="13.5" customHeight="1">
      <c r="A23" s="887" t="s">
        <v>2158</v>
      </c>
      <c r="B23" s="220" t="s">
        <v>2269</v>
      </c>
      <c r="C23" s="1288">
        <f ca="1">ROUND(IF('数据-取费表'!B22&lt;=1,C5*F22*'数据-取费表'!B22,C5*(POWER((1+F22),'数据-取费表'!B22)-1)),0)</f>
        <v>0</v>
      </c>
      <c r="D23" s="243"/>
      <c r="E23" s="243"/>
      <c r="F23" s="244"/>
      <c r="G23" s="245" t="s">
        <v>2270</v>
      </c>
    </row>
    <row r="24" spans="1:7" s="219" customFormat="1" ht="13.5" customHeight="1">
      <c r="A24" s="887" t="s">
        <v>2160</v>
      </c>
      <c r="B24" s="220" t="s">
        <v>2271</v>
      </c>
      <c r="C24" s="1288">
        <f ca="1">ROUND(IF('数据-取费表'!B22&lt;=1,C19*F22*('数据-取费表'!B19/2+'数据-取费表'!B20),C19*(POWER((1+F22),('数据-取费表'!B19/2+'数据-取费表'!B20))-1)),0)</f>
        <v>709773</v>
      </c>
      <c r="D24" s="243"/>
      <c r="E24" s="243"/>
      <c r="F24" s="244"/>
      <c r="G24" s="245" t="s">
        <v>2272</v>
      </c>
    </row>
    <row r="25" spans="1:7" s="219" customFormat="1" ht="24">
      <c r="A25" s="887" t="s">
        <v>2162</v>
      </c>
      <c r="B25" s="220" t="s">
        <v>2273</v>
      </c>
      <c r="C25" s="1288">
        <f ca="1">ROUND(IF('数据-取费表'!B22&lt;=1,C20*F22*'数据-取费表'!B22/2,C20*(POWER((1+F22),'数据-取费表'!B22/2)-1)),0)</f>
        <v>6964</v>
      </c>
      <c r="D25" s="243"/>
      <c r="E25" s="246"/>
      <c r="F25" s="244"/>
      <c r="G25" s="247" t="s">
        <v>2274</v>
      </c>
    </row>
    <row r="26" spans="1:7" s="219" customFormat="1">
      <c r="A26" s="887" t="s">
        <v>795</v>
      </c>
      <c r="B26" s="220" t="s">
        <v>2197</v>
      </c>
      <c r="C26" s="243">
        <f ca="1">ROUND(IF('数据-取费表'!B22&lt;=1,F21*F22*'数据-取费表'!B22/2,F21*(POWER((1+F22),'数据-取费表'!B22/2)-1)),4)</f>
        <v>8.0000000000000004E-4</v>
      </c>
      <c r="D26" s="243"/>
      <c r="E26" s="246"/>
      <c r="F26" s="244"/>
      <c r="G26" s="248"/>
    </row>
    <row r="27" spans="1:7" s="219" customFormat="1" ht="24.75">
      <c r="A27" s="260" t="s">
        <v>2198</v>
      </c>
      <c r="B27" s="249" t="s">
        <v>2199</v>
      </c>
      <c r="C27" s="250">
        <f ca="1">C28</f>
        <v>1844923</v>
      </c>
      <c r="D27" s="240">
        <f ca="1">C29</f>
        <v>4.0000000000000001E-3</v>
      </c>
      <c r="E27" s="241" t="s">
        <v>2200</v>
      </c>
      <c r="F27" s="251">
        <f ca="1">IF(B1="",'数据-取费表'!Q16,INDIRECT("'数据-取费表'!q"&amp;$G$1))</f>
        <v>0.2</v>
      </c>
      <c r="G27" s="252" t="s">
        <v>2201</v>
      </c>
    </row>
    <row r="28" spans="1:7" s="219" customFormat="1" ht="13.5" customHeight="1">
      <c r="A28" s="887" t="s">
        <v>791</v>
      </c>
      <c r="B28" s="253" t="s">
        <v>2202</v>
      </c>
      <c r="C28" s="254">
        <f ca="1">ROUND((C5+C19+C20)*F27,0)</f>
        <v>1844923</v>
      </c>
      <c r="D28" s="240"/>
      <c r="E28" s="241"/>
      <c r="F28" s="251"/>
      <c r="G28" s="252"/>
    </row>
    <row r="29" spans="1:7" s="219" customFormat="1" ht="13.5" customHeight="1">
      <c r="A29" s="887" t="s">
        <v>792</v>
      </c>
      <c r="B29" s="253" t="s">
        <v>2203</v>
      </c>
      <c r="C29" s="243">
        <f ca="1">ROUND(C21*F27,4)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12784763</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245311394</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226093450</v>
      </c>
      <c r="D34" s="222"/>
      <c r="E34" s="225"/>
      <c r="F34" s="262"/>
      <c r="G34" s="224"/>
    </row>
    <row r="35" spans="1:7" ht="13.5" customHeight="1">
      <c r="A35" s="887" t="s">
        <v>796</v>
      </c>
      <c r="B35" s="220" t="s">
        <v>2213</v>
      </c>
      <c r="C35" s="225">
        <f ca="1">ROUND(C34*F35,0)</f>
        <v>6782804</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7" t="s">
        <v>798</v>
      </c>
      <c r="B37" s="220" t="s">
        <v>2217</v>
      </c>
      <c r="C37" s="254">
        <f ca="1">ROUND(E37*D37,0)</f>
        <v>9043738</v>
      </c>
      <c r="D37" s="222">
        <f ca="1">D19</f>
        <v>45218.69</v>
      </c>
      <c r="E37" s="254">
        <f>'数据-取费表'!B35</f>
        <v>200</v>
      </c>
      <c r="F37" s="264"/>
      <c r="G37" s="266"/>
    </row>
    <row r="38" spans="1:7" ht="13.5" customHeight="1">
      <c r="A38" s="887" t="s">
        <v>799</v>
      </c>
      <c r="B38" s="220" t="s">
        <v>2219</v>
      </c>
      <c r="C38" s="225">
        <f ca="1">ROUND(C34*F38,0)</f>
        <v>3391402</v>
      </c>
      <c r="D38" s="225"/>
      <c r="E38" s="225"/>
      <c r="F38" s="264">
        <f>'数据-取费表'!B36</f>
        <v>1.4999999999999999E-2</v>
      </c>
      <c r="G38" s="224" t="s">
        <v>2214</v>
      </c>
    </row>
    <row r="39" spans="1:7" s="219" customFormat="1" ht="13.5" customHeight="1">
      <c r="A39" s="260" t="s">
        <v>2220</v>
      </c>
      <c r="B39" s="215" t="s">
        <v>2221</v>
      </c>
      <c r="C39" s="237">
        <f ca="1">ROUND(C33*F20,0)</f>
        <v>4906228</v>
      </c>
      <c r="D39" s="237"/>
      <c r="E39" s="237"/>
      <c r="F39" s="2533">
        <f>F20</f>
        <v>0.02</v>
      </c>
      <c r="G39" s="239" t="s">
        <v>2222</v>
      </c>
    </row>
    <row r="40" spans="1:7" s="219" customFormat="1" ht="13.5" customHeight="1">
      <c r="A40" s="260" t="s">
        <v>2223</v>
      </c>
      <c r="B40" s="215" t="s">
        <v>2224</v>
      </c>
      <c r="C40" s="1493">
        <f>F21</f>
        <v>0.02</v>
      </c>
      <c r="D40" s="241" t="s">
        <v>2225</v>
      </c>
      <c r="E40" s="237"/>
      <c r="F40" s="2533">
        <f>F21</f>
        <v>0.02</v>
      </c>
      <c r="G40" s="239" t="s">
        <v>2226</v>
      </c>
    </row>
    <row r="41" spans="1:7" s="219" customFormat="1" ht="13.5" customHeight="1">
      <c r="A41" s="260" t="s">
        <v>2227</v>
      </c>
      <c r="B41" s="215" t="s">
        <v>2228</v>
      </c>
      <c r="C41" s="237">
        <f ca="1">ROUND(SUM(C42:C43),0)</f>
        <v>9633379</v>
      </c>
      <c r="D41" s="240">
        <f ca="1">C44</f>
        <v>8.0000000000000004E-4</v>
      </c>
      <c r="E41" s="241" t="s">
        <v>2225</v>
      </c>
      <c r="F41" s="2534">
        <f ca="1">F22</f>
        <v>3.85E-2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9444489</v>
      </c>
      <c r="D42" s="243"/>
      <c r="E42" s="243"/>
      <c r="F42" s="244"/>
      <c r="G42" s="3261" t="s">
        <v>2277</v>
      </c>
    </row>
    <row r="43" spans="1:7" ht="13.5" customHeight="1">
      <c r="A43" s="887" t="s">
        <v>792</v>
      </c>
      <c r="B43" s="220" t="s">
        <v>2231</v>
      </c>
      <c r="C43" s="243">
        <f ca="1">ROUND(IF('数据-取费表'!B22&lt;=1,C39*F22*'数据-取费表'!B20/2,C39*(POWER((1+F22),'数据-取费表'!B20/2)-1)),0)</f>
        <v>188890</v>
      </c>
      <c r="D43" s="243"/>
      <c r="E43" s="243"/>
      <c r="F43" s="244"/>
      <c r="G43" s="3262"/>
    </row>
    <row r="44" spans="1:7" ht="13.5" customHeight="1">
      <c r="A44" s="887" t="s">
        <v>793</v>
      </c>
      <c r="B44" s="220" t="s">
        <v>2232</v>
      </c>
      <c r="C44" s="243">
        <f ca="1">ROUND(IF('数据-取费表'!B22&lt;=1,C40*F22*'数据-取费表'!B20/2,C40*(POWER((1+F22),'数据-取费表'!B20/2)-1)),4)</f>
        <v>8.0000000000000004E-4</v>
      </c>
      <c r="D44" s="243"/>
      <c r="E44" s="243"/>
      <c r="F44" s="244"/>
      <c r="G44" s="3263"/>
    </row>
    <row r="45" spans="1:7" s="219" customFormat="1" ht="13.5" customHeight="1">
      <c r="A45" s="260" t="s">
        <v>2233</v>
      </c>
      <c r="B45" s="249" t="s">
        <v>2199</v>
      </c>
      <c r="C45" s="250">
        <f ca="1">C46</f>
        <v>50043524</v>
      </c>
      <c r="D45" s="240">
        <f ca="1">C47</f>
        <v>4.0000000000000001E-3</v>
      </c>
      <c r="E45" s="241" t="s">
        <v>2225</v>
      </c>
      <c r="F45" s="2535">
        <f ca="1">F27</f>
        <v>0.2</v>
      </c>
      <c r="G45" s="252" t="s">
        <v>2234</v>
      </c>
    </row>
    <row r="46" spans="1:7" s="219" customFormat="1" ht="13.5" customHeight="1">
      <c r="A46" s="887" t="s">
        <v>791</v>
      </c>
      <c r="B46" s="253" t="s">
        <v>2235</v>
      </c>
      <c r="C46" s="254">
        <f ca="1">ROUND((C33+C39)*F27,0)</f>
        <v>50043524</v>
      </c>
      <c r="D46" s="268"/>
      <c r="E46" s="241"/>
      <c r="F46" s="251"/>
      <c r="G46" s="252"/>
    </row>
    <row r="47" spans="1:7" s="219" customFormat="1" ht="13.5" customHeight="1">
      <c r="A47" s="887" t="s">
        <v>792</v>
      </c>
      <c r="B47" s="253" t="s">
        <v>2236</v>
      </c>
      <c r="C47" s="243">
        <f ca="1">ROUND(C40*F27,4)</f>
        <v>4.0000000000000001E-3</v>
      </c>
      <c r="D47" s="268"/>
      <c r="E47" s="241"/>
      <c r="F47" s="251"/>
      <c r="G47" s="252"/>
    </row>
    <row r="48" spans="1:7" s="219" customFormat="1" ht="13.5" customHeight="1">
      <c r="A48" s="260" t="s">
        <v>2198</v>
      </c>
      <c r="B48" s="215" t="s">
        <v>2237</v>
      </c>
      <c r="C48" s="267">
        <f>ROUND(F30/(1+'数据-取费表'!C42),4)</f>
        <v>5.33E-2</v>
      </c>
      <c r="D48" s="241" t="s">
        <v>2225</v>
      </c>
      <c r="E48" s="237"/>
      <c r="F48" s="2534">
        <f>F30</f>
        <v>5.6000000000000001E-2</v>
      </c>
      <c r="G48" s="239" t="s">
        <v>2238</v>
      </c>
    </row>
    <row r="49" spans="1:7" ht="16.5" customHeight="1">
      <c r="A49" s="260" t="s">
        <v>2204</v>
      </c>
      <c r="B49" s="215" t="s">
        <v>2278</v>
      </c>
      <c r="C49" s="237">
        <f ca="1">ROUND((C33+C39+C41+C45)/(1-C40-D41-D45-C48),0)</f>
        <v>336147657</v>
      </c>
      <c r="D49" s="237"/>
      <c r="E49" s="237"/>
      <c r="F49" s="269"/>
      <c r="G49" s="239" t="s">
        <v>2240</v>
      </c>
    </row>
    <row r="50" spans="1:7" s="263" customFormat="1">
      <c r="A50" s="260" t="s">
        <v>2241</v>
      </c>
      <c r="B50" s="215" t="s">
        <v>2242</v>
      </c>
      <c r="C50" s="237"/>
      <c r="D50" s="237"/>
      <c r="E50" s="237"/>
      <c r="F50" s="269">
        <f>IF('数据-取费表'!B24=0,'数据-取费表'!N16,1)</f>
        <v>0.85</v>
      </c>
      <c r="G50" s="252"/>
    </row>
    <row r="51" spans="1:7" ht="16.5" customHeight="1">
      <c r="A51" s="260" t="s">
        <v>2244</v>
      </c>
      <c r="B51" s="215" t="s">
        <v>2279</v>
      </c>
      <c r="C51" s="237">
        <f ca="1">ROUND(C49*F50,0)</f>
        <v>285725508</v>
      </c>
      <c r="D51" s="237"/>
      <c r="E51" s="237"/>
      <c r="F51" s="269"/>
      <c r="G51" s="239" t="s">
        <v>2246</v>
      </c>
    </row>
    <row r="52" spans="1:7" s="213" customFormat="1" ht="16.5" thickBot="1">
      <c r="A52" s="270" t="s">
        <v>2247</v>
      </c>
      <c r="B52" s="271"/>
      <c r="C52" s="272">
        <f ca="1">C31+C51</f>
        <v>298510271</v>
      </c>
      <c r="D52" s="271"/>
      <c r="E52" s="271"/>
      <c r="F52" s="271"/>
      <c r="G52" s="273"/>
    </row>
    <row r="55" spans="1:7" ht="15">
      <c r="B55" s="275" t="s">
        <v>2248</v>
      </c>
      <c r="C55" s="276"/>
    </row>
    <row r="56" spans="1:7">
      <c r="B56" s="278" t="s">
        <v>1478</v>
      </c>
      <c r="C56" s="280">
        <f ca="1">1-C57</f>
        <v>4.3000000000000038E-2</v>
      </c>
    </row>
    <row r="57" spans="1:7">
      <c r="B57" s="278" t="s">
        <v>1479</v>
      </c>
      <c r="C57" s="279">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1"/>
      <c r="C1" s="1352"/>
      <c r="D1" s="1350"/>
      <c r="E1" s="3035"/>
      <c r="F1" s="3035"/>
      <c r="G1" s="2898"/>
      <c r="H1" s="3035"/>
      <c r="I1" s="3035"/>
      <c r="J1" s="3035"/>
      <c r="K1" s="3036">
        <f>MATCH(C1,'数据-取费表'!A6:A16,0)+5</f>
        <v>7</v>
      </c>
    </row>
    <row r="2" spans="1:33" ht="18" customHeight="1">
      <c r="A2" s="206" t="s">
        <v>2148</v>
      </c>
      <c r="B2" s="209">
        <f ca="1">C32</f>
        <v>0</v>
      </c>
      <c r="C2" s="281" t="s">
        <v>2281</v>
      </c>
      <c r="D2" s="281"/>
      <c r="E2" s="3035"/>
      <c r="F2" s="3035"/>
      <c r="G2" s="3035"/>
      <c r="H2" s="3035"/>
      <c r="I2" s="3035"/>
      <c r="J2" s="3035"/>
      <c r="K2" s="3035"/>
    </row>
    <row r="3" spans="1:33" ht="18" customHeight="1" thickBot="1">
      <c r="A3" s="208" t="s">
        <v>2150</v>
      </c>
      <c r="B3" s="209">
        <f ca="1">ROUND(B2*10000/IF(C1="",'数据-汇总表'!E3,INDIRECT("'数据-取费表'!K"&amp;$K$1)),0)</f>
        <v>0</v>
      </c>
      <c r="C3" s="281" t="s">
        <v>2282</v>
      </c>
      <c r="D3" s="281"/>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3">
        <f ca="1">ROUND(C11*F12,0)</f>
        <v>0</v>
      </c>
      <c r="D12" s="909"/>
      <c r="E12" s="334"/>
      <c r="F12" s="912">
        <f>'数据-取费表'!B33</f>
        <v>0.03</v>
      </c>
      <c r="G12" s="8" t="s">
        <v>2303</v>
      </c>
      <c r="H12" s="904"/>
      <c r="I12" s="904"/>
      <c r="J12" s="904"/>
      <c r="K12" s="905"/>
    </row>
    <row r="13" spans="1:33" s="911" customFormat="1" ht="13.5" customHeight="1">
      <c r="A13" s="907" t="s">
        <v>1302</v>
      </c>
      <c r="B13" s="908" t="s">
        <v>2304</v>
      </c>
      <c r="C13" s="23">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3">
        <f ca="1">ROUND(D14*E14*F11/10000,0)</f>
        <v>0</v>
      </c>
      <c r="D14" s="954">
        <f ca="1">IF(C1="",'数据-汇总表'!E3,INDIRECT("'数据-取费表'!K"&amp;$K$1)+INDIRECT("'数据-取费表'!S"&amp;$K$1))</f>
        <v>45218.69</v>
      </c>
      <c r="E14" s="23">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3">
        <f ca="1">ROUND(D17*E17/10000,0)</f>
        <v>0</v>
      </c>
      <c r="D17" s="954">
        <f ca="1">D14</f>
        <v>45218.69</v>
      </c>
      <c r="E17" s="23">
        <f>'数据-取费表'!B32</f>
        <v>0</v>
      </c>
      <c r="F17" s="914"/>
      <c r="G17" s="135" t="s">
        <v>2312</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3">
        <f ca="1">C19+C20-IF(C1="",'数据-取费表'!B29,IF(G18="已全部缴纳",C19+C20,H18))</f>
        <v>0</v>
      </c>
      <c r="D18" s="954"/>
      <c r="E18" s="23"/>
      <c r="F18" s="912"/>
      <c r="G18" s="2046"/>
      <c r="H18" s="1347"/>
      <c r="I18" s="2047" t="s">
        <v>2314</v>
      </c>
      <c r="J18" s="915"/>
      <c r="K18" s="916"/>
    </row>
    <row r="19" spans="1:33" s="911" customFormat="1" ht="13.5" customHeight="1">
      <c r="A19" s="907" t="s">
        <v>805</v>
      </c>
      <c r="B19" s="908" t="s">
        <v>2315</v>
      </c>
      <c r="C19" s="23">
        <f ca="1">ROUND(D19*E19/10000,0)</f>
        <v>0</v>
      </c>
      <c r="D19" s="954">
        <f ca="1">IF(C1="",'数据-汇总表'!E5,IF(INDIRECT("'数据-取费表'!c"&amp;$K$1)="住宅",INDIRECT("'数据-取费表'!k"&amp;$K$1),0))</f>
        <v>0</v>
      </c>
      <c r="E19" s="23">
        <f>'数据-取费表'!B27</f>
        <v>0</v>
      </c>
      <c r="F19" s="912"/>
      <c r="G19" s="14"/>
      <c r="H19" s="1349"/>
      <c r="I19" s="917"/>
      <c r="J19" s="917"/>
      <c r="K19" s="918"/>
    </row>
    <row r="20" spans="1:33" s="911" customFormat="1" ht="13.5" customHeight="1">
      <c r="A20" s="907" t="s">
        <v>806</v>
      </c>
      <c r="B20" s="908" t="s">
        <v>2316</v>
      </c>
      <c r="C20" s="23">
        <f ca="1">ROUND(D20*E20/10000,0)</f>
        <v>0</v>
      </c>
      <c r="D20" s="954">
        <f ca="1">IF(C1="",'数据-汇总表'!E6,IF(INDIRECT("'数据-取费表'!c"&amp;$K$1)="住宅",INDIRECT("'数据-取费表'!s"&amp;$K$1),INDIRECT("'数据-取费表'!k"&amp;$K$1)+INDIRECT("'数据-取费表'!s"&amp;$K$1)))</f>
        <v>45218.69</v>
      </c>
      <c r="E20" s="23">
        <f>'数据-取费表'!B28</f>
        <v>0</v>
      </c>
      <c r="F20" s="912"/>
      <c r="G20" s="14"/>
      <c r="H20" s="917"/>
      <c r="I20" s="917"/>
      <c r="J20" s="917"/>
      <c r="K20" s="918"/>
    </row>
    <row r="21" spans="1:33" s="911" customFormat="1" ht="13.5" customHeight="1">
      <c r="A21" s="897" t="s">
        <v>802</v>
      </c>
      <c r="B21" s="921" t="s">
        <v>2317</v>
      </c>
      <c r="C21" s="922">
        <f ca="1">C16+C17+C18</f>
        <v>0</v>
      </c>
      <c r="D21" s="923"/>
      <c r="E21" s="286"/>
      <c r="F21" s="286"/>
      <c r="G21" s="135" t="s">
        <v>2318</v>
      </c>
      <c r="H21" s="915"/>
      <c r="I21" s="915"/>
      <c r="J21" s="915"/>
      <c r="K21" s="916"/>
    </row>
    <row r="22" spans="1:33" s="911" customFormat="1" ht="13.5" customHeight="1">
      <c r="A22" s="897" t="s">
        <v>2290</v>
      </c>
      <c r="B22" s="921" t="s">
        <v>2319</v>
      </c>
      <c r="C22" s="922">
        <f ca="1">ROUND(C21*F22,0)</f>
        <v>0</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0.02</v>
      </c>
      <c r="G23" s="8" t="s">
        <v>2322</v>
      </c>
      <c r="H23" s="904"/>
      <c r="I23" s="904"/>
      <c r="J23" s="904"/>
      <c r="K23" s="905"/>
    </row>
    <row r="24" spans="1:33" s="911" customFormat="1" ht="13.5" customHeight="1">
      <c r="A24" s="897" t="s">
        <v>2323</v>
      </c>
      <c r="B24" s="921" t="s">
        <v>2324</v>
      </c>
      <c r="C24" s="285">
        <f>ROUND(F24/(1+'数据-取费表'!C42),4)</f>
        <v>2.9000000000000001E-2</v>
      </c>
      <c r="D24" s="286" t="s">
        <v>15</v>
      </c>
      <c r="E24" s="286"/>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4">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5">
        <f ca="1">ROUND(IF('数据-取费表'!B22&lt;=1,(1+C24)*F25*'数据-取费表'!B24,(1+C24)*(POWER((1+F25),'数据-取费表'!B24)-1)),4)</f>
        <v>0</v>
      </c>
      <c r="D26" s="289"/>
      <c r="E26" s="290"/>
      <c r="F26" s="291"/>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6">
        <f ca="1">ROUND(IF('数据-取费表'!B22&lt;=1,(C21+C22+C23)*F25*'数据-取费表'!B24/2,(C21+C22+C23)*(POWER((1+F25),'数据-取费表'!B24/2)-1)),0)</f>
        <v>0</v>
      </c>
      <c r="D27" s="289"/>
      <c r="E27" s="290"/>
      <c r="F27" s="291"/>
      <c r="G27" s="2048" t="str">
        <f>IF('数据-取费表'!B22&lt;=1,"（1）-（3）项×年利率×建设期÷2","（1）-（3）项×((1+年利率)^(建设期÷2)-1)")</f>
        <v>（1）-（3）项×((1+年利率)^(建设期÷2)-1)</v>
      </c>
      <c r="H27" s="915"/>
      <c r="I27" s="915"/>
      <c r="J27" s="915"/>
      <c r="K27" s="916"/>
    </row>
    <row r="28" spans="1:33" s="294" customFormat="1" ht="13.5" customHeight="1">
      <c r="A28" s="897" t="s">
        <v>2330</v>
      </c>
      <c r="B28" s="2049" t="s">
        <v>2331</v>
      </c>
      <c r="C28" s="292">
        <f ca="1">C30</f>
        <v>0</v>
      </c>
      <c r="D28" s="285">
        <f ca="1">C29</f>
        <v>0</v>
      </c>
      <c r="E28" s="287" t="s">
        <v>15</v>
      </c>
      <c r="F28" s="293">
        <f ca="1">IF(C1="",'数据-取费表'!Q16,INDIRECT("'数据-取费表'!q"&amp;$K$1))</f>
        <v>0.2</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0</v>
      </c>
      <c r="D30" s="289"/>
      <c r="E30" s="290"/>
      <c r="F30" s="295"/>
      <c r="G30" s="135"/>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0</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4" zoomScale="85" zoomScaleNormal="60" zoomScaleSheetLayoutView="85" workbookViewId="0">
      <selection activeCell="I31" sqref="I31"/>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9283</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2053</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2466</v>
      </c>
      <c r="B4" s="361"/>
      <c r="C4" s="3282" t="s">
        <v>2467</v>
      </c>
      <c r="D4" s="3283"/>
      <c r="E4" s="3284" t="s">
        <v>2468</v>
      </c>
      <c r="F4" s="3285"/>
      <c r="G4" s="3282" t="s">
        <v>2469</v>
      </c>
      <c r="H4" s="3283"/>
      <c r="I4" s="3282" t="s">
        <v>2470</v>
      </c>
      <c r="J4" s="3283"/>
      <c r="K4" s="566" t="s">
        <v>2471</v>
      </c>
      <c r="L4" s="2942"/>
      <c r="M4" s="2943"/>
      <c r="N4" s="2943"/>
      <c r="O4" s="2943"/>
      <c r="P4" s="3286" t="s">
        <v>2472</v>
      </c>
      <c r="Q4" s="3287"/>
      <c r="R4" s="3269" t="s">
        <v>2468</v>
      </c>
      <c r="S4" s="3270"/>
      <c r="T4" s="3269" t="s">
        <v>2469</v>
      </c>
      <c r="U4" s="3270"/>
      <c r="V4" s="3294" t="s">
        <v>2470</v>
      </c>
      <c r="W4" s="3294"/>
      <c r="X4" s="1537"/>
      <c r="Y4" s="3269" t="s">
        <v>2472</v>
      </c>
      <c r="Z4" s="3270"/>
      <c r="AA4" s="3264" t="s">
        <v>2468</v>
      </c>
      <c r="AB4" s="3265" t="s">
        <v>2469</v>
      </c>
      <c r="AC4" s="3264" t="s">
        <v>2470</v>
      </c>
    </row>
    <row r="5" spans="1:30" ht="15">
      <c r="A5" s="363"/>
      <c r="B5" s="364"/>
      <c r="C5" s="3275" t="s">
        <v>2363</v>
      </c>
      <c r="D5" s="3276"/>
      <c r="E5" s="3273" t="str">
        <f>Sheet1!A8</f>
        <v>天津滨海高新区海洋科技园</v>
      </c>
      <c r="F5" s="3274"/>
      <c r="G5" s="3275" t="str">
        <f>Sheet1!A9</f>
        <v>天津滨海高新区海洋科技园</v>
      </c>
      <c r="H5" s="3276"/>
      <c r="I5" s="3275" t="str">
        <f>Sheet1!A10</f>
        <v>天津滨海高新区海洋科技园</v>
      </c>
      <c r="J5" s="3276"/>
      <c r="K5" s="566"/>
      <c r="L5" s="2942"/>
      <c r="M5" s="2943"/>
      <c r="N5" s="2943"/>
      <c r="O5" s="2943"/>
      <c r="P5" s="3288"/>
      <c r="Q5" s="3289"/>
      <c r="R5" s="3271"/>
      <c r="S5" s="3272"/>
      <c r="T5" s="3271"/>
      <c r="U5" s="3272"/>
      <c r="V5" s="3294"/>
      <c r="W5" s="3294"/>
      <c r="X5" s="1537"/>
      <c r="Y5" s="3271"/>
      <c r="Z5" s="3272"/>
      <c r="AA5" s="3265"/>
      <c r="AB5" s="3265"/>
      <c r="AC5" s="3265"/>
    </row>
    <row r="6" spans="1:30" ht="15.75" thickBot="1">
      <c r="A6" s="365"/>
      <c r="B6" s="366"/>
      <c r="C6" s="3277" t="s">
        <v>2367</v>
      </c>
      <c r="D6" s="3278"/>
      <c r="E6" s="3279" t="s">
        <v>2367</v>
      </c>
      <c r="F6" s="3280"/>
      <c r="G6" s="3277" t="s">
        <v>2367</v>
      </c>
      <c r="H6" s="3278"/>
      <c r="I6" s="3277" t="s">
        <v>2367</v>
      </c>
      <c r="J6" s="3278"/>
      <c r="K6" s="566" t="s">
        <v>2368</v>
      </c>
      <c r="L6" s="2942"/>
      <c r="M6" s="2943"/>
      <c r="N6" s="2943"/>
      <c r="O6" s="2943"/>
      <c r="P6" s="3290"/>
      <c r="Q6" s="3291"/>
      <c r="R6" s="3271"/>
      <c r="S6" s="3272"/>
      <c r="T6" s="3292"/>
      <c r="U6" s="3293"/>
      <c r="V6" s="3294"/>
      <c r="W6" s="3294"/>
      <c r="X6" s="1537"/>
      <c r="Y6" s="3292"/>
      <c r="Z6" s="3293"/>
      <c r="AA6" s="3266"/>
      <c r="AB6" s="3266"/>
      <c r="AC6" s="3266"/>
    </row>
    <row r="7" spans="1:30" s="112" customFormat="1" ht="15.75" thickBot="1">
      <c r="A7" s="367" t="s">
        <v>2369</v>
      </c>
      <c r="B7" s="368"/>
      <c r="C7" s="369">
        <f>'数据-取费表'!B2</f>
        <v>44439</v>
      </c>
      <c r="D7" s="370">
        <v>100</v>
      </c>
      <c r="E7" s="371" t="str">
        <f>Sheet1!H8</f>
        <v>2019-09-04</v>
      </c>
      <c r="F7" s="372">
        <f>SUMIF(70:70,YEAR(E7)&amp;"-"&amp;INT((MONTH(E7)+2)/3),71:71)</f>
        <v>96</v>
      </c>
      <c r="G7" s="2158" t="str">
        <f>Sheet1!H9</f>
        <v>2019-07-10</v>
      </c>
      <c r="H7" s="370">
        <f>SUMIF(70:70,YEAR(G7)&amp;"-"&amp;INT((MONTH(G7)+2)/3),71:71)</f>
        <v>96</v>
      </c>
      <c r="I7" s="2158" t="str">
        <f>Sheet1!H10</f>
        <v>2019-05-29</v>
      </c>
      <c r="J7" s="370">
        <f>SUMIF(70:70,YEAR(I7)&amp;"-"&amp;INT((MONTH(I7)+2)/3),71:71)</f>
        <v>95.5</v>
      </c>
      <c r="K7" s="567"/>
      <c r="L7" s="2944"/>
      <c r="M7" s="2945"/>
      <c r="N7" s="2945"/>
      <c r="O7" s="2945"/>
      <c r="P7" s="3267" t="s">
        <v>2370</v>
      </c>
      <c r="Q7" s="3295"/>
      <c r="R7" s="709" t="s">
        <v>17</v>
      </c>
      <c r="S7" s="710">
        <f t="shared" ref="S7:S15" si="0">F7</f>
        <v>96</v>
      </c>
      <c r="T7" s="709" t="s">
        <v>17</v>
      </c>
      <c r="U7" s="710">
        <f t="shared" ref="U7:U15" si="1">H7</f>
        <v>96</v>
      </c>
      <c r="V7" s="709" t="s">
        <v>17</v>
      </c>
      <c r="W7" s="710">
        <f t="shared" ref="W7:W15" si="2">J7</f>
        <v>95.5</v>
      </c>
      <c r="X7" s="711"/>
      <c r="Y7" s="3267" t="s">
        <v>2370</v>
      </c>
      <c r="Z7" s="3268"/>
      <c r="AA7" s="712">
        <f>D7/F7</f>
        <v>1.0416666666666667</v>
      </c>
      <c r="AB7" s="712">
        <f>D7/H7</f>
        <v>1.0416666666666667</v>
      </c>
      <c r="AC7" s="712">
        <f>D7/J7</f>
        <v>1.0471204188481675</v>
      </c>
    </row>
    <row r="8" spans="1:30" s="112" customFormat="1" ht="15.75" thickBot="1">
      <c r="A8" s="367" t="s">
        <v>2371</v>
      </c>
      <c r="B8" s="368"/>
      <c r="C8" s="373" t="s">
        <v>2372</v>
      </c>
      <c r="D8" s="370">
        <v>100</v>
      </c>
      <c r="E8" s="3064" t="s">
        <v>3138</v>
      </c>
      <c r="F8" s="372">
        <f>SUMIF(73:73,E8,74:74)-SUMIF(73:73,C8,74:74)+100</f>
        <v>100</v>
      </c>
      <c r="G8" s="3064" t="s">
        <v>3139</v>
      </c>
      <c r="H8" s="370">
        <f>SUMIF(73:73,G8,74:74)-SUMIF(73:73,C8,74:74)+100</f>
        <v>100</v>
      </c>
      <c r="I8" s="3064" t="s">
        <v>3140</v>
      </c>
      <c r="J8" s="370">
        <f>SUMIF(73:73,I8,74:74)-SUMIF(73:73,C8,74:74)+100</f>
        <v>100</v>
      </c>
      <c r="K8" s="567"/>
      <c r="L8" s="2944"/>
      <c r="M8" s="2945"/>
      <c r="N8" s="2945"/>
      <c r="O8" s="2945"/>
      <c r="P8" s="3267" t="s">
        <v>2373</v>
      </c>
      <c r="Q8" s="3268"/>
      <c r="R8" s="709" t="s">
        <v>17</v>
      </c>
      <c r="S8" s="710">
        <f t="shared" si="0"/>
        <v>100</v>
      </c>
      <c r="T8" s="709" t="s">
        <v>17</v>
      </c>
      <c r="U8" s="710">
        <f t="shared" si="1"/>
        <v>100</v>
      </c>
      <c r="V8" s="709" t="s">
        <v>17</v>
      </c>
      <c r="W8" s="710">
        <f t="shared" si="2"/>
        <v>100</v>
      </c>
      <c r="X8" s="711"/>
      <c r="Y8" s="3267" t="s">
        <v>2373</v>
      </c>
      <c r="Z8" s="3268"/>
      <c r="AA8" s="712">
        <f t="shared" ref="AA8:AA45" si="3">D8/F8</f>
        <v>1</v>
      </c>
      <c r="AB8" s="712">
        <f t="shared" ref="AB8:AB45" si="4">D8/H8</f>
        <v>1</v>
      </c>
      <c r="AC8" s="712">
        <f t="shared" ref="AC8:AC45" si="5">D8/J8</f>
        <v>1</v>
      </c>
    </row>
    <row r="9" spans="1:30" s="112" customFormat="1">
      <c r="A9" s="374" t="s">
        <v>2374</v>
      </c>
      <c r="B9" s="66" t="s">
        <v>2375</v>
      </c>
      <c r="C9" s="2161"/>
      <c r="D9" s="130">
        <v>100</v>
      </c>
      <c r="E9" s="2161"/>
      <c r="F9" s="130">
        <f>SUMIF(75:75,E9,76:76)-SUMIF(75:75,C9,76:76)+100</f>
        <v>100</v>
      </c>
      <c r="G9" s="2161"/>
      <c r="H9" s="130">
        <f>SUMIF(75:75,G9,76:76)-SUMIF(75:75,C9,76:76)+100</f>
        <v>100</v>
      </c>
      <c r="I9" s="2161"/>
      <c r="J9" s="130">
        <f>SUMIF(75:75,I9,76:76)-SUMIF(75:75,C9,76:76)+100</f>
        <v>100</v>
      </c>
      <c r="K9" s="567"/>
      <c r="L9" s="2944"/>
      <c r="M9" s="2945"/>
      <c r="N9" s="2945"/>
      <c r="O9" s="2999"/>
      <c r="P9" s="3281" t="s">
        <v>2376</v>
      </c>
      <c r="Q9" s="1525" t="str">
        <f t="shared" ref="Q9:Q15" si="6">B9</f>
        <v>用途</v>
      </c>
      <c r="R9" s="709" t="s">
        <v>17</v>
      </c>
      <c r="S9" s="710">
        <f t="shared" si="0"/>
        <v>100</v>
      </c>
      <c r="T9" s="709" t="s">
        <v>17</v>
      </c>
      <c r="U9" s="710">
        <f t="shared" si="1"/>
        <v>100</v>
      </c>
      <c r="V9" s="709" t="s">
        <v>17</v>
      </c>
      <c r="W9" s="710">
        <f t="shared" si="2"/>
        <v>100</v>
      </c>
      <c r="X9" s="711"/>
      <c r="Y9" s="3237"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137</v>
      </c>
      <c r="G10" s="421"/>
      <c r="H10" s="131">
        <f>ROUND(100/'数据-取费表'!G16,0)</f>
        <v>137</v>
      </c>
      <c r="I10" s="421"/>
      <c r="J10" s="131">
        <f>ROUND(100/'数据-取费表'!G16,0)</f>
        <v>137</v>
      </c>
      <c r="K10" s="627"/>
      <c r="L10" s="2946"/>
      <c r="M10" s="2947"/>
      <c r="N10" s="2947"/>
      <c r="O10" s="3000"/>
      <c r="P10" s="3281"/>
      <c r="Q10" s="1525" t="str">
        <f t="shared" si="6"/>
        <v>土地使用年限（年）</v>
      </c>
      <c r="R10" s="709" t="s">
        <v>17</v>
      </c>
      <c r="S10" s="710">
        <f t="shared" si="0"/>
        <v>137</v>
      </c>
      <c r="T10" s="709" t="s">
        <v>17</v>
      </c>
      <c r="U10" s="710">
        <f t="shared" si="1"/>
        <v>137</v>
      </c>
      <c r="V10" s="709" t="s">
        <v>17</v>
      </c>
      <c r="W10" s="710">
        <f t="shared" si="2"/>
        <v>137</v>
      </c>
      <c r="X10" s="711"/>
      <c r="Y10" s="3237"/>
      <c r="Z10" s="54" t="str">
        <f t="shared" si="7"/>
        <v>土地使用年限（年）</v>
      </c>
      <c r="AA10" s="712">
        <f t="shared" si="3"/>
        <v>0.72992700729927007</v>
      </c>
      <c r="AB10" s="712">
        <f t="shared" si="4"/>
        <v>0.72992700729927007</v>
      </c>
      <c r="AC10" s="712">
        <f t="shared" si="5"/>
        <v>0.72992700729927007</v>
      </c>
    </row>
    <row r="11" spans="1:30" ht="15">
      <c r="A11" s="386"/>
      <c r="B11" s="3070" t="s">
        <v>2379</v>
      </c>
      <c r="C11" s="387"/>
      <c r="D11" s="131">
        <v>100</v>
      </c>
      <c r="E11" s="387"/>
      <c r="F11" s="131">
        <f>LOOKUP(E11,80:80,81:81)-LOOKUP(C11,80:80,81:81)+100</f>
        <v>100</v>
      </c>
      <c r="G11" s="388"/>
      <c r="H11" s="131">
        <f>LOOKUP(G11,80:80,81:81)-LOOKUP(C11,80:80,81:81)+100</f>
        <v>100</v>
      </c>
      <c r="I11" s="387"/>
      <c r="J11" s="131">
        <f>LOOKUP(I11,80:80,81:81)-LOOKUP(C11,80:80,81:81)+100</f>
        <v>100</v>
      </c>
      <c r="K11" s="628"/>
      <c r="L11" s="2948"/>
      <c r="M11" s="2943"/>
      <c r="N11" s="2943"/>
      <c r="O11" s="3001"/>
      <c r="P11" s="3281"/>
      <c r="Q11" s="1525" t="str">
        <f t="shared" si="6"/>
        <v>容积率</v>
      </c>
      <c r="R11" s="709" t="s">
        <v>17</v>
      </c>
      <c r="S11" s="710">
        <f t="shared" si="0"/>
        <v>100</v>
      </c>
      <c r="T11" s="709" t="s">
        <v>17</v>
      </c>
      <c r="U11" s="710">
        <f t="shared" si="1"/>
        <v>100</v>
      </c>
      <c r="V11" s="709" t="s">
        <v>17</v>
      </c>
      <c r="W11" s="710">
        <f t="shared" si="2"/>
        <v>100</v>
      </c>
      <c r="X11" s="711"/>
      <c r="Y11" s="3237"/>
      <c r="Z11" s="54" t="str">
        <f t="shared" si="7"/>
        <v>容积率</v>
      </c>
      <c r="AA11" s="712">
        <f t="shared" si="3"/>
        <v>1</v>
      </c>
      <c r="AB11" s="712">
        <f t="shared" si="4"/>
        <v>1</v>
      </c>
      <c r="AC11" s="712">
        <f t="shared" si="5"/>
        <v>1</v>
      </c>
    </row>
    <row r="12" spans="1:30" s="112" customFormat="1" ht="15">
      <c r="A12" s="389"/>
      <c r="B12" s="2077" t="s">
        <v>2568</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281"/>
      <c r="Q12" s="1525" t="str">
        <f t="shared" si="6"/>
        <v>配建</v>
      </c>
      <c r="R12" s="709" t="s">
        <v>17</v>
      </c>
      <c r="S12" s="710">
        <f t="shared" si="0"/>
        <v>100</v>
      </c>
      <c r="T12" s="709" t="s">
        <v>17</v>
      </c>
      <c r="U12" s="710">
        <f t="shared" si="1"/>
        <v>100</v>
      </c>
      <c r="V12" s="709" t="s">
        <v>17</v>
      </c>
      <c r="W12" s="710">
        <f t="shared" si="2"/>
        <v>100</v>
      </c>
      <c r="X12" s="711"/>
      <c r="Y12" s="3237"/>
      <c r="Z12" s="54"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281"/>
      <c r="Q13" s="1525">
        <f t="shared" si="6"/>
        <v>111</v>
      </c>
      <c r="R13" s="709" t="s">
        <v>17</v>
      </c>
      <c r="S13" s="710">
        <f t="shared" si="0"/>
        <v>100</v>
      </c>
      <c r="T13" s="709" t="s">
        <v>17</v>
      </c>
      <c r="U13" s="710">
        <f t="shared" si="1"/>
        <v>100</v>
      </c>
      <c r="V13" s="709" t="s">
        <v>17</v>
      </c>
      <c r="W13" s="710">
        <f t="shared" si="2"/>
        <v>100</v>
      </c>
      <c r="X13" s="711"/>
      <c r="Y13" s="3237"/>
      <c r="Z13" s="54">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281"/>
      <c r="Q14" s="1525">
        <f t="shared" si="6"/>
        <v>111</v>
      </c>
      <c r="R14" s="709" t="s">
        <v>17</v>
      </c>
      <c r="S14" s="710">
        <f t="shared" si="0"/>
        <v>100</v>
      </c>
      <c r="T14" s="709" t="s">
        <v>17</v>
      </c>
      <c r="U14" s="710">
        <f t="shared" si="1"/>
        <v>100</v>
      </c>
      <c r="V14" s="709" t="s">
        <v>17</v>
      </c>
      <c r="W14" s="710">
        <f t="shared" si="2"/>
        <v>100</v>
      </c>
      <c r="X14" s="711"/>
      <c r="Y14" s="3237"/>
      <c r="Z14" s="54">
        <f t="shared" si="7"/>
        <v>111</v>
      </c>
      <c r="AA14" s="712">
        <f>D14/F14</f>
        <v>1</v>
      </c>
      <c r="AB14" s="712">
        <f>D14/H14</f>
        <v>1</v>
      </c>
      <c r="AC14" s="712">
        <f>D14/J14</f>
        <v>1</v>
      </c>
    </row>
    <row r="15" spans="1:30" ht="99.75" hidden="1">
      <c r="A15" s="398" t="s">
        <v>2380</v>
      </c>
      <c r="B15" s="64"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9"/>
      <c r="M15" s="2943"/>
      <c r="N15" s="2943"/>
      <c r="O15" s="3001"/>
      <c r="P15" s="3296" t="s">
        <v>2381</v>
      </c>
      <c r="Q15" s="1534" t="str">
        <f t="shared" si="6"/>
        <v>居住社区成熟度</v>
      </c>
      <c r="R15" s="713" t="s">
        <v>17</v>
      </c>
      <c r="S15" s="714">
        <f t="shared" si="0"/>
        <v>100</v>
      </c>
      <c r="T15" s="713" t="s">
        <v>17</v>
      </c>
      <c r="U15" s="714">
        <f t="shared" si="1"/>
        <v>100</v>
      </c>
      <c r="V15" s="713" t="s">
        <v>17</v>
      </c>
      <c r="W15" s="714">
        <f t="shared" si="2"/>
        <v>100</v>
      </c>
      <c r="X15" s="1537"/>
      <c r="Y15" s="3296" t="s">
        <v>2381</v>
      </c>
      <c r="Z15" s="1538" t="str">
        <f t="shared" si="7"/>
        <v>居住社区成熟度</v>
      </c>
      <c r="AA15" s="1535">
        <f t="shared" si="3"/>
        <v>1</v>
      </c>
      <c r="AB15" s="1535">
        <f t="shared" si="4"/>
        <v>1</v>
      </c>
      <c r="AC15" s="1535">
        <f t="shared" si="5"/>
        <v>1</v>
      </c>
    </row>
    <row r="16" spans="1:30" ht="15" hidden="1">
      <c r="A16" s="386"/>
      <c r="B16" s="404"/>
      <c r="C16" s="405"/>
      <c r="D16" s="406"/>
      <c r="E16" s="2082"/>
      <c r="F16" s="406"/>
      <c r="G16" s="2082"/>
      <c r="H16" s="408"/>
      <c r="I16" s="2081"/>
      <c r="J16" s="406"/>
      <c r="K16" s="627"/>
      <c r="L16" s="2949"/>
      <c r="M16" s="2943"/>
      <c r="N16" s="2943"/>
      <c r="O16" s="3001"/>
      <c r="P16" s="3297"/>
      <c r="Q16" s="1534"/>
      <c r="R16" s="713"/>
      <c r="S16" s="714"/>
      <c r="T16" s="713"/>
      <c r="U16" s="714"/>
      <c r="V16" s="713"/>
      <c r="W16" s="714"/>
      <c r="X16" s="1537"/>
      <c r="Y16" s="3297"/>
      <c r="Z16" s="1538"/>
      <c r="AA16" s="1535">
        <v>1</v>
      </c>
      <c r="AB16" s="1535">
        <v>1</v>
      </c>
      <c r="AC16" s="1535">
        <v>1</v>
      </c>
    </row>
    <row r="17" spans="1:29" ht="71.25">
      <c r="A17" s="386"/>
      <c r="B17" s="409" t="s">
        <v>2474</v>
      </c>
      <c r="C17" s="2139" t="str">
        <f>估价对象房地状况!C16</f>
        <v>估价对象位于XX商圈，周边商业氛围成熟，人流量大，商业繁华度好</v>
      </c>
      <c r="D17" s="408">
        <v>100</v>
      </c>
      <c r="E17" s="410"/>
      <c r="F17" s="408">
        <f>SUMIF(90:90,E18,91:91)-SUMIF(90:90,C18,91:91)+100</f>
        <v>99</v>
      </c>
      <c r="G17" s="410"/>
      <c r="H17" s="413">
        <f>SUMIF(90:90,G18,91:91)-SUMIF(90:90,C18,91:91)+100</f>
        <v>99</v>
      </c>
      <c r="I17" s="412"/>
      <c r="J17" s="413">
        <f>SUMIF(90:90,I18,91:91)-SUMIF(90:90,C18,91:91)+100</f>
        <v>99</v>
      </c>
      <c r="K17" s="628">
        <v>1</v>
      </c>
      <c r="L17" s="2949"/>
      <c r="M17" s="2943"/>
      <c r="N17" s="2943"/>
      <c r="O17" s="3001"/>
      <c r="P17" s="3297"/>
      <c r="Q17" s="1534" t="str">
        <f>B17</f>
        <v>商业繁华度</v>
      </c>
      <c r="R17" s="713" t="s">
        <v>17</v>
      </c>
      <c r="S17" s="714">
        <f>F17</f>
        <v>99</v>
      </c>
      <c r="T17" s="713" t="s">
        <v>17</v>
      </c>
      <c r="U17" s="714">
        <f>H17</f>
        <v>99</v>
      </c>
      <c r="V17" s="713" t="s">
        <v>17</v>
      </c>
      <c r="W17" s="714">
        <f>J17</f>
        <v>99</v>
      </c>
      <c r="X17" s="1537"/>
      <c r="Y17" s="3297"/>
      <c r="Z17" s="1538" t="str">
        <f>Q17</f>
        <v>商业繁华度</v>
      </c>
      <c r="AA17" s="1535">
        <f t="shared" si="3"/>
        <v>1.0101010101010102</v>
      </c>
      <c r="AB17" s="1535">
        <f t="shared" si="4"/>
        <v>1.0101010101010102</v>
      </c>
      <c r="AC17" s="1535">
        <f t="shared" si="5"/>
        <v>1.0101010101010102</v>
      </c>
    </row>
    <row r="18" spans="1:29" ht="15">
      <c r="A18" s="386"/>
      <c r="B18" s="414"/>
      <c r="C18" s="3411" t="s">
        <v>3147</v>
      </c>
      <c r="D18" s="408"/>
      <c r="E18" s="3412" t="s">
        <v>3148</v>
      </c>
      <c r="F18" s="408"/>
      <c r="G18" s="3412" t="s">
        <v>3149</v>
      </c>
      <c r="H18" s="406"/>
      <c r="I18" s="3413" t="s">
        <v>3148</v>
      </c>
      <c r="J18" s="406"/>
      <c r="K18" s="627"/>
      <c r="L18" s="2949"/>
      <c r="M18" s="2943"/>
      <c r="N18" s="2943"/>
      <c r="O18" s="3001"/>
      <c r="P18" s="3297"/>
      <c r="Q18" s="1534"/>
      <c r="R18" s="713"/>
      <c r="S18" s="714"/>
      <c r="T18" s="713"/>
      <c r="U18" s="714"/>
      <c r="V18" s="713"/>
      <c r="W18" s="714"/>
      <c r="X18" s="1537"/>
      <c r="Y18" s="3297"/>
      <c r="Z18" s="1538"/>
      <c r="AA18" s="1535">
        <v>1</v>
      </c>
      <c r="AB18" s="1535">
        <v>1</v>
      </c>
      <c r="AC18" s="1535">
        <v>1</v>
      </c>
    </row>
    <row r="19" spans="1:29" ht="71.25" hidden="1">
      <c r="A19" s="386"/>
      <c r="B19" s="409" t="s">
        <v>2508</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297"/>
      <c r="Q19" s="1534" t="str">
        <f>B19</f>
        <v>办公集聚程度</v>
      </c>
      <c r="R19" s="713" t="s">
        <v>17</v>
      </c>
      <c r="S19" s="714">
        <f>F19</f>
        <v>100</v>
      </c>
      <c r="T19" s="713" t="s">
        <v>17</v>
      </c>
      <c r="U19" s="714">
        <f>H19</f>
        <v>100</v>
      </c>
      <c r="V19" s="713" t="s">
        <v>17</v>
      </c>
      <c r="W19" s="714">
        <f>J19</f>
        <v>100</v>
      </c>
      <c r="X19" s="1537"/>
      <c r="Y19" s="3297"/>
      <c r="Z19" s="1538" t="str">
        <f>Q19</f>
        <v>办公集聚程度</v>
      </c>
      <c r="AA19" s="1535">
        <f t="shared" si="3"/>
        <v>1</v>
      </c>
      <c r="AB19" s="1535">
        <f t="shared" si="4"/>
        <v>1</v>
      </c>
      <c r="AC19" s="1535">
        <f t="shared" si="5"/>
        <v>1</v>
      </c>
    </row>
    <row r="20" spans="1:29" ht="15" hidden="1">
      <c r="A20" s="386"/>
      <c r="B20" s="414"/>
      <c r="C20" s="405"/>
      <c r="D20" s="406"/>
      <c r="E20" s="2082"/>
      <c r="F20" s="406"/>
      <c r="G20" s="2082"/>
      <c r="H20" s="406"/>
      <c r="I20" s="2081"/>
      <c r="J20" s="406"/>
      <c r="K20" s="627"/>
      <c r="L20" s="2949"/>
      <c r="M20" s="2943"/>
      <c r="N20" s="2943"/>
      <c r="O20" s="3001"/>
      <c r="P20" s="3297"/>
      <c r="Q20" s="1534"/>
      <c r="R20" s="713"/>
      <c r="S20" s="714"/>
      <c r="T20" s="713"/>
      <c r="U20" s="714"/>
      <c r="V20" s="713"/>
      <c r="W20" s="714"/>
      <c r="X20" s="1537"/>
      <c r="Y20" s="3297"/>
      <c r="Z20" s="1538"/>
      <c r="AA20" s="1535">
        <v>1</v>
      </c>
      <c r="AB20" s="1535">
        <v>1</v>
      </c>
      <c r="AC20" s="1535">
        <v>1</v>
      </c>
    </row>
    <row r="21" spans="1:29" ht="85.5">
      <c r="A21" s="386"/>
      <c r="B21" s="409" t="s">
        <v>2530</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9"/>
      <c r="M21" s="2943"/>
      <c r="N21" s="2943"/>
      <c r="O21" s="3001"/>
      <c r="P21" s="3297"/>
      <c r="Q21" s="1534" t="str">
        <f>B21</f>
        <v>交通便捷度</v>
      </c>
      <c r="R21" s="713" t="s">
        <v>17</v>
      </c>
      <c r="S21" s="714">
        <f>F21</f>
        <v>100</v>
      </c>
      <c r="T21" s="713" t="s">
        <v>17</v>
      </c>
      <c r="U21" s="714">
        <f>H21</f>
        <v>100</v>
      </c>
      <c r="V21" s="713" t="s">
        <v>17</v>
      </c>
      <c r="W21" s="714">
        <f>J21</f>
        <v>100</v>
      </c>
      <c r="X21" s="1537"/>
      <c r="Y21" s="3297"/>
      <c r="Z21" s="1538" t="str">
        <f>Q21</f>
        <v>交通便捷度</v>
      </c>
      <c r="AA21" s="1535">
        <f t="shared" si="3"/>
        <v>1</v>
      </c>
      <c r="AB21" s="1535">
        <f t="shared" si="4"/>
        <v>1</v>
      </c>
      <c r="AC21" s="1535">
        <f t="shared" si="5"/>
        <v>1</v>
      </c>
    </row>
    <row r="22" spans="1:29" ht="15">
      <c r="A22" s="386"/>
      <c r="B22" s="1291"/>
      <c r="C22" s="3414" t="s">
        <v>3147</v>
      </c>
      <c r="D22" s="408"/>
      <c r="E22" s="3415" t="s">
        <v>3147</v>
      </c>
      <c r="F22" s="406"/>
      <c r="G22" s="3415" t="s">
        <v>3147</v>
      </c>
      <c r="H22" s="406"/>
      <c r="I22" s="3416" t="s">
        <v>3147</v>
      </c>
      <c r="J22" s="406"/>
      <c r="K22" s="627"/>
      <c r="L22" s="2949"/>
      <c r="M22" s="2943"/>
      <c r="N22" s="2943" t="s">
        <v>3143</v>
      </c>
      <c r="O22" s="3001"/>
      <c r="P22" s="3297"/>
      <c r="Q22" s="1534"/>
      <c r="R22" s="713"/>
      <c r="S22" s="714"/>
      <c r="T22" s="713"/>
      <c r="U22" s="714"/>
      <c r="V22" s="713"/>
      <c r="W22" s="714"/>
      <c r="X22" s="1537"/>
      <c r="Y22" s="3297"/>
      <c r="Z22" s="1538"/>
      <c r="AA22" s="1535">
        <v>1</v>
      </c>
      <c r="AB22" s="1535">
        <v>1</v>
      </c>
      <c r="AC22" s="1535">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9"/>
      <c r="M23" s="2943"/>
      <c r="N23" s="2943"/>
      <c r="O23" s="3001"/>
      <c r="P23" s="3297"/>
      <c r="Q23" s="1534" t="str">
        <f t="shared" ref="Q23:Q37" si="8">B23</f>
        <v>区域土地利用方向</v>
      </c>
      <c r="R23" s="713" t="s">
        <v>17</v>
      </c>
      <c r="S23" s="714">
        <f>F23</f>
        <v>100</v>
      </c>
      <c r="T23" s="713" t="s">
        <v>17</v>
      </c>
      <c r="U23" s="714">
        <f>H23</f>
        <v>100</v>
      </c>
      <c r="V23" s="713" t="s">
        <v>17</v>
      </c>
      <c r="W23" s="714">
        <f>J23</f>
        <v>100</v>
      </c>
      <c r="X23" s="1537"/>
      <c r="Y23" s="3297"/>
      <c r="Z23" s="1538" t="str">
        <f>Q23</f>
        <v>区域土地利用方向</v>
      </c>
      <c r="AA23" s="1535">
        <f t="shared" si="3"/>
        <v>1</v>
      </c>
      <c r="AB23" s="1535">
        <f t="shared" si="4"/>
        <v>1</v>
      </c>
      <c r="AC23" s="1535">
        <f t="shared" si="5"/>
        <v>1</v>
      </c>
    </row>
    <row r="24" spans="1:29" ht="15">
      <c r="A24" s="363"/>
      <c r="B24" s="414"/>
      <c r="C24" s="3417" t="s">
        <v>3147</v>
      </c>
      <c r="D24" s="406"/>
      <c r="E24" s="3415" t="s">
        <v>3147</v>
      </c>
      <c r="F24" s="406"/>
      <c r="G24" s="3416" t="s">
        <v>3147</v>
      </c>
      <c r="H24" s="406"/>
      <c r="I24" s="3416" t="s">
        <v>3147</v>
      </c>
      <c r="J24" s="406"/>
      <c r="K24" s="750"/>
      <c r="L24" s="2949"/>
      <c r="M24" s="2943"/>
      <c r="N24" s="2943"/>
      <c r="O24" s="3001"/>
      <c r="P24" s="3297"/>
      <c r="Q24" s="1534"/>
      <c r="R24" s="713"/>
      <c r="S24" s="714"/>
      <c r="T24" s="713"/>
      <c r="U24" s="714"/>
      <c r="V24" s="713"/>
      <c r="W24" s="714"/>
      <c r="X24" s="1537"/>
      <c r="Y24" s="3297"/>
      <c r="Z24" s="1538"/>
      <c r="AA24" s="1535"/>
      <c r="AB24" s="1535"/>
      <c r="AC24" s="1535"/>
    </row>
    <row r="25" spans="1:29" ht="57">
      <c r="A25" s="363"/>
      <c r="B25" s="1291" t="s">
        <v>2570</v>
      </c>
      <c r="C25" s="2139" t="str">
        <f>估价对象房地状况!C20</f>
        <v>区域自然环境：；人文环境；综合评价环境状况一般</v>
      </c>
      <c r="D25" s="408">
        <v>100</v>
      </c>
      <c r="E25" s="410"/>
      <c r="F25" s="408">
        <f>SUMIF(98:98,E26,99:99)-SUMIF(98:98,C26,99:99)+100</f>
        <v>101</v>
      </c>
      <c r="G25" s="410"/>
      <c r="H25" s="408">
        <f>SUMIF(98:98,G26,99:99)-SUMIF(98:98,C26,99:99)+100</f>
        <v>101</v>
      </c>
      <c r="I25" s="412"/>
      <c r="J25" s="408">
        <f>SUMIF(98:98,I26,99:99)-SUMIF(98:98,C26,99:99)+100</f>
        <v>101</v>
      </c>
      <c r="K25" s="628">
        <v>1</v>
      </c>
      <c r="L25" s="2949"/>
      <c r="M25" s="2943"/>
      <c r="N25" s="2943"/>
      <c r="O25" s="3001"/>
      <c r="P25" s="3297"/>
      <c r="Q25" s="1534" t="str">
        <f t="shared" si="8"/>
        <v>自然及人文环境状况</v>
      </c>
      <c r="R25" s="713" t="s">
        <v>17</v>
      </c>
      <c r="S25" s="714">
        <f>F25</f>
        <v>101</v>
      </c>
      <c r="T25" s="713" t="s">
        <v>17</v>
      </c>
      <c r="U25" s="714">
        <f>H25</f>
        <v>101</v>
      </c>
      <c r="V25" s="713" t="s">
        <v>17</v>
      </c>
      <c r="W25" s="714">
        <f>J25</f>
        <v>101</v>
      </c>
      <c r="X25" s="1537"/>
      <c r="Y25" s="3297"/>
      <c r="Z25" s="1538" t="str">
        <f>Q25</f>
        <v>自然及人文环境状况</v>
      </c>
      <c r="AA25" s="1535">
        <f t="shared" si="3"/>
        <v>0.99009900990099009</v>
      </c>
      <c r="AB25" s="1535">
        <f t="shared" si="4"/>
        <v>0.99009900990099009</v>
      </c>
      <c r="AC25" s="1535">
        <f t="shared" si="5"/>
        <v>0.99009900990099009</v>
      </c>
    </row>
    <row r="26" spans="1:29" ht="15">
      <c r="A26" s="363"/>
      <c r="B26" s="414"/>
      <c r="C26" s="3414" t="s">
        <v>3148</v>
      </c>
      <c r="D26" s="406"/>
      <c r="E26" s="3418" t="s">
        <v>3147</v>
      </c>
      <c r="F26" s="406"/>
      <c r="G26" s="3418" t="s">
        <v>3147</v>
      </c>
      <c r="H26" s="406"/>
      <c r="I26" s="3414" t="s">
        <v>3147</v>
      </c>
      <c r="J26" s="406"/>
      <c r="K26" s="627"/>
      <c r="L26" s="2949"/>
      <c r="M26" s="2943"/>
      <c r="N26" s="2943"/>
      <c r="O26" s="3001"/>
      <c r="P26" s="3297"/>
      <c r="Q26" s="1534"/>
      <c r="R26" s="713"/>
      <c r="S26" s="714"/>
      <c r="T26" s="713"/>
      <c r="U26" s="714"/>
      <c r="V26" s="713"/>
      <c r="W26" s="714"/>
      <c r="X26" s="1537"/>
      <c r="Y26" s="3297"/>
      <c r="Z26" s="1538"/>
      <c r="AA26" s="1535">
        <v>1</v>
      </c>
      <c r="AB26" s="1535">
        <v>1</v>
      </c>
      <c r="AC26" s="1535">
        <v>1</v>
      </c>
    </row>
    <row r="27" spans="1:29" s="112" customFormat="1" ht="42.75">
      <c r="A27" s="604"/>
      <c r="B27" s="1291" t="s">
        <v>2475</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4"/>
      <c r="M27" s="2945"/>
      <c r="N27" s="2945"/>
      <c r="O27" s="2999"/>
      <c r="P27" s="3297"/>
      <c r="Q27" s="1525" t="str">
        <f t="shared" si="8"/>
        <v>公共配套设施</v>
      </c>
      <c r="R27" s="709" t="s">
        <v>17</v>
      </c>
      <c r="S27" s="710">
        <f>F27</f>
        <v>100</v>
      </c>
      <c r="T27" s="709" t="s">
        <v>17</v>
      </c>
      <c r="U27" s="710">
        <f>H27</f>
        <v>100</v>
      </c>
      <c r="V27" s="709" t="s">
        <v>17</v>
      </c>
      <c r="W27" s="710">
        <f>J27</f>
        <v>100</v>
      </c>
      <c r="X27" s="711"/>
      <c r="Y27" s="3297"/>
      <c r="Z27" s="54" t="str">
        <f>Q27</f>
        <v>公共配套设施</v>
      </c>
      <c r="AA27" s="1535">
        <f>D27/F27</f>
        <v>1</v>
      </c>
      <c r="AB27" s="1535">
        <f>D27/H27</f>
        <v>1</v>
      </c>
      <c r="AC27" s="1535">
        <f>D27/J27</f>
        <v>1</v>
      </c>
    </row>
    <row r="28" spans="1:29" s="112" customFormat="1" ht="15">
      <c r="A28" s="604"/>
      <c r="B28" s="414"/>
      <c r="C28" s="3419" t="s">
        <v>3148</v>
      </c>
      <c r="D28" s="406"/>
      <c r="E28" s="3418" t="s">
        <v>3148</v>
      </c>
      <c r="F28" s="406"/>
      <c r="G28" s="3418" t="s">
        <v>3148</v>
      </c>
      <c r="H28" s="406"/>
      <c r="I28" s="3414" t="s">
        <v>3148</v>
      </c>
      <c r="J28" s="406"/>
      <c r="K28" s="627"/>
      <c r="L28" s="2944"/>
      <c r="M28" s="2945"/>
      <c r="N28" s="2945"/>
      <c r="O28" s="2999"/>
      <c r="P28" s="3297"/>
      <c r="Q28" s="1525"/>
      <c r="R28" s="709"/>
      <c r="S28" s="710"/>
      <c r="T28" s="709"/>
      <c r="U28" s="710"/>
      <c r="V28" s="709"/>
      <c r="W28" s="710"/>
      <c r="X28" s="711"/>
      <c r="Y28" s="3297"/>
      <c r="Z28" s="54"/>
      <c r="AA28" s="1535">
        <v>1</v>
      </c>
      <c r="AB28" s="1535">
        <v>1</v>
      </c>
      <c r="AC28" s="1535">
        <v>1</v>
      </c>
    </row>
    <row r="29" spans="1:29" s="112" customFormat="1" ht="28.5">
      <c r="A29" s="604"/>
      <c r="B29" s="1291" t="s">
        <v>2476</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4"/>
      <c r="M29" s="2945"/>
      <c r="N29" s="2945"/>
      <c r="O29" s="2999"/>
      <c r="P29" s="3297"/>
      <c r="Q29" s="1525" t="str">
        <f t="shared" ref="Q29" si="9">B29</f>
        <v>基础设施水平</v>
      </c>
      <c r="R29" s="709" t="s">
        <v>17</v>
      </c>
      <c r="S29" s="710">
        <f>F29</f>
        <v>100</v>
      </c>
      <c r="T29" s="709" t="s">
        <v>17</v>
      </c>
      <c r="U29" s="710">
        <f>H29</f>
        <v>100</v>
      </c>
      <c r="V29" s="709" t="s">
        <v>17</v>
      </c>
      <c r="W29" s="710">
        <f>J29</f>
        <v>100</v>
      </c>
      <c r="X29" s="711"/>
      <c r="Y29" s="3297"/>
      <c r="Z29" s="54" t="str">
        <f>Q29</f>
        <v>基础设施水平</v>
      </c>
      <c r="AA29" s="1535">
        <f>D29/F29</f>
        <v>1</v>
      </c>
      <c r="AB29" s="1535">
        <f>D29/H29</f>
        <v>1</v>
      </c>
      <c r="AC29" s="1535">
        <f>D29/J29</f>
        <v>1</v>
      </c>
    </row>
    <row r="30" spans="1:29" s="112" customFormat="1" ht="15">
      <c r="A30" s="604"/>
      <c r="B30" s="414"/>
      <c r="C30" s="3419" t="s">
        <v>3150</v>
      </c>
      <c r="D30" s="406"/>
      <c r="E30" s="3420" t="s">
        <v>3150</v>
      </c>
      <c r="F30" s="406"/>
      <c r="G30" s="3420" t="s">
        <v>3150</v>
      </c>
      <c r="H30" s="406"/>
      <c r="I30" s="3420" t="s">
        <v>3150</v>
      </c>
      <c r="J30" s="406"/>
      <c r="K30" s="627"/>
      <c r="L30" s="2944"/>
      <c r="M30" s="2945"/>
      <c r="N30" s="2945"/>
      <c r="O30" s="2999"/>
      <c r="P30" s="3297"/>
      <c r="Q30" s="1525"/>
      <c r="R30" s="709"/>
      <c r="S30" s="710"/>
      <c r="T30" s="709"/>
      <c r="U30" s="710"/>
      <c r="V30" s="709"/>
      <c r="W30" s="710"/>
      <c r="X30" s="711"/>
      <c r="Y30" s="3297"/>
      <c r="Z30" s="54"/>
      <c r="AA30" s="1535">
        <v>1</v>
      </c>
      <c r="AB30" s="1535">
        <v>1</v>
      </c>
      <c r="AC30" s="1535">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297"/>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97"/>
      <c r="Z31" s="1538" t="str">
        <f t="shared" ref="Z31:Z45" si="13">Q31</f>
        <v>临街状况</v>
      </c>
      <c r="AA31" s="1535">
        <f t="shared" si="3"/>
        <v>1</v>
      </c>
      <c r="AB31" s="1535">
        <f t="shared" si="4"/>
        <v>1</v>
      </c>
      <c r="AC31" s="1535">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297"/>
      <c r="Q32" s="1534" t="str">
        <f t="shared" si="8"/>
        <v>毗邻道路的类型与等级</v>
      </c>
      <c r="R32" s="713" t="s">
        <v>17</v>
      </c>
      <c r="S32" s="714">
        <f t="shared" si="10"/>
        <v>100</v>
      </c>
      <c r="T32" s="713" t="s">
        <v>17</v>
      </c>
      <c r="U32" s="714">
        <f t="shared" si="11"/>
        <v>100</v>
      </c>
      <c r="V32" s="713" t="s">
        <v>17</v>
      </c>
      <c r="W32" s="714">
        <f t="shared" si="12"/>
        <v>100</v>
      </c>
      <c r="X32" s="1537"/>
      <c r="Y32" s="3297"/>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9"/>
      <c r="M33" s="2943"/>
      <c r="N33" s="2943"/>
      <c r="O33" s="3001"/>
      <c r="P33" s="3297"/>
      <c r="Q33" s="1534"/>
      <c r="R33" s="713"/>
      <c r="S33" s="714"/>
      <c r="T33" s="713"/>
      <c r="U33" s="714"/>
      <c r="V33" s="713"/>
      <c r="W33" s="714"/>
      <c r="X33" s="1537"/>
      <c r="Y33" s="3297"/>
      <c r="Z33" s="1538"/>
      <c r="AA33" s="1535">
        <v>1</v>
      </c>
      <c r="AB33" s="1535">
        <v>1</v>
      </c>
      <c r="AC33" s="1535">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297"/>
      <c r="Q34" s="1534" t="str">
        <f t="shared" si="8"/>
        <v>土地级别</v>
      </c>
      <c r="R34" s="713" t="s">
        <v>17</v>
      </c>
      <c r="S34" s="714">
        <f t="shared" si="10"/>
        <v>100</v>
      </c>
      <c r="T34" s="713" t="s">
        <v>17</v>
      </c>
      <c r="U34" s="714">
        <f t="shared" si="11"/>
        <v>100</v>
      </c>
      <c r="V34" s="713" t="s">
        <v>17</v>
      </c>
      <c r="W34" s="714">
        <f t="shared" si="12"/>
        <v>100</v>
      </c>
      <c r="X34" s="1537"/>
      <c r="Y34" s="3297"/>
      <c r="Z34" s="1538" t="str">
        <f t="shared" si="13"/>
        <v>土地级别</v>
      </c>
      <c r="AA34" s="1535">
        <f t="shared" si="3"/>
        <v>1</v>
      </c>
      <c r="AB34" s="1535">
        <f t="shared" si="4"/>
        <v>1</v>
      </c>
      <c r="AC34" s="1535">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297"/>
      <c r="Q35" s="1534">
        <f t="shared" si="8"/>
        <v>111</v>
      </c>
      <c r="R35" s="713" t="s">
        <v>17</v>
      </c>
      <c r="S35" s="714">
        <f t="shared" si="10"/>
        <v>100</v>
      </c>
      <c r="T35" s="713" t="s">
        <v>17</v>
      </c>
      <c r="U35" s="714">
        <f t="shared" si="11"/>
        <v>100</v>
      </c>
      <c r="V35" s="713" t="s">
        <v>17</v>
      </c>
      <c r="W35" s="714">
        <f t="shared" si="12"/>
        <v>100</v>
      </c>
      <c r="X35" s="1537"/>
      <c r="Y35" s="3297"/>
      <c r="Z35" s="1538">
        <f t="shared" si="13"/>
        <v>111</v>
      </c>
      <c r="AA35" s="1535">
        <f t="shared" si="3"/>
        <v>1</v>
      </c>
      <c r="AB35" s="1535">
        <f t="shared" si="4"/>
        <v>1</v>
      </c>
      <c r="AC35" s="1535">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298" t="s">
        <v>2386</v>
      </c>
      <c r="Q36" s="1534">
        <f t="shared" si="8"/>
        <v>111</v>
      </c>
      <c r="R36" s="713" t="s">
        <v>17</v>
      </c>
      <c r="S36" s="714">
        <f t="shared" si="10"/>
        <v>100</v>
      </c>
      <c r="T36" s="713" t="s">
        <v>17</v>
      </c>
      <c r="U36" s="714">
        <f t="shared" si="11"/>
        <v>100</v>
      </c>
      <c r="V36" s="713" t="s">
        <v>17</v>
      </c>
      <c r="W36" s="714">
        <f t="shared" si="12"/>
        <v>100</v>
      </c>
      <c r="X36" s="1537"/>
      <c r="Y36" s="3299" t="s">
        <v>2386</v>
      </c>
      <c r="Z36" s="1538">
        <f t="shared" si="13"/>
        <v>111</v>
      </c>
      <c r="AA36" s="1535">
        <f t="shared" si="3"/>
        <v>1</v>
      </c>
      <c r="AB36" s="1535">
        <f t="shared" si="4"/>
        <v>1</v>
      </c>
      <c r="AC36" s="1535">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299"/>
      <c r="Q37" s="1534">
        <f t="shared" si="8"/>
        <v>111</v>
      </c>
      <c r="R37" s="716" t="s">
        <v>17</v>
      </c>
      <c r="S37" s="717">
        <f t="shared" si="10"/>
        <v>100</v>
      </c>
      <c r="T37" s="716" t="s">
        <v>17</v>
      </c>
      <c r="U37" s="717">
        <f t="shared" si="11"/>
        <v>100</v>
      </c>
      <c r="V37" s="716" t="s">
        <v>17</v>
      </c>
      <c r="W37" s="717">
        <f t="shared" si="12"/>
        <v>100</v>
      </c>
      <c r="X37" s="718"/>
      <c r="Y37" s="3299"/>
      <c r="Z37" s="719">
        <f t="shared" si="13"/>
        <v>111</v>
      </c>
      <c r="AA37" s="1535">
        <f t="shared" si="3"/>
        <v>1</v>
      </c>
      <c r="AB37" s="1535">
        <f t="shared" si="4"/>
        <v>1</v>
      </c>
      <c r="AC37" s="1535">
        <f t="shared" si="5"/>
        <v>1</v>
      </c>
    </row>
    <row r="38" spans="1:29" ht="15">
      <c r="A38" s="430" t="s">
        <v>2384</v>
      </c>
      <c r="B38" s="414" t="s">
        <v>2572</v>
      </c>
      <c r="C38" s="634">
        <v>54114.3</v>
      </c>
      <c r="D38" s="425">
        <v>100</v>
      </c>
      <c r="E38" s="634">
        <f>Sheet1!D8</f>
        <v>40969</v>
      </c>
      <c r="F38" s="425">
        <f>LOOKUP(E38,117:117,118:118)-LOOKUP(C38,117:117,118:118)+100</f>
        <v>100</v>
      </c>
      <c r="G38" s="634">
        <f>Sheet1!D9</f>
        <v>35000</v>
      </c>
      <c r="H38" s="425">
        <f>LOOKUP(G38,117:117,118:118)-LOOKUP(C38,117:117,118:118)+100</f>
        <v>99</v>
      </c>
      <c r="I38" s="486">
        <f>Sheet1!D10</f>
        <v>48662.5</v>
      </c>
      <c r="J38" s="425">
        <f>LOOKUP(I38,117:117,118:118)-LOOKUP(C38,117:117,118:118)+100</f>
        <v>100</v>
      </c>
      <c r="K38" s="569"/>
      <c r="L38" s="2949"/>
      <c r="M38" s="2943"/>
      <c r="N38" s="2943"/>
      <c r="O38" s="3001"/>
      <c r="P38" s="3299"/>
      <c r="Q38" s="1534" t="str">
        <f>B38</f>
        <v>宗地面积</v>
      </c>
      <c r="R38" s="713" t="s">
        <v>17</v>
      </c>
      <c r="S38" s="714">
        <f t="shared" si="10"/>
        <v>100</v>
      </c>
      <c r="T38" s="713" t="s">
        <v>17</v>
      </c>
      <c r="U38" s="714">
        <f t="shared" si="11"/>
        <v>99</v>
      </c>
      <c r="V38" s="713" t="s">
        <v>17</v>
      </c>
      <c r="W38" s="714">
        <f t="shared" si="12"/>
        <v>100</v>
      </c>
      <c r="X38" s="1537"/>
      <c r="Y38" s="3299"/>
      <c r="Z38" s="1538" t="str">
        <f t="shared" si="13"/>
        <v>宗地面积</v>
      </c>
      <c r="AA38" s="1535">
        <f t="shared" si="3"/>
        <v>1</v>
      </c>
      <c r="AB38" s="1535">
        <f t="shared" si="4"/>
        <v>1.0101010101010102</v>
      </c>
      <c r="AC38" s="1535">
        <f t="shared" si="5"/>
        <v>1</v>
      </c>
    </row>
    <row r="39" spans="1:29" ht="15">
      <c r="A39" s="430"/>
      <c r="B39" s="380" t="s">
        <v>2573</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9"/>
      <c r="M39" s="2943"/>
      <c r="N39" s="2943"/>
      <c r="O39" s="3001"/>
      <c r="P39" s="3299"/>
      <c r="Q39" s="1534" t="str">
        <f t="shared" ref="Q39:Q45" si="14">B39</f>
        <v>宗地形状</v>
      </c>
      <c r="R39" s="713" t="s">
        <v>17</v>
      </c>
      <c r="S39" s="714">
        <f t="shared" si="10"/>
        <v>100</v>
      </c>
      <c r="T39" s="713" t="s">
        <v>17</v>
      </c>
      <c r="U39" s="714">
        <f t="shared" si="11"/>
        <v>100</v>
      </c>
      <c r="V39" s="713" t="s">
        <v>17</v>
      </c>
      <c r="W39" s="714">
        <f t="shared" si="12"/>
        <v>100</v>
      </c>
      <c r="X39" s="1537"/>
      <c r="Y39" s="3299"/>
      <c r="Z39" s="1538" t="str">
        <f t="shared" si="13"/>
        <v>宗地形状</v>
      </c>
      <c r="AA39" s="1535">
        <f t="shared" si="3"/>
        <v>1</v>
      </c>
      <c r="AB39" s="1535">
        <f t="shared" si="4"/>
        <v>1</v>
      </c>
      <c r="AC39" s="1535">
        <f t="shared" si="5"/>
        <v>1</v>
      </c>
    </row>
    <row r="40" spans="1:29" ht="15">
      <c r="A40" s="430"/>
      <c r="B40" s="380" t="s">
        <v>2574</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9"/>
      <c r="M40" s="2943"/>
      <c r="N40" s="2943"/>
      <c r="O40" s="3001"/>
      <c r="P40" s="3299"/>
      <c r="Q40" s="1534" t="str">
        <f t="shared" si="14"/>
        <v>临街宽度及深度</v>
      </c>
      <c r="R40" s="713" t="s">
        <v>17</v>
      </c>
      <c r="S40" s="714">
        <f t="shared" si="10"/>
        <v>100</v>
      </c>
      <c r="T40" s="713" t="s">
        <v>17</v>
      </c>
      <c r="U40" s="714">
        <f t="shared" si="11"/>
        <v>100</v>
      </c>
      <c r="V40" s="713" t="s">
        <v>17</v>
      </c>
      <c r="W40" s="714">
        <f t="shared" si="12"/>
        <v>100</v>
      </c>
      <c r="X40" s="1537"/>
      <c r="Y40" s="3299"/>
      <c r="Z40" s="1538" t="str">
        <f t="shared" si="13"/>
        <v>临街宽度及深度</v>
      </c>
      <c r="AA40" s="1535">
        <f t="shared" si="3"/>
        <v>1</v>
      </c>
      <c r="AB40" s="1535">
        <f t="shared" si="4"/>
        <v>1</v>
      </c>
      <c r="AC40" s="1535">
        <f t="shared" si="5"/>
        <v>1</v>
      </c>
    </row>
    <row r="41" spans="1:29" s="112" customFormat="1" ht="15">
      <c r="A41" s="431"/>
      <c r="B41" s="380" t="s">
        <v>2575</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4"/>
      <c r="M41" s="2945"/>
      <c r="N41" s="2945"/>
      <c r="O41" s="2999"/>
      <c r="P41" s="3299"/>
      <c r="Q41" s="1534" t="str">
        <f t="shared" si="14"/>
        <v>宗地开发程度</v>
      </c>
      <c r="R41" s="709" t="s">
        <v>17</v>
      </c>
      <c r="S41" s="710">
        <f t="shared" si="10"/>
        <v>100</v>
      </c>
      <c r="T41" s="709" t="s">
        <v>17</v>
      </c>
      <c r="U41" s="710">
        <f t="shared" si="11"/>
        <v>100</v>
      </c>
      <c r="V41" s="709" t="s">
        <v>17</v>
      </c>
      <c r="W41" s="710">
        <f t="shared" si="12"/>
        <v>100</v>
      </c>
      <c r="X41" s="711"/>
      <c r="Y41" s="3299"/>
      <c r="Z41" s="54" t="str">
        <f t="shared" si="13"/>
        <v>宗地开发程度</v>
      </c>
      <c r="AA41" s="712">
        <f t="shared" si="3"/>
        <v>1</v>
      </c>
      <c r="AB41" s="712">
        <f t="shared" si="4"/>
        <v>1</v>
      </c>
      <c r="AC41" s="712">
        <f t="shared" si="5"/>
        <v>1</v>
      </c>
    </row>
    <row r="42" spans="1:29" ht="15">
      <c r="A42" s="430"/>
      <c r="B42" s="380" t="s">
        <v>2576</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9"/>
      <c r="M42" s="2943"/>
      <c r="N42" s="2943"/>
      <c r="O42" s="3001"/>
      <c r="P42" s="3299" t="s">
        <v>2386</v>
      </c>
      <c r="Q42" s="1534" t="str">
        <f t="shared" si="14"/>
        <v>工程地质条件</v>
      </c>
      <c r="R42" s="713" t="s">
        <v>17</v>
      </c>
      <c r="S42" s="714">
        <f t="shared" si="10"/>
        <v>100</v>
      </c>
      <c r="T42" s="713" t="s">
        <v>17</v>
      </c>
      <c r="U42" s="714">
        <f t="shared" si="11"/>
        <v>100</v>
      </c>
      <c r="V42" s="713" t="s">
        <v>17</v>
      </c>
      <c r="W42" s="714">
        <f t="shared" si="12"/>
        <v>100</v>
      </c>
      <c r="X42" s="1537"/>
      <c r="Y42" s="3299" t="s">
        <v>2386</v>
      </c>
      <c r="Z42" s="1538" t="str">
        <f t="shared" si="13"/>
        <v>工程地质条件</v>
      </c>
      <c r="AA42" s="1535">
        <f t="shared" si="3"/>
        <v>1</v>
      </c>
      <c r="AB42" s="1535">
        <f t="shared" si="4"/>
        <v>1</v>
      </c>
      <c r="AC42" s="1535">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299"/>
      <c r="Q43" s="1534">
        <f t="shared" si="14"/>
        <v>111</v>
      </c>
      <c r="R43" s="713" t="s">
        <v>17</v>
      </c>
      <c r="S43" s="714">
        <f t="shared" si="10"/>
        <v>100</v>
      </c>
      <c r="T43" s="713" t="s">
        <v>17</v>
      </c>
      <c r="U43" s="714">
        <f t="shared" si="11"/>
        <v>100</v>
      </c>
      <c r="V43" s="713" t="s">
        <v>17</v>
      </c>
      <c r="W43" s="714">
        <f t="shared" si="12"/>
        <v>100</v>
      </c>
      <c r="X43" s="1537"/>
      <c r="Y43" s="3299"/>
      <c r="Z43" s="1538">
        <f t="shared" si="13"/>
        <v>111</v>
      </c>
      <c r="AA43" s="1535">
        <f t="shared" si="3"/>
        <v>1</v>
      </c>
      <c r="AB43" s="1535">
        <f t="shared" si="4"/>
        <v>1</v>
      </c>
      <c r="AC43" s="1535">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299"/>
      <c r="Q44" s="1534">
        <f t="shared" si="14"/>
        <v>111</v>
      </c>
      <c r="R44" s="713" t="s">
        <v>17</v>
      </c>
      <c r="S44" s="714">
        <f t="shared" si="10"/>
        <v>100</v>
      </c>
      <c r="T44" s="713" t="s">
        <v>17</v>
      </c>
      <c r="U44" s="714">
        <f t="shared" si="11"/>
        <v>100</v>
      </c>
      <c r="V44" s="713" t="s">
        <v>17</v>
      </c>
      <c r="W44" s="714">
        <f t="shared" si="12"/>
        <v>100</v>
      </c>
      <c r="X44" s="1537"/>
      <c r="Y44" s="3299"/>
      <c r="Z44" s="1538">
        <f t="shared" si="13"/>
        <v>111</v>
      </c>
      <c r="AA44" s="1535">
        <f t="shared" si="3"/>
        <v>1</v>
      </c>
      <c r="AB44" s="1535">
        <f t="shared" si="4"/>
        <v>1</v>
      </c>
      <c r="AC44" s="1535">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299"/>
      <c r="Q45" s="1534">
        <f t="shared" si="14"/>
        <v>111</v>
      </c>
      <c r="R45" s="716" t="s">
        <v>17</v>
      </c>
      <c r="S45" s="717">
        <f t="shared" si="10"/>
        <v>100</v>
      </c>
      <c r="T45" s="716" t="s">
        <v>17</v>
      </c>
      <c r="U45" s="717">
        <f t="shared" si="11"/>
        <v>100</v>
      </c>
      <c r="V45" s="716" t="s">
        <v>17</v>
      </c>
      <c r="W45" s="717">
        <f t="shared" si="12"/>
        <v>100</v>
      </c>
      <c r="X45" s="718"/>
      <c r="Y45" s="3299"/>
      <c r="Z45" s="719">
        <f t="shared" si="13"/>
        <v>111</v>
      </c>
      <c r="AA45" s="1535">
        <f t="shared" si="3"/>
        <v>1</v>
      </c>
      <c r="AB45" s="1535">
        <f t="shared" si="4"/>
        <v>1</v>
      </c>
      <c r="AC45" s="1535">
        <f t="shared" si="5"/>
        <v>1</v>
      </c>
    </row>
    <row r="46" spans="1:29" ht="15">
      <c r="A46" s="437" t="s">
        <v>2541</v>
      </c>
      <c r="B46" s="2166" t="s">
        <v>2577</v>
      </c>
      <c r="C46" s="637" t="s">
        <v>1</v>
      </c>
      <c r="D46" s="439"/>
      <c r="E46" s="440">
        <v>2454</v>
      </c>
      <c r="F46" s="441"/>
      <c r="G46" s="442">
        <v>2904</v>
      </c>
      <c r="H46" s="443"/>
      <c r="I46" s="440">
        <v>2699</v>
      </c>
      <c r="J46" s="443"/>
      <c r="K46" s="722"/>
      <c r="L46" s="2951"/>
      <c r="M46" s="2952"/>
      <c r="N46" s="2943"/>
      <c r="O46" s="2952"/>
      <c r="P46" s="3281" t="str">
        <f>A46</f>
        <v>成交单价</v>
      </c>
      <c r="Q46" s="3281"/>
      <c r="R46" s="3294">
        <f>E46</f>
        <v>2454</v>
      </c>
      <c r="S46" s="3294"/>
      <c r="T46" s="3294">
        <f>G46</f>
        <v>2904</v>
      </c>
      <c r="U46" s="3294"/>
      <c r="V46" s="3294">
        <f>I46</f>
        <v>2699</v>
      </c>
      <c r="W46" s="3294"/>
      <c r="X46" s="698"/>
      <c r="Y46" s="720"/>
      <c r="Z46" s="698"/>
      <c r="AA46" s="698"/>
      <c r="AB46" s="698"/>
      <c r="AC46" s="698"/>
    </row>
    <row r="47" spans="1:29" ht="15.75" thickBot="1">
      <c r="A47" s="444" t="s">
        <v>2490</v>
      </c>
      <c r="B47" s="638"/>
      <c r="C47" s="447">
        <f>R48</f>
        <v>2053</v>
      </c>
      <c r="D47" s="2536" t="s">
        <v>2881</v>
      </c>
      <c r="E47" s="447">
        <f>R47</f>
        <v>1866</v>
      </c>
      <c r="F47" s="2537"/>
      <c r="G47" s="446">
        <f>T47</f>
        <v>2231</v>
      </c>
      <c r="H47" s="2537"/>
      <c r="I47" s="447">
        <f>V47</f>
        <v>2063</v>
      </c>
      <c r="J47" s="2537"/>
      <c r="K47" s="2539">
        <f>F47+H47+J47</f>
        <v>0</v>
      </c>
      <c r="L47" s="2951"/>
      <c r="M47" s="2952"/>
      <c r="N47" s="2952"/>
      <c r="O47" s="2952"/>
      <c r="P47" s="3281" t="str">
        <f>A47</f>
        <v>比较价值（元/平方米）</v>
      </c>
      <c r="Q47" s="3281"/>
      <c r="R47" s="3300">
        <f>ROUND(PRODUCT(R46,AA7:AA45),0)</f>
        <v>1866</v>
      </c>
      <c r="S47" s="3300"/>
      <c r="T47" s="3300">
        <f>ROUND(PRODUCT(T46,AB7:AB45),0)</f>
        <v>2231</v>
      </c>
      <c r="U47" s="3300"/>
      <c r="V47" s="3300">
        <f>ROUND(PRODUCT(V46,AC7:AC45),0)</f>
        <v>2063</v>
      </c>
      <c r="W47" s="3300"/>
      <c r="X47" s="698"/>
      <c r="Y47" s="698"/>
      <c r="Z47" s="698"/>
      <c r="AA47" s="698"/>
      <c r="AB47" s="698"/>
      <c r="AC47" s="698"/>
    </row>
    <row r="48" spans="1:29" ht="15.75" thickBot="1">
      <c r="A48" s="448" t="s">
        <v>2578</v>
      </c>
      <c r="B48" s="449"/>
      <c r="C48" s="450">
        <f>R48</f>
        <v>2053</v>
      </c>
      <c r="D48" s="450"/>
      <c r="E48" s="450"/>
      <c r="F48" s="450"/>
      <c r="G48" s="450"/>
      <c r="H48" s="450"/>
      <c r="I48" s="450"/>
      <c r="J48" s="450"/>
      <c r="K48" s="723"/>
      <c r="L48" s="2951"/>
      <c r="M48" s="2952"/>
      <c r="N48" s="2952"/>
      <c r="O48" s="2952"/>
      <c r="P48" s="3301" t="str">
        <f>A48</f>
        <v>估价对象XX用房的比较价值（楼面单价，元/平方米）</v>
      </c>
      <c r="Q48" s="3302"/>
      <c r="R48" s="3303">
        <f>ROUND(IF(D47="简单平均",AVERAGE(R47:W47),R47*F47+T47*H47+V47*J47),0)</f>
        <v>2053</v>
      </c>
      <c r="S48" s="3303"/>
      <c r="T48" s="3303"/>
      <c r="U48" s="3303"/>
      <c r="V48" s="3303"/>
      <c r="W48" s="3303"/>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2492</v>
      </c>
      <c r="D51" s="454"/>
      <c r="E51" s="455">
        <f>IF(E46&lt;E47,E47/E46-1,E46/E47-1)</f>
        <v>0.31511254019292601</v>
      </c>
      <c r="F51" s="456" t="str">
        <f>IF(OR(E51&gt;=0.3,E51&lt;=-0.3),"超过30%","")</f>
        <v>超过30%</v>
      </c>
      <c r="G51" s="455">
        <f>IF(G46&lt;G47,G47/G46-1,G46/G47-1)</f>
        <v>0.30165844912595241</v>
      </c>
      <c r="H51" s="456" t="str">
        <f>IF(OR(G51&gt;=0.3,G51&lt;=-0.3),"超过30%","")</f>
        <v>超过30%</v>
      </c>
      <c r="I51" s="455">
        <f>IF(I46&lt;I47,I47/I46-1,I46/I47-1)</f>
        <v>0.30828889966068829</v>
      </c>
      <c r="J51" s="456" t="str">
        <f>IF(OR(I51&gt;=0.3,I51&lt;=-0.3),"超过30%","")</f>
        <v>超过30%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2493</v>
      </c>
      <c r="D52" s="457"/>
      <c r="E52" s="455">
        <f>IF(E47&lt;G47,G47/E47-1,E47/G47-1)</f>
        <v>0.19560557341907825</v>
      </c>
      <c r="F52" s="456" t="str">
        <f>IF(OR(E52&gt;=0.2,E52&lt;=-0.2),"超过20%","")</f>
        <v/>
      </c>
      <c r="G52" s="455">
        <f>IF(G47&lt;I47,I47/G47-1,G47/I47-1)</f>
        <v>8.1434803683955392E-2</v>
      </c>
      <c r="H52" s="456" t="str">
        <f>IF(OR(G52&gt;=0.2,G52&lt;=-0.2),"超过20%","")</f>
        <v/>
      </c>
      <c r="I52" s="455">
        <f>IF(I47&lt;E47,E47/I47-1,I47/E47-1)</f>
        <v>0.10557341907824225</v>
      </c>
      <c r="J52" s="456"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2494</v>
      </c>
      <c r="D53" s="457"/>
      <c r="E53" s="455">
        <f>IF(E46&lt;G46,G46/E46-1,E46/G46-1)</f>
        <v>0.18337408312958425</v>
      </c>
      <c r="F53" s="456" t="str">
        <f>IF(OR(E53&gt;=0.3,E53&lt;=-0.3),"超过30%","")</f>
        <v/>
      </c>
      <c r="G53" s="455">
        <f>IF(G46&lt;I46,I46/G46-1,G46/I46-1)</f>
        <v>7.59540570581696E-2</v>
      </c>
      <c r="H53" s="456" t="str">
        <f>IF(OR(G53&gt;=0.3,G53&lt;=-0.3),"超过30%","")</f>
        <v/>
      </c>
      <c r="I53" s="455">
        <f>IF(I46&lt;E46,E46/I46-1,I46/E46-1)</f>
        <v>9.9837000814996024E-2</v>
      </c>
      <c r="J53" s="456"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2579</v>
      </c>
      <c r="B55" s="640" t="s">
        <v>2580</v>
      </c>
      <c r="C55" s="2167" t="s">
        <v>2581</v>
      </c>
      <c r="D55" s="2168" t="s">
        <v>2582</v>
      </c>
      <c r="E55" s="641" t="s">
        <v>2583</v>
      </c>
      <c r="F55" s="1020" t="s">
        <v>2584</v>
      </c>
      <c r="G55" s="3282" t="s">
        <v>2585</v>
      </c>
      <c r="H55" s="3304"/>
      <c r="I55" s="139"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2588</v>
      </c>
      <c r="B56" s="644">
        <f>C48</f>
        <v>2053</v>
      </c>
      <c r="C56" s="645">
        <v>1</v>
      </c>
      <c r="D56" s="1074">
        <v>1</v>
      </c>
      <c r="E56" s="645">
        <f>'数据-汇总表'!E8+'数据-汇总表'!E9</f>
        <v>45218.69</v>
      </c>
      <c r="F56" s="1016">
        <f t="shared" ref="F56:F65" si="15">ROUND(B56*E56/10000,0)</f>
        <v>9283</v>
      </c>
      <c r="G56" s="3305"/>
      <c r="H56" s="3281"/>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2589</v>
      </c>
      <c r="B57" s="223">
        <f>ROUND($C$48*C57*D57,0)</f>
        <v>0</v>
      </c>
      <c r="C57" s="175">
        <f t="shared" ref="C57:C65" si="16">IF($C$55="北京市系数",I57,J57)</f>
        <v>0</v>
      </c>
      <c r="D57" s="1075">
        <v>0.25</v>
      </c>
      <c r="E57" s="649"/>
      <c r="F57" s="1016">
        <f t="shared" si="15"/>
        <v>0</v>
      </c>
      <c r="G57" s="3306" t="s">
        <v>2590</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2591</v>
      </c>
      <c r="B58" s="223">
        <f t="shared" ref="B58:B65" si="17">ROUND($C$48*C58*D58,0)</f>
        <v>0</v>
      </c>
      <c r="C58" s="175">
        <f t="shared" si="16"/>
        <v>0</v>
      </c>
      <c r="D58" s="1075">
        <v>0.25</v>
      </c>
      <c r="E58" s="649"/>
      <c r="F58" s="1016">
        <f t="shared" si="15"/>
        <v>0</v>
      </c>
      <c r="G58" s="3306"/>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2592</v>
      </c>
      <c r="B59" s="223">
        <f t="shared" si="17"/>
        <v>0</v>
      </c>
      <c r="C59" s="175">
        <f t="shared" si="16"/>
        <v>0</v>
      </c>
      <c r="D59" s="1075">
        <v>0.25</v>
      </c>
      <c r="E59" s="649"/>
      <c r="F59" s="1016">
        <f t="shared" si="15"/>
        <v>0</v>
      </c>
      <c r="G59" s="3306"/>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2593</v>
      </c>
      <c r="B60" s="223">
        <f t="shared" si="17"/>
        <v>0</v>
      </c>
      <c r="C60" s="175">
        <f t="shared" si="16"/>
        <v>0</v>
      </c>
      <c r="D60" s="1075">
        <v>0.25</v>
      </c>
      <c r="E60" s="649"/>
      <c r="F60" s="1016">
        <f t="shared" si="15"/>
        <v>0</v>
      </c>
      <c r="G60" s="3306"/>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2594</v>
      </c>
      <c r="B61" s="223">
        <f t="shared" si="17"/>
        <v>0</v>
      </c>
      <c r="C61" s="175">
        <f t="shared" si="16"/>
        <v>0</v>
      </c>
      <c r="D61" s="1075">
        <v>0.25</v>
      </c>
      <c r="E61" s="222">
        <f>'数据-汇总表'!E11</f>
        <v>0</v>
      </c>
      <c r="F61" s="1016">
        <f t="shared" si="15"/>
        <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2596</v>
      </c>
      <c r="B62" s="223">
        <f t="shared" si="17"/>
        <v>0</v>
      </c>
      <c r="C62" s="175">
        <f t="shared" si="16"/>
        <v>0</v>
      </c>
      <c r="D62" s="1075">
        <v>0.25</v>
      </c>
      <c r="E62" s="222">
        <f>'数据-汇总表'!E12</f>
        <v>0</v>
      </c>
      <c r="F62" s="1016">
        <f t="shared" si="15"/>
        <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2598</v>
      </c>
      <c r="B63" s="223">
        <f t="shared" si="17"/>
        <v>0</v>
      </c>
      <c r="C63" s="175">
        <f t="shared" si="16"/>
        <v>0</v>
      </c>
      <c r="D63" s="1075">
        <v>0.25</v>
      </c>
      <c r="E63" s="222">
        <f>'数据-汇总表'!E13</f>
        <v>0</v>
      </c>
      <c r="F63" s="1016">
        <f t="shared" si="15"/>
        <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2600</v>
      </c>
      <c r="B64" s="223">
        <f t="shared" si="17"/>
        <v>0</v>
      </c>
      <c r="C64" s="175">
        <f t="shared" si="16"/>
        <v>0</v>
      </c>
      <c r="D64" s="1075">
        <v>0.25</v>
      </c>
      <c r="E64" s="222">
        <f>'数据-汇总表'!E14</f>
        <v>0</v>
      </c>
      <c r="F64" s="1016">
        <f t="shared" si="15"/>
        <v>0</v>
      </c>
      <c r="G64" s="2171" t="s">
        <v>2590</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2601</v>
      </c>
      <c r="B65" s="223">
        <f t="shared" si="17"/>
        <v>0</v>
      </c>
      <c r="C65" s="175">
        <f t="shared" si="16"/>
        <v>0</v>
      </c>
      <c r="D65" s="1075">
        <v>0.25</v>
      </c>
      <c r="E65" s="222">
        <f>'数据-汇总表'!E15</f>
        <v>0</v>
      </c>
      <c r="F65" s="1016">
        <f t="shared" si="15"/>
        <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2602</v>
      </c>
      <c r="B66" s="651" t="s">
        <v>28</v>
      </c>
      <c r="C66" s="651" t="s">
        <v>29</v>
      </c>
      <c r="D66" s="651" t="s">
        <v>997</v>
      </c>
      <c r="E66" s="651">
        <f>IF(B46="楼面地价",SUM(E56:E65),'数据-汇总表'!D3)</f>
        <v>45218.69</v>
      </c>
      <c r="F66" s="652">
        <f>IF(B46="楼面地价",SUM(F56:F65),ROUND(C48*E66/10000,0))</f>
        <v>9283</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2" customFormat="1" ht="30" customHeight="1">
      <c r="A71" s="2174" t="s">
        <v>2604</v>
      </c>
      <c r="B71" s="293" t="str">
        <f>"北京市平均增长率"&amp;TEXT(SUMIF(基准地价修正!N21:N25,A71,基准地价修正!P21:P25),"0.00%")</f>
        <v>北京市平均增长率1.87%</v>
      </c>
      <c r="C71" s="559">
        <v>100</v>
      </c>
      <c r="D71" s="551">
        <v>99.5</v>
      </c>
      <c r="E71" s="551">
        <v>99</v>
      </c>
      <c r="F71" s="551">
        <v>98.5</v>
      </c>
      <c r="G71" s="551">
        <v>98</v>
      </c>
      <c r="H71" s="551">
        <v>97.5</v>
      </c>
      <c r="I71" s="551">
        <v>97</v>
      </c>
      <c r="J71" s="551">
        <v>96.5</v>
      </c>
      <c r="K71" s="551">
        <v>96</v>
      </c>
      <c r="L71" s="551">
        <v>95.5</v>
      </c>
      <c r="M71" s="551">
        <v>95</v>
      </c>
      <c r="N71" s="551"/>
      <c r="O71" s="1339"/>
      <c r="P71" s="2966"/>
      <c r="Q71" s="2886"/>
      <c r="R71" s="2886"/>
      <c r="S71" s="2886"/>
      <c r="T71" s="2886"/>
      <c r="U71" s="2886"/>
      <c r="V71" s="2886"/>
      <c r="W71" s="2886"/>
      <c r="X71" s="2886"/>
      <c r="Y71" s="2886"/>
      <c r="Z71" s="2886"/>
      <c r="AA71" s="2886"/>
      <c r="AB71" s="2886"/>
      <c r="AC71" s="2886"/>
    </row>
    <row r="72" spans="1:29" s="112" customFormat="1" ht="15.75" thickBot="1">
      <c r="A72" s="471" t="s">
        <v>2406</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2" customFormat="1" ht="15">
      <c r="A73" s="477" t="s">
        <v>2371</v>
      </c>
      <c r="B73" s="466"/>
      <c r="C73" s="478" t="s">
        <v>2473</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2"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2409</v>
      </c>
      <c r="B75" s="484" t="s">
        <v>2375</v>
      </c>
      <c r="C75" s="486"/>
      <c r="D75" s="486"/>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c r="D76" s="492"/>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2378</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2379</v>
      </c>
      <c r="C79" s="503" t="str">
        <f>C80&amp;"（含）"&amp;"-"&amp;D80</f>
        <v>0（含）-1</v>
      </c>
      <c r="D79" s="503" t="str">
        <f t="shared" ref="D79:L79" si="20">D80&amp;"（含）"&amp;"-"&amp;E80</f>
        <v>1（含）-2</v>
      </c>
      <c r="E79" s="503" t="str">
        <f t="shared" si="20"/>
        <v>2（含）-3</v>
      </c>
      <c r="F79" s="503" t="str">
        <f t="shared" si="20"/>
        <v>3（含）-4</v>
      </c>
      <c r="G79" s="503" t="str">
        <f t="shared" si="20"/>
        <v>4（含）-</v>
      </c>
      <c r="H79" s="503" t="str">
        <f t="shared" si="20"/>
        <v>（含）-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v>0</v>
      </c>
      <c r="D80" s="505">
        <v>1</v>
      </c>
      <c r="E80" s="505">
        <v>2</v>
      </c>
      <c r="F80" s="505">
        <v>3</v>
      </c>
      <c r="G80" s="505">
        <v>4</v>
      </c>
      <c r="H80" s="505"/>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2380</v>
      </c>
      <c r="B88" s="484" t="s">
        <v>2417</v>
      </c>
      <c r="C88" s="529" t="s">
        <v>2418</v>
      </c>
      <c r="D88" s="529" t="s">
        <v>2419</v>
      </c>
      <c r="E88" s="529" t="s">
        <v>2420</v>
      </c>
      <c r="F88" s="529" t="s">
        <v>2421</v>
      </c>
      <c r="G88" s="529" t="s">
        <v>2422</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2605</v>
      </c>
      <c r="C90" s="534" t="s">
        <v>2418</v>
      </c>
      <c r="D90" s="534" t="s">
        <v>2419</v>
      </c>
      <c r="E90" s="534" t="s">
        <v>2420</v>
      </c>
      <c r="F90" s="534" t="s">
        <v>2421</v>
      </c>
      <c r="G90" s="534" t="s">
        <v>2422</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99</v>
      </c>
      <c r="E91" s="500">
        <f>D91-$K17</f>
        <v>98</v>
      </c>
      <c r="F91" s="500">
        <f>E91-$K17</f>
        <v>97</v>
      </c>
      <c r="G91" s="500">
        <f>F91-$K17</f>
        <v>96</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2518</v>
      </c>
      <c r="C92" s="534" t="s">
        <v>2418</v>
      </c>
      <c r="D92" s="534" t="s">
        <v>2419</v>
      </c>
      <c r="E92" s="534" t="s">
        <v>2420</v>
      </c>
      <c r="F92" s="534" t="s">
        <v>2421</v>
      </c>
      <c r="G92" s="534" t="s">
        <v>2422</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2423</v>
      </c>
      <c r="C94" s="534" t="s">
        <v>2418</v>
      </c>
      <c r="D94" s="534" t="s">
        <v>2419</v>
      </c>
      <c r="E94" s="534" t="s">
        <v>2420</v>
      </c>
      <c r="F94" s="534" t="s">
        <v>2421</v>
      </c>
      <c r="G94" s="534" t="s">
        <v>2422</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2" customFormat="1" ht="15.75" thickTop="1">
      <c r="A96" s="535"/>
      <c r="B96" s="494" t="s">
        <v>2606</v>
      </c>
      <c r="C96" s="534" t="s">
        <v>2418</v>
      </c>
      <c r="D96" s="534" t="s">
        <v>2419</v>
      </c>
      <c r="E96" s="534" t="s">
        <v>2420</v>
      </c>
      <c r="F96" s="534" t="s">
        <v>2421</v>
      </c>
      <c r="G96" s="534" t="s">
        <v>2422</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2" customFormat="1" ht="27.75" thickTop="1">
      <c r="A98" s="535"/>
      <c r="B98" s="494" t="s">
        <v>2607</v>
      </c>
      <c r="C98" s="529" t="s">
        <v>2418</v>
      </c>
      <c r="D98" s="529" t="s">
        <v>2419</v>
      </c>
      <c r="E98" s="529" t="s">
        <v>2420</v>
      </c>
      <c r="F98" s="529" t="s">
        <v>2421</v>
      </c>
      <c r="G98" s="529" t="s">
        <v>2422</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2" customFormat="1" ht="15.75" thickBot="1">
      <c r="A99" s="535"/>
      <c r="B99" s="499"/>
      <c r="C99" s="500">
        <v>100</v>
      </c>
      <c r="D99" s="500">
        <f>C99-$K25</f>
        <v>99</v>
      </c>
      <c r="E99" s="500">
        <f>D99-$K25</f>
        <v>98</v>
      </c>
      <c r="F99" s="500">
        <f>E99-$K25</f>
        <v>97</v>
      </c>
      <c r="G99" s="500">
        <f>F99-$K25</f>
        <v>96</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2512</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2571</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ht="28.5">
      <c r="A116" s="483" t="s">
        <v>2384</v>
      </c>
      <c r="B116" s="484" t="s">
        <v>2612</v>
      </c>
      <c r="C116" s="485" t="str">
        <f>C117&amp;"(含)"&amp;"-"&amp;D117</f>
        <v>0(含)-20000</v>
      </c>
      <c r="D116" s="485" t="str">
        <f t="shared" ref="D116:M116" si="25">D117&amp;"(含)"&amp;"-"&amp;E117</f>
        <v>20000(含)-40000</v>
      </c>
      <c r="E116" s="485" t="str">
        <f t="shared" si="25"/>
        <v>40000(含)-60000</v>
      </c>
      <c r="F116" s="485" t="str">
        <f t="shared" si="25"/>
        <v>60000(含)-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v>0</v>
      </c>
      <c r="D117" s="551">
        <v>20000</v>
      </c>
      <c r="E117" s="551">
        <v>40000</v>
      </c>
      <c r="F117" s="551">
        <v>60000</v>
      </c>
      <c r="G117" s="551"/>
      <c r="H117" s="551"/>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v>100</v>
      </c>
      <c r="D118" s="547">
        <v>101</v>
      </c>
      <c r="E118" s="547">
        <v>102</v>
      </c>
      <c r="F118" s="547">
        <v>103</v>
      </c>
      <c r="G118" s="547"/>
      <c r="H118" s="547"/>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2613</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2614</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2615</v>
      </c>
      <c r="C123" s="510"/>
      <c r="D123" s="510"/>
      <c r="E123" s="510"/>
      <c r="F123" s="510"/>
      <c r="G123" s="510"/>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2616</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5" zoomScaleNormal="70" zoomScaleSheetLayoutView="85" workbookViewId="0">
      <selection activeCell="F9" sqref="F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t="s">
        <v>1343</v>
      </c>
      <c r="D1" s="1544" t="s">
        <v>70</v>
      </c>
      <c r="E1" s="1545" t="s">
        <v>1352</v>
      </c>
      <c r="F1" s="1192">
        <f ca="1">J53</f>
        <v>20.09</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20922</v>
      </c>
      <c r="C2" s="1569" t="s">
        <v>1481</v>
      </c>
      <c r="D2" s="1569"/>
      <c r="E2" s="1570"/>
      <c r="F2" s="1571"/>
      <c r="G2" s="2933"/>
      <c r="H2" s="2922"/>
      <c r="I2" s="2922"/>
      <c r="J2" s="2922"/>
      <c r="K2" s="2923"/>
      <c r="L2" s="2922"/>
      <c r="M2" s="2922"/>
    </row>
    <row r="3" spans="1:37" ht="18" customHeight="1" thickBot="1">
      <c r="A3" s="1572" t="s">
        <v>1482</v>
      </c>
      <c r="B3" s="1573">
        <f ca="1">IF(ISERROR(B2*10000/F43),0,ROUND(B2*10000/F43,0))</f>
        <v>4627</v>
      </c>
      <c r="C3" s="1569" t="s">
        <v>1483</v>
      </c>
      <c r="D3" s="1569"/>
      <c r="E3" s="1570"/>
      <c r="F3" s="1571"/>
      <c r="G3" s="2933"/>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1">
        <f ca="1">C6+C10+C12</f>
        <v>2400</v>
      </c>
      <c r="D5" s="1546" t="s">
        <v>1367</v>
      </c>
      <c r="E5" s="1202"/>
      <c r="F5" s="1203"/>
      <c r="G5" s="1566"/>
      <c r="H5" s="304">
        <v>1</v>
      </c>
      <c r="I5" s="305" t="s">
        <v>1366</v>
      </c>
      <c r="J5" s="1201">
        <f ca="1">J6+J10+J12</f>
        <v>0</v>
      </c>
      <c r="K5" s="1546" t="s">
        <v>1367</v>
      </c>
      <c r="L5" s="1202"/>
      <c r="M5" s="1203"/>
    </row>
    <row r="6" spans="1:37" ht="18" customHeight="1">
      <c r="A6" s="1200" t="s">
        <v>1003</v>
      </c>
      <c r="B6" s="3309" t="s">
        <v>1368</v>
      </c>
      <c r="C6" s="1205">
        <f ca="1">ROUND(F6*F8*F7*(1-F9)/10000,0)</f>
        <v>2400</v>
      </c>
      <c r="D6" s="159" t="s">
        <v>2851</v>
      </c>
      <c r="E6" s="307" t="s">
        <v>1370</v>
      </c>
      <c r="F6" s="308">
        <f ca="1">INDIRECT("'数据-取费表'!u"&amp;$G$1)</f>
        <v>24000000</v>
      </c>
      <c r="G6" s="1566"/>
      <c r="H6" s="1200" t="s">
        <v>1003</v>
      </c>
      <c r="I6" s="3309" t="s">
        <v>1368</v>
      </c>
      <c r="J6" s="306">
        <f ca="1">ROUND(M6*M8*M7*(1-M9)/10000,0)</f>
        <v>0</v>
      </c>
      <c r="K6" s="159" t="s">
        <v>2850</v>
      </c>
      <c r="L6" s="307" t="s">
        <v>1370</v>
      </c>
      <c r="M6" s="308">
        <f ca="1">INDIRECT("'数据-取费表'!z"&amp;$G$1)</f>
        <v>0</v>
      </c>
    </row>
    <row r="7" spans="1:37" ht="18" customHeight="1">
      <c r="A7" s="1204"/>
      <c r="B7" s="3310"/>
      <c r="C7" s="1206"/>
      <c r="D7" s="312"/>
      <c r="E7" s="1207" t="s">
        <v>1371</v>
      </c>
      <c r="F7" s="308">
        <f ca="1">IF(INDIRECT("'数据-取费表'!ah"&amp;$G$1)="",INDIRECT("'数据-取费表'!k"&amp;$G$1),INDIRECT("'数据-取费表'!ah"&amp;$G$1))</f>
        <v>1</v>
      </c>
      <c r="G7" s="1566"/>
      <c r="H7" s="309"/>
      <c r="I7" s="3310"/>
      <c r="J7" s="311"/>
      <c r="K7" s="312"/>
      <c r="L7" s="307" t="s">
        <v>1371</v>
      </c>
      <c r="M7" s="308">
        <f ca="1">F7</f>
        <v>1</v>
      </c>
    </row>
    <row r="8" spans="1:37" ht="18" customHeight="1">
      <c r="A8" s="309"/>
      <c r="B8" s="3310"/>
      <c r="C8" s="311"/>
      <c r="D8" s="312"/>
      <c r="E8" s="307" t="s">
        <v>1372</v>
      </c>
      <c r="F8" s="308">
        <f ca="1">INDIRECT("'数据-取费表'!ai"&amp;$G$1)</f>
        <v>1</v>
      </c>
      <c r="G8" s="1566"/>
      <c r="H8" s="309"/>
      <c r="I8" s="3310"/>
      <c r="J8" s="311"/>
      <c r="K8" s="312"/>
      <c r="L8" s="307" t="s">
        <v>1372</v>
      </c>
      <c r="M8" s="308">
        <f ca="1">INDIRECT("'数据-取费表'!ai"&amp;$G$1)</f>
        <v>1</v>
      </c>
    </row>
    <row r="9" spans="1:37" ht="18" customHeight="1">
      <c r="A9" s="309"/>
      <c r="B9" s="3311"/>
      <c r="C9" s="311"/>
      <c r="D9" s="312"/>
      <c r="E9" s="307" t="s">
        <v>1373</v>
      </c>
      <c r="F9" s="3071">
        <f ca="1">INDIRECT("'数据-取费表'!w"&amp;$G$1)</f>
        <v>0</v>
      </c>
      <c r="G9" s="1566"/>
      <c r="H9" s="309"/>
      <c r="I9" s="3311"/>
      <c r="J9" s="311"/>
      <c r="K9" s="312"/>
      <c r="L9" s="318" t="s">
        <v>1373</v>
      </c>
      <c r="M9" s="319">
        <f ca="1">INDIRECT("'数据-取费表'!ab"&amp;$G$1)</f>
        <v>0</v>
      </c>
    </row>
    <row r="10" spans="1:37" ht="18" customHeight="1">
      <c r="A10" s="1200" t="s">
        <v>1007</v>
      </c>
      <c r="B10" s="1547" t="s">
        <v>1374</v>
      </c>
      <c r="C10" s="3068">
        <f ca="1">ROUND(IF(F10="押一",C6/12*F11,IF(F10="押二",C6/12*2*F11,IF(F10="押三",C6/12*3*F11,C11*F11))),0)</f>
        <v>0</v>
      </c>
      <c r="D10" s="1548" t="s">
        <v>2859</v>
      </c>
      <c r="E10" s="318" t="s">
        <v>1375</v>
      </c>
      <c r="F10" s="1274" t="s">
        <v>3144</v>
      </c>
      <c r="G10" s="1566"/>
      <c r="H10" s="1200" t="s">
        <v>1007</v>
      </c>
      <c r="I10" s="1547" t="s">
        <v>1374</v>
      </c>
      <c r="J10" s="306">
        <f ca="1">ROUND(IF(M10="押一",J6/12*M11,IF(M10="押二",J6/12*2*M11,IF(M10="押三",J6/12*3*M11,J11*M11))),0)</f>
        <v>0</v>
      </c>
      <c r="K10" s="1548" t="s">
        <v>2858</v>
      </c>
      <c r="L10" s="318" t="s">
        <v>1375</v>
      </c>
      <c r="M10" s="1274" t="s">
        <v>1376</v>
      </c>
    </row>
    <row r="11" spans="1:37" ht="18" customHeight="1">
      <c r="A11" s="313"/>
      <c r="B11" s="1549" t="s">
        <v>1353</v>
      </c>
      <c r="C11" s="1089"/>
      <c r="D11" s="1550"/>
      <c r="E11" s="318" t="s">
        <v>1377</v>
      </c>
      <c r="F11" s="319">
        <f ca="1">'数据-取费表'!B39</f>
        <v>1.4999999999999999E-2</v>
      </c>
      <c r="G11" s="1566"/>
      <c r="H11" s="1208"/>
      <c r="I11" s="1549" t="s">
        <v>1353</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28571</v>
      </c>
      <c r="D13" s="1239" t="s">
        <v>1380</v>
      </c>
      <c r="E13" s="1239" t="s">
        <v>1381</v>
      </c>
      <c r="F13" s="1240">
        <f ca="1">INDIRECT("'数据-取费表'!y"&amp;$G$1)</f>
        <v>0.85</v>
      </c>
      <c r="G13" s="1566"/>
      <c r="H13" s="1237">
        <v>2</v>
      </c>
      <c r="I13" s="1238" t="s">
        <v>1379</v>
      </c>
      <c r="J13" s="1199">
        <f ca="1">ROUND(J14*J15,0)</f>
        <v>0</v>
      </c>
      <c r="K13" s="1245" t="s">
        <v>1380</v>
      </c>
      <c r="L13" s="1574"/>
      <c r="M13" s="1575"/>
    </row>
    <row r="14" spans="1:37" ht="18" customHeight="1">
      <c r="A14" s="1112" t="s">
        <v>1002</v>
      </c>
      <c r="B14" s="307" t="s">
        <v>1382</v>
      </c>
      <c r="C14" s="323">
        <f ca="1">INDIRECT("'数据-取费表'!m"&amp;$G$1)+INDIRECT("'数据-取费表'!t"&amp;$G$1)</f>
        <v>22609</v>
      </c>
      <c r="D14" s="1527" t="s">
        <v>1383</v>
      </c>
      <c r="E14" s="1524"/>
      <c r="F14" s="324"/>
      <c r="G14" s="1566"/>
      <c r="H14" s="1112" t="s">
        <v>1003</v>
      </c>
      <c r="I14" s="307" t="s">
        <v>1384</v>
      </c>
      <c r="J14" s="23">
        <f ca="1">C29</f>
        <v>33613</v>
      </c>
      <c r="K14" s="14"/>
      <c r="L14" s="915"/>
      <c r="M14" s="916"/>
    </row>
    <row r="15" spans="1:37" s="1579" customFormat="1" ht="18" customHeight="1" thickBot="1">
      <c r="A15" s="1112" t="s">
        <v>1004</v>
      </c>
      <c r="B15" s="307" t="s">
        <v>1385</v>
      </c>
      <c r="C15" s="23">
        <f ca="1">ROUND(C14*F15,0)</f>
        <v>678</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786</v>
      </c>
      <c r="K16" s="1245" t="s">
        <v>1390</v>
      </c>
      <c r="L16" s="1246"/>
      <c r="M16" s="1203"/>
    </row>
    <row r="17" spans="1:37" s="1579" customFormat="1" ht="18" customHeight="1">
      <c r="A17" s="1112" t="s">
        <v>1355</v>
      </c>
      <c r="B17" s="307" t="s">
        <v>1391</v>
      </c>
      <c r="C17" s="23">
        <f ca="1">ROUND(F17*(F43+INDIRECT("'数据-取费表'!S"&amp;$G$1))/10000,0)</f>
        <v>904</v>
      </c>
      <c r="D17" s="307" t="s">
        <v>1392</v>
      </c>
      <c r="E17" s="307" t="s">
        <v>1393</v>
      </c>
      <c r="F17" s="25">
        <f>'数据-取费表'!B35</f>
        <v>200</v>
      </c>
      <c r="G17" s="1578"/>
      <c r="H17" s="1112" t="s">
        <v>1003</v>
      </c>
      <c r="I17" s="307" t="s">
        <v>1394</v>
      </c>
      <c r="J17" s="2532">
        <f ca="1">ROUND(IF(AND(项目基本情况!B11="自然人",项目基本情况!B10="北京市"),J6*M17/(1+'数据-取费表'!C42),J18+J19+J20),0)</f>
        <v>282</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339</v>
      </c>
      <c r="D18" s="307" t="s">
        <v>1386</v>
      </c>
      <c r="E18" s="307" t="s">
        <v>1387</v>
      </c>
      <c r="F18" s="327">
        <f>'数据-取费表'!B36</f>
        <v>1.4999999999999999E-2</v>
      </c>
      <c r="G18" s="1578"/>
      <c r="H18" s="1112" t="s">
        <v>1002</v>
      </c>
      <c r="I18" s="307" t="s">
        <v>1398</v>
      </c>
      <c r="J18" s="23">
        <f ca="1">ROUND(J6*M18/(1+'数据-取费表'!C42),2)</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24530</v>
      </c>
      <c r="D19" s="135" t="s">
        <v>1401</v>
      </c>
      <c r="E19" s="1542"/>
      <c r="F19" s="25"/>
      <c r="G19" s="1566"/>
      <c r="H19" s="1112" t="s">
        <v>1004</v>
      </c>
      <c r="I19" s="307" t="s">
        <v>1402</v>
      </c>
      <c r="J19" s="23">
        <f ca="1">IF(K19="按租金收入计税",ROUND(J6*M19/(1+'数据-取费表'!C42),2),ROUND(C29*M19*0.7,2))</f>
        <v>282.35000000000002</v>
      </c>
      <c r="K19" s="1552" t="s">
        <v>1403</v>
      </c>
      <c r="L19" s="307" t="s">
        <v>1387</v>
      </c>
      <c r="M19" s="327">
        <f>IF(K19="按租金收入计税",'数据-取费表'!B51,'数据-取费表'!B50)</f>
        <v>1.2E-2</v>
      </c>
    </row>
    <row r="20" spans="1:37" s="1579" customFormat="1" ht="18" customHeight="1">
      <c r="A20" s="1112" t="s">
        <v>1007</v>
      </c>
      <c r="B20" s="307" t="s">
        <v>1404</v>
      </c>
      <c r="C20" s="23">
        <f ca="1">ROUND(C19*F20,0)</f>
        <v>491</v>
      </c>
      <c r="D20" s="328" t="s">
        <v>1405</v>
      </c>
      <c r="E20" s="307" t="s">
        <v>1387</v>
      </c>
      <c r="F20" s="327">
        <f>'数据-取费表'!B37</f>
        <v>0.02</v>
      </c>
      <c r="G20" s="1578"/>
      <c r="H20" s="1112" t="s">
        <v>1354</v>
      </c>
      <c r="I20" s="159" t="s">
        <v>1406</v>
      </c>
      <c r="J20" s="24">
        <f ca="1">ROUND(M20*M21/10000,2)</f>
        <v>0</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18</v>
      </c>
      <c r="D21" s="328" t="s">
        <v>1410</v>
      </c>
      <c r="E21" s="307" t="s">
        <v>1411</v>
      </c>
      <c r="F21" s="327">
        <f>'数据-取费表'!B38</f>
        <v>0.02</v>
      </c>
      <c r="G21" s="1578"/>
      <c r="H21" s="331"/>
      <c r="I21" s="316"/>
      <c r="J21" s="28"/>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ROUND(J14*M22,1)</f>
        <v>504.2</v>
      </c>
      <c r="K22" s="1526" t="s">
        <v>1415</v>
      </c>
      <c r="L22" s="307" t="s">
        <v>1387</v>
      </c>
      <c r="M22" s="333">
        <f ca="1">INDIRECT("'数据-取费表'!Ak"&amp;$G$1)</f>
        <v>1.4999999999999999E-2</v>
      </c>
    </row>
    <row r="23" spans="1:37" s="1579" customFormat="1" ht="18" customHeight="1">
      <c r="A23" s="1112" t="s">
        <v>1002</v>
      </c>
      <c r="B23" s="307" t="s">
        <v>1416</v>
      </c>
      <c r="C23" s="23">
        <f ca="1">IF('数据-取费表'!B22&lt;=1,ROUND(C19*F24*F23/2,0)+ROUND(C20*F24*F23/2,0),ROUND(C19*(POWER((1+F24),F23/2)-1),0)+ROUND(C20*(POWER((1+F24),F23/2)-1),0))</f>
        <v>963</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ROUND(J13*M23,1)</f>
        <v>0</v>
      </c>
      <c r="K23" s="1526" t="s">
        <v>1419</v>
      </c>
      <c r="L23" s="307" t="s">
        <v>1420</v>
      </c>
      <c r="M23" s="335">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7" t="s">
        <v>1426</v>
      </c>
      <c r="C25" s="23"/>
      <c r="D25" s="135" t="s">
        <v>1427</v>
      </c>
      <c r="E25" s="1542"/>
      <c r="F25" s="25"/>
      <c r="G25" s="1566"/>
      <c r="H25" s="1237" t="s">
        <v>999</v>
      </c>
      <c r="I25" s="1252" t="s">
        <v>1428</v>
      </c>
      <c r="J25" s="315">
        <f ca="1">J5-J16</f>
        <v>-786</v>
      </c>
      <c r="K25" s="1253" t="s">
        <v>1429</v>
      </c>
      <c r="L25" s="1254"/>
      <c r="M25" s="1255"/>
    </row>
    <row r="26" spans="1:37">
      <c r="A26" s="1112" t="s">
        <v>1002</v>
      </c>
      <c r="B26" s="307" t="s">
        <v>1430</v>
      </c>
      <c r="C26" s="23">
        <f ca="1">ROUND((C19+C20)*F26,0)</f>
        <v>5004</v>
      </c>
      <c r="D26" s="328" t="s">
        <v>1431</v>
      </c>
      <c r="E26" s="318" t="s">
        <v>1432</v>
      </c>
      <c r="F26" s="317">
        <f ca="1">INDIRECT("'数据-取费表'!q"&amp;$G$1)</f>
        <v>0.2</v>
      </c>
      <c r="G26" s="1566"/>
      <c r="H26" s="304" t="s">
        <v>1000</v>
      </c>
      <c r="I26" s="305" t="s">
        <v>1433</v>
      </c>
      <c r="J26" s="306">
        <f ca="1">IF(J5&lt;&gt;0,ROUND(J25*(1-((1+M28)/(1+M26))^M27)/(M26-M28),0),0)</f>
        <v>0</v>
      </c>
      <c r="K26" s="329" t="s">
        <v>1434</v>
      </c>
      <c r="L26" s="307" t="s">
        <v>1435</v>
      </c>
      <c r="M26" s="317">
        <f ca="1">INDIRECT("'数据-取费表'!I"&amp;$G$1)</f>
        <v>5.5E-2</v>
      </c>
    </row>
    <row r="27" spans="1:37" ht="18" customHeight="1">
      <c r="A27" s="1112" t="s">
        <v>1004</v>
      </c>
      <c r="B27" s="307" t="s">
        <v>1436</v>
      </c>
      <c r="C27" s="23">
        <f ca="1">ROUND(F21*F26,4)</f>
        <v>4.0000000000000001E-3</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33613</v>
      </c>
      <c r="D29" s="1250"/>
      <c r="E29" s="1248"/>
      <c r="F29" s="1251"/>
      <c r="G29" s="1578"/>
      <c r="H29" s="339" t="s">
        <v>1001</v>
      </c>
      <c r="I29" s="340" t="s">
        <v>1444</v>
      </c>
      <c r="J29" s="341">
        <f ca="1">ROUND(J26/(1+F40)^F41,0)</f>
        <v>0</v>
      </c>
      <c r="K29" s="342" t="s">
        <v>1445</v>
      </c>
      <c r="L29" s="343"/>
      <c r="M29" s="344">
        <f ca="1">INDIRECT("'数据-取费表'!k"&amp;$G$1)</f>
        <v>45218.69</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973</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402</v>
      </c>
      <c r="D31" s="1527" t="s">
        <v>1395</v>
      </c>
      <c r="E31" s="1526" t="s">
        <v>1446</v>
      </c>
      <c r="F31" s="2531" t="str">
        <f>IF(项目基本情况!B11="企业","——",IF('数据-取费表'!B10="住宅",IF(F6*F7*F8/12/(1+'数据-取费表'!F30)&gt;100000,4%,2.5%),IF(F6*F7*F8/12/(1+'数据-取费表'!F30)&gt;100000,12%,7%)))</f>
        <v>——</v>
      </c>
      <c r="G31" s="1566"/>
      <c r="H31" s="3037" t="s">
        <v>3058</v>
      </c>
      <c r="I31" s="1580"/>
      <c r="J31" s="1581"/>
      <c r="K31" s="2699"/>
      <c r="L31" s="2925"/>
      <c r="M31" s="2926"/>
    </row>
    <row r="32" spans="1:37" ht="18" customHeight="1">
      <c r="A32" s="1112" t="s">
        <v>1002</v>
      </c>
      <c r="B32" s="307" t="s">
        <v>1398</v>
      </c>
      <c r="C32" s="23">
        <f ca="1">IF(项目基本情况!B11="自然人","——",ROUND(C6*F32/(1+'数据-取费表'!C42),2))</f>
        <v>128</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IF(项目基本情况!B11="自然人","——",IF(D33="按租金收入计税",ROUND(C6*F33/(1+'数据-取费表'!C42),2),IF(D33="按房产原值计税",ROUND(C29*F33*0.7,2),INDIRECT("'数据-取费表'!Aj"&amp;$G$1))))</f>
        <v>274.29000000000002</v>
      </c>
      <c r="D33" s="1552" t="s">
        <v>3079</v>
      </c>
      <c r="E33" s="307" t="s">
        <v>1387</v>
      </c>
      <c r="F33" s="327">
        <f>IF(D33="按票据","——",IF(D33="按租金收入计税",'数据-取费表'!B51,'数据-取费表'!B50))</f>
        <v>0.12</v>
      </c>
      <c r="G33" s="1566"/>
      <c r="H33" s="2927"/>
      <c r="I33" s="1580"/>
      <c r="J33" s="1581"/>
      <c r="K33" s="2928"/>
      <c r="L33" s="2927"/>
      <c r="M33" s="2927"/>
    </row>
    <row r="34" spans="1:18" ht="18" customHeight="1">
      <c r="A34" s="1200" t="s">
        <v>1354</v>
      </c>
      <c r="B34" s="159" t="s">
        <v>1406</v>
      </c>
      <c r="C34" s="24">
        <f ca="1">IF(项目基本情况!B11="自然人","——",ROUND(F34*F35/10000,2))</f>
        <v>0</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0</v>
      </c>
      <c r="G35" s="1566"/>
      <c r="H35" s="2924"/>
      <c r="I35" s="1580"/>
      <c r="J35" s="1581"/>
      <c r="K35" s="2928"/>
      <c r="L35" s="2927"/>
      <c r="M35" s="2927"/>
    </row>
    <row r="36" spans="1:18" ht="18" customHeight="1">
      <c r="A36" s="1260" t="s">
        <v>1007</v>
      </c>
      <c r="B36" s="307" t="s">
        <v>1414</v>
      </c>
      <c r="C36" s="23">
        <f ca="1">ROUND(C29*F36,1)</f>
        <v>504.2</v>
      </c>
      <c r="D36" s="1526" t="s">
        <v>1447</v>
      </c>
      <c r="E36" s="307" t="s">
        <v>1387</v>
      </c>
      <c r="F36" s="333">
        <f ca="1">INDIRECT("'数据-取费表'!Ak"&amp;$G$1)</f>
        <v>1.4999999999999999E-2</v>
      </c>
      <c r="G36" s="1566"/>
      <c r="H36" s="2927"/>
      <c r="I36" s="1580"/>
      <c r="J36" s="1581"/>
      <c r="K36" s="2768"/>
      <c r="L36" s="2927"/>
      <c r="M36" s="2927"/>
    </row>
    <row r="37" spans="1:18" ht="18" customHeight="1">
      <c r="A37" s="1112" t="s">
        <v>1043</v>
      </c>
      <c r="B37" s="307" t="s">
        <v>1418</v>
      </c>
      <c r="C37" s="23">
        <f ca="1">ROUND(C13*F37,1)</f>
        <v>42.9</v>
      </c>
      <c r="D37" s="1526" t="s">
        <v>1419</v>
      </c>
      <c r="E37" s="307" t="s">
        <v>1420</v>
      </c>
      <c r="F37" s="335">
        <f ca="1">INDIRECT("'数据-取费表'!Al"&amp;$G$1)</f>
        <v>1.5E-3</v>
      </c>
      <c r="G37" s="1566"/>
      <c r="H37" s="2927"/>
      <c r="I37" s="1580"/>
      <c r="J37" s="1581"/>
      <c r="K37" s="2768"/>
      <c r="L37" s="2927"/>
      <c r="M37" s="2927"/>
    </row>
    <row r="38" spans="1:18" ht="18" customHeight="1" thickBot="1">
      <c r="A38" s="1247" t="s">
        <v>1358</v>
      </c>
      <c r="B38" s="1248" t="s">
        <v>1404</v>
      </c>
      <c r="C38" s="1249">
        <f ca="1">ROUND(C5*F38,1)</f>
        <v>24</v>
      </c>
      <c r="D38" s="1250" t="s">
        <v>1424</v>
      </c>
      <c r="E38" s="1248" t="s">
        <v>1420</v>
      </c>
      <c r="F38" s="1244">
        <f ca="1">INDIRECT("'数据-取费表'!Am"&amp;$G$1)</f>
        <v>0.01</v>
      </c>
      <c r="G38" s="1566"/>
      <c r="H38" s="2927"/>
      <c r="I38" s="1580"/>
      <c r="J38" s="1581"/>
      <c r="K38" s="2931"/>
      <c r="L38" s="2927"/>
      <c r="M38" s="2927"/>
    </row>
    <row r="39" spans="1:18" ht="24.6" customHeight="1" thickTop="1">
      <c r="A39" s="1237" t="s">
        <v>999</v>
      </c>
      <c r="B39" s="1252" t="s">
        <v>1448</v>
      </c>
      <c r="C39" s="315">
        <f ca="1">C5-C30</f>
        <v>1427</v>
      </c>
      <c r="D39" s="1253" t="s">
        <v>1449</v>
      </c>
      <c r="E39" s="1254"/>
      <c r="F39" s="1255"/>
      <c r="G39" s="1566"/>
      <c r="H39" s="2927"/>
      <c r="I39" s="1580"/>
      <c r="J39" s="1581"/>
      <c r="K39" s="2931"/>
      <c r="L39" s="2927"/>
      <c r="M39" s="2927"/>
    </row>
    <row r="40" spans="1:18" ht="18" customHeight="1">
      <c r="A40" s="304" t="s">
        <v>1000</v>
      </c>
      <c r="B40" s="305" t="s">
        <v>1450</v>
      </c>
      <c r="C40" s="306">
        <f ca="1">ROUND(C39*(1-((1+F42)/(1+F40))^F41)/(F40-F42),0)</f>
        <v>20922</v>
      </c>
      <c r="D40" s="329" t="s">
        <v>1434</v>
      </c>
      <c r="E40" s="307" t="s">
        <v>1435</v>
      </c>
      <c r="F40" s="317">
        <f ca="1">INDIRECT("'数据-取费表'!I"&amp;$G$1)</f>
        <v>5.5E-2</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20.09</v>
      </c>
      <c r="G41" s="1566"/>
      <c r="H41" s="1351"/>
      <c r="I41" s="1580"/>
      <c r="J41" s="1581"/>
      <c r="K41" s="2768"/>
      <c r="L41" s="1351"/>
      <c r="M41" s="1351"/>
    </row>
    <row r="42" spans="1:18" ht="18" customHeight="1">
      <c r="A42" s="313"/>
      <c r="B42" s="314"/>
      <c r="C42" s="315"/>
      <c r="D42" s="332"/>
      <c r="E42" s="307" t="s">
        <v>1442</v>
      </c>
      <c r="F42" s="317">
        <f ca="1">INDIRECT("'数据-取费表'!v"&amp;$G$1)</f>
        <v>2.5000000000000001E-2</v>
      </c>
      <c r="G42" s="1566"/>
      <c r="H42" s="1351"/>
      <c r="I42" s="1580"/>
      <c r="J42" s="1581"/>
      <c r="K42" s="2768"/>
      <c r="L42" s="1351"/>
      <c r="M42" s="1351"/>
    </row>
    <row r="43" spans="1:18" ht="18" customHeight="1" thickBot="1">
      <c r="A43" s="339" t="s">
        <v>1001</v>
      </c>
      <c r="B43" s="340" t="s">
        <v>1452</v>
      </c>
      <c r="C43" s="341">
        <f ca="1">ROUND(C40*10000/F43,0)</f>
        <v>4627</v>
      </c>
      <c r="D43" s="342" t="s">
        <v>1453</v>
      </c>
      <c r="E43" s="343" t="s">
        <v>1454</v>
      </c>
      <c r="F43" s="344">
        <f ca="1">INDIRECT("'数据-取费表'!k"&amp;$G$1)</f>
        <v>45218.69</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f ca="1">C68-C40</f>
        <v>-61296</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275" t="s">
        <v>1363</v>
      </c>
      <c r="D47" s="1108" t="s">
        <v>1364</v>
      </c>
      <c r="E47" s="1188" t="s">
        <v>1365</v>
      </c>
      <c r="F47" s="1189"/>
      <c r="G47" s="730"/>
      <c r="I47" s="1596" t="s">
        <v>1491</v>
      </c>
      <c r="J47" s="1597" t="s">
        <v>3080</v>
      </c>
      <c r="K47" s="1598" t="s">
        <v>1492</v>
      </c>
      <c r="L47" s="1599">
        <f ca="1">INDIRECT("'数据-取费表'!d"&amp;$G$1)</f>
        <v>40</v>
      </c>
      <c r="M47" s="1562" t="str">
        <f>IF(ISNUMBER(FIND("住宅",C1)),"住宅","非住宅")</f>
        <v>非住宅</v>
      </c>
      <c r="O47" s="1600" t="s">
        <v>1008</v>
      </c>
      <c r="P47" s="1601" t="s">
        <v>1493</v>
      </c>
      <c r="Q47" s="1602">
        <f ca="1">C40+J29</f>
        <v>20922</v>
      </c>
      <c r="R47" s="1602" t="s">
        <v>1494</v>
      </c>
    </row>
    <row r="48" spans="1:18" s="1566" customFormat="1" ht="28.5" thickBot="1">
      <c r="A48" s="1268" t="s">
        <v>1103</v>
      </c>
      <c r="B48" s="305" t="s">
        <v>1366</v>
      </c>
      <c r="C48" s="1541">
        <f ca="1">C49+C53+C55</f>
        <v>0</v>
      </c>
      <c r="D48" s="1270"/>
      <c r="E48" s="1271"/>
      <c r="F48" s="1092"/>
      <c r="G48" s="730"/>
      <c r="H48" s="731"/>
      <c r="I48" s="1603" t="s">
        <v>1495</v>
      </c>
      <c r="J48" s="1604" t="s">
        <v>3081</v>
      </c>
      <c r="K48" s="1605" t="s">
        <v>1496</v>
      </c>
      <c r="L48" s="1606">
        <f ca="1">INDIRECT("'数据-取费表'!f"&amp;$G$1)</f>
        <v>20.09</v>
      </c>
      <c r="O48" s="1600" t="s">
        <v>1009</v>
      </c>
      <c r="P48" s="1601" t="s">
        <v>1497</v>
      </c>
      <c r="Q48" s="1602" t="str">
        <f ca="1">J60</f>
        <v>0</v>
      </c>
      <c r="R48" s="1602" t="s">
        <v>1498</v>
      </c>
    </row>
    <row r="49" spans="1:18" s="1566" customFormat="1" ht="13.5" thickBot="1">
      <c r="A49" s="1105" t="s">
        <v>1104</v>
      </c>
      <c r="B49" s="1553" t="s">
        <v>1455</v>
      </c>
      <c r="C49" s="1272">
        <f ca="1">ROUND(F49*F51*F50*(1-F52)/10000,0)</f>
        <v>0</v>
      </c>
      <c r="D49" s="1185" t="s">
        <v>2852</v>
      </c>
      <c r="E49" s="1554" t="s">
        <v>1456</v>
      </c>
      <c r="F49" s="1190"/>
      <c r="G49" s="1607"/>
      <c r="H49" s="731"/>
      <c r="I49" s="1603" t="s">
        <v>1499</v>
      </c>
      <c r="J49" s="1608">
        <v>2012</v>
      </c>
      <c r="K49" s="1605" t="s">
        <v>1500</v>
      </c>
      <c r="L49" s="1609"/>
      <c r="O49" s="1610" t="s">
        <v>1010</v>
      </c>
      <c r="P49" s="1601" t="s">
        <v>1501</v>
      </c>
      <c r="Q49" s="1602">
        <f ca="1">C29</f>
        <v>33613</v>
      </c>
      <c r="R49" s="1602" t="s">
        <v>1494</v>
      </c>
    </row>
    <row r="50" spans="1:18" s="1566" customFormat="1" ht="13.5" thickBot="1">
      <c r="A50" s="1106"/>
      <c r="B50" s="1109"/>
      <c r="C50" s="1276"/>
      <c r="D50" s="1083"/>
      <c r="E50" s="1186" t="s">
        <v>1371</v>
      </c>
      <c r="F50" s="1187">
        <f ca="1">F7</f>
        <v>1</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8">
        <f ca="1">F8</f>
        <v>1</v>
      </c>
      <c r="I51" s="1614" t="s">
        <v>1505</v>
      </c>
      <c r="J51" s="1615">
        <f>IF(J49="",J50,J49+J50-YEAR('数据-取费表'!B2))</f>
        <v>51</v>
      </c>
      <c r="K51" s="1616" t="s">
        <v>1506</v>
      </c>
      <c r="L51" s="1617">
        <f ca="1">ROUND(-PV(INDIRECT("'数据-取费表'!h"&amp;$G$1),J51,(C39-C13*C76),0),0)</f>
        <v>-18367</v>
      </c>
      <c r="M51" s="1618"/>
      <c r="O51" s="1610" t="s">
        <v>1012</v>
      </c>
      <c r="P51" s="1601" t="s">
        <v>1507</v>
      </c>
      <c r="Q51" s="1613">
        <f>J52</f>
        <v>0.09</v>
      </c>
      <c r="R51" s="1602"/>
    </row>
    <row r="52" spans="1:18" s="1566" customFormat="1" ht="13.5" thickBot="1">
      <c r="A52" s="1107"/>
      <c r="B52" s="1109"/>
      <c r="C52" s="1110"/>
      <c r="D52" s="1083"/>
      <c r="E52" s="1111" t="s">
        <v>1373</v>
      </c>
      <c r="F52" s="1184"/>
      <c r="I52" s="1619" t="s">
        <v>1508</v>
      </c>
      <c r="J52" s="1620">
        <v>0.09</v>
      </c>
      <c r="K52" s="1619" t="s">
        <v>1509</v>
      </c>
      <c r="L52" s="1620"/>
      <c r="O52" s="1610" t="s">
        <v>1013</v>
      </c>
      <c r="P52" s="1601" t="s">
        <v>1510</v>
      </c>
      <c r="Q52" s="1602">
        <f ca="1">J53</f>
        <v>20.09</v>
      </c>
      <c r="R52" s="1602" t="s">
        <v>1511</v>
      </c>
    </row>
    <row r="53" spans="1:18" s="1566" customFormat="1" ht="24.75" thickBot="1">
      <c r="A53" s="1312" t="s">
        <v>1105</v>
      </c>
      <c r="B53" s="1555" t="s">
        <v>1374</v>
      </c>
      <c r="C53" s="321">
        <f ca="1">ROUND(IF(F53="押一",C49/12*F11,IF(F53="押二",C49/12*2*F11,IF(F53="押三",C49/12*3*F11,C54*F11))),0)</f>
        <v>0</v>
      </c>
      <c r="D53" s="1548" t="s">
        <v>2858</v>
      </c>
      <c r="E53" s="318" t="s">
        <v>1375</v>
      </c>
      <c r="F53" s="1274"/>
      <c r="I53" s="1621" t="s">
        <v>1512</v>
      </c>
      <c r="J53" s="2384">
        <f ca="1">IF(M47="住宅",IF(D1="——",MAX(J51,L48),MAX(J51,L48-'数据-取费表'!B24)),IF(D1="——",MIN(J51,L48),MIN(J51,L48-'数据-取费表'!B24)))</f>
        <v>20.09</v>
      </c>
      <c r="K53" s="3307" t="s">
        <v>1513</v>
      </c>
      <c r="L53" s="3308"/>
      <c r="O53" s="1600" t="s">
        <v>1014</v>
      </c>
      <c r="P53" s="1601" t="s">
        <v>1514</v>
      </c>
      <c r="Q53" s="1602">
        <f ca="1">Q47+Q48</f>
        <v>20922</v>
      </c>
      <c r="R53" s="1602" t="s">
        <v>1015</v>
      </c>
    </row>
    <row r="54" spans="1:18" s="1566" customFormat="1" ht="13.5" thickBot="1">
      <c r="A54" s="1313"/>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7">
        <v>2</v>
      </c>
      <c r="B56" s="1088" t="s">
        <v>1379</v>
      </c>
      <c r="C56" s="237">
        <f ca="1">C13</f>
        <v>28571</v>
      </c>
      <c r="D56" s="1629"/>
      <c r="E56" s="1630"/>
      <c r="F56" s="1622"/>
      <c r="I56" s="1631" t="s">
        <v>1519</v>
      </c>
      <c r="J56" s="1632" t="s">
        <v>3071</v>
      </c>
      <c r="K56" s="1603" t="s">
        <v>1520</v>
      </c>
      <c r="L56" s="1606" t="str">
        <f ca="1">IF(L48&lt;J51,"——",L48-J53)</f>
        <v>——</v>
      </c>
      <c r="O56" s="1600" t="s">
        <v>1008</v>
      </c>
      <c r="P56" s="1601" t="s">
        <v>1493</v>
      </c>
      <c r="Q56" s="1602">
        <f ca="1">C40+J29</f>
        <v>20922</v>
      </c>
      <c r="R56" s="1602" t="s">
        <v>1494</v>
      </c>
    </row>
    <row r="57" spans="1:18" s="1566" customFormat="1" ht="24.75" thickBot="1">
      <c r="A57" s="1633"/>
      <c r="B57" s="1080" t="s">
        <v>1443</v>
      </c>
      <c r="C57" s="243">
        <f ca="1">C29</f>
        <v>33613</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8" t="s">
        <v>1389</v>
      </c>
      <c r="C58" s="321">
        <f ca="1">ROUND(C59+C64+C65+C66,0)</f>
        <v>3370</v>
      </c>
      <c r="D58" s="1090" t="s">
        <v>1390</v>
      </c>
      <c r="E58" s="1091"/>
      <c r="F58" s="1092"/>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2823</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IF(项目基本情况!B11="自然人","——",ROUND(C48*F60/(1+'数据-取费表'!C42),2))</f>
        <v>0</v>
      </c>
      <c r="D60" s="1094" t="s">
        <v>1399</v>
      </c>
      <c r="E60" s="1080" t="s">
        <v>1387</v>
      </c>
      <c r="F60" s="336">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IF(项目基本情况!B11="自然人","——",IF(D61="按租金收入计税",ROUND(C49*F61/(1+'数据-取费表'!C42),2),IF(D61="按房产原值计税",ROUND(C57*F61*0.7,2),INDIRECT("'数据-取费表'!Aj"&amp;$G$1))))</f>
        <v>2823.49</v>
      </c>
      <c r="D61" s="1552" t="s">
        <v>1403</v>
      </c>
      <c r="E61" s="1080" t="s">
        <v>1459</v>
      </c>
      <c r="F61" s="327">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4">
        <f ca="1">IF(项目基本情况!B11="自然人","——",ROUND(F62*F63/10000,2))</f>
        <v>0</v>
      </c>
      <c r="D62" s="1095" t="s">
        <v>1462</v>
      </c>
      <c r="E62" s="1080" t="s">
        <v>1463</v>
      </c>
      <c r="F62" s="330">
        <f t="shared" si="0"/>
        <v>1.5</v>
      </c>
      <c r="I62" s="1644" t="s">
        <v>1535</v>
      </c>
      <c r="J62" s="1645" t="s">
        <v>1536</v>
      </c>
      <c r="K62" s="1645" t="s">
        <v>1537</v>
      </c>
      <c r="L62" s="1645" t="s">
        <v>1538</v>
      </c>
      <c r="M62" s="1646" t="s">
        <v>1539</v>
      </c>
      <c r="O62" s="1600" t="s">
        <v>1014</v>
      </c>
      <c r="P62" s="1601" t="s">
        <v>1540</v>
      </c>
      <c r="Q62" s="1602">
        <f ca="1">Q56+Q57</f>
        <v>20922</v>
      </c>
      <c r="R62" s="1602" t="s">
        <v>1015</v>
      </c>
    </row>
    <row r="63" spans="1:18" s="1566" customFormat="1" ht="13.5" thickBot="1">
      <c r="A63" s="331"/>
      <c r="B63" s="1086"/>
      <c r="C63" s="28"/>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ROUND(C57*F64,1)</f>
        <v>504.2</v>
      </c>
      <c r="D64" s="1094" t="s">
        <v>1467</v>
      </c>
      <c r="E64" s="1080" t="s">
        <v>1459</v>
      </c>
      <c r="F64" s="333">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ROUND(C56*F65,1)</f>
        <v>42.9</v>
      </c>
      <c r="D65" s="1094" t="s">
        <v>1419</v>
      </c>
      <c r="E65" s="1080" t="s">
        <v>1420</v>
      </c>
      <c r="F65" s="335">
        <f t="shared" ca="1" si="0"/>
        <v>1.5E-3</v>
      </c>
      <c r="I65" s="1644" t="s">
        <v>1544</v>
      </c>
      <c r="J65" s="1645">
        <v>40</v>
      </c>
      <c r="K65" s="1645">
        <v>30</v>
      </c>
      <c r="L65" s="1645">
        <v>50</v>
      </c>
      <c r="M65" s="1647">
        <v>0.02</v>
      </c>
      <c r="O65" s="1600" t="s">
        <v>1008</v>
      </c>
      <c r="P65" s="1601" t="s">
        <v>1545</v>
      </c>
      <c r="Q65" s="1602">
        <f ca="1">C40+J29</f>
        <v>20922</v>
      </c>
      <c r="R65" s="1602" t="s">
        <v>1494</v>
      </c>
    </row>
    <row r="66" spans="1:18" s="1566" customFormat="1" ht="16.5" thickBot="1">
      <c r="A66" s="1112" t="s">
        <v>1469</v>
      </c>
      <c r="B66" s="1080" t="s">
        <v>1404</v>
      </c>
      <c r="C66" s="23">
        <f ca="1">ROUND(C48*F66,1)</f>
        <v>0</v>
      </c>
      <c r="D66" s="1094" t="s">
        <v>1470</v>
      </c>
      <c r="E66" s="1080" t="s">
        <v>1387</v>
      </c>
      <c r="F66" s="317">
        <f t="shared" ca="1" si="0"/>
        <v>0.01</v>
      </c>
      <c r="O66" s="1600" t="s">
        <v>1009</v>
      </c>
      <c r="P66" s="1601" t="s">
        <v>1523</v>
      </c>
      <c r="Q66" s="1602">
        <f ca="1">L60</f>
        <v>0</v>
      </c>
      <c r="R66" s="1602" t="s">
        <v>1546</v>
      </c>
    </row>
    <row r="67" spans="1:18" s="1566" customFormat="1" ht="16.5" thickBot="1">
      <c r="A67" s="1087" t="s">
        <v>999</v>
      </c>
      <c r="B67" s="1097" t="s">
        <v>1428</v>
      </c>
      <c r="C67" s="321">
        <f ca="1">C48-C58</f>
        <v>-3370</v>
      </c>
      <c r="D67" s="1093" t="s">
        <v>1429</v>
      </c>
      <c r="E67" s="1098"/>
      <c r="F67" s="1099"/>
      <c r="O67" s="1610" t="s">
        <v>1010</v>
      </c>
      <c r="P67" s="1601" t="s">
        <v>1527</v>
      </c>
      <c r="Q67" s="1648">
        <f ca="1">L51</f>
        <v>-18367</v>
      </c>
      <c r="R67" s="1602" t="s">
        <v>1547</v>
      </c>
    </row>
    <row r="68" spans="1:18" s="1566" customFormat="1" ht="16.5" thickBot="1">
      <c r="A68" s="1077" t="s">
        <v>1000</v>
      </c>
      <c r="B68" s="1078" t="s">
        <v>1450</v>
      </c>
      <c r="C68" s="306">
        <f ca="1">ROUND(C67*(1-((1+F70)/(1+F68))^F69)/(F68-F70),0)</f>
        <v>-40374</v>
      </c>
      <c r="D68" s="1095" t="s">
        <v>1434</v>
      </c>
      <c r="E68" s="1080" t="s">
        <v>1435</v>
      </c>
      <c r="F68" s="317">
        <f ca="1">F40</f>
        <v>5.5E-2</v>
      </c>
      <c r="O68" s="1610" t="s">
        <v>1011</v>
      </c>
      <c r="P68" s="1649" t="s">
        <v>1548</v>
      </c>
      <c r="Q68" s="1602">
        <f ca="1">ROUND(Q69-Q70*Q71,0)</f>
        <v>-1002</v>
      </c>
      <c r="R68" s="1602" t="s">
        <v>1019</v>
      </c>
    </row>
    <row r="69" spans="1:18" s="1566" customFormat="1" ht="13.5" thickBot="1">
      <c r="A69" s="1081"/>
      <c r="B69" s="1082"/>
      <c r="C69" s="311"/>
      <c r="D69" s="1100" t="s">
        <v>1438</v>
      </c>
      <c r="E69" s="1080" t="s">
        <v>1439</v>
      </c>
      <c r="F69" s="338">
        <f ca="1">F41</f>
        <v>20.09</v>
      </c>
      <c r="O69" s="1610" t="s">
        <v>1016</v>
      </c>
      <c r="P69" s="1649" t="s">
        <v>1549</v>
      </c>
      <c r="Q69" s="1602">
        <f ca="1">C39</f>
        <v>1427</v>
      </c>
      <c r="R69" s="1602" t="s">
        <v>1494</v>
      </c>
    </row>
    <row r="70" spans="1:18" s="1566" customFormat="1" ht="13.5" thickBot="1">
      <c r="A70" s="1084"/>
      <c r="B70" s="1085"/>
      <c r="C70" s="315"/>
      <c r="D70" s="1096"/>
      <c r="E70" s="1080" t="s">
        <v>1442</v>
      </c>
      <c r="F70" s="1184"/>
      <c r="O70" s="1610" t="s">
        <v>1017</v>
      </c>
      <c r="P70" s="1649" t="s">
        <v>1550</v>
      </c>
      <c r="Q70" s="1602">
        <f ca="1">C13</f>
        <v>28571</v>
      </c>
      <c r="R70" s="1602" t="s">
        <v>1494</v>
      </c>
    </row>
    <row r="71" spans="1:18" s="1566" customFormat="1" ht="13.5" thickBot="1">
      <c r="A71" s="1101" t="s">
        <v>1001</v>
      </c>
      <c r="B71" s="1102" t="s">
        <v>1452</v>
      </c>
      <c r="C71" s="341">
        <f ca="1">ROUND(C68*10000/F71,0)</f>
        <v>-8929</v>
      </c>
      <c r="D71" s="1103" t="s">
        <v>1453</v>
      </c>
      <c r="E71" s="1104" t="s">
        <v>1454</v>
      </c>
      <c r="F71" s="344">
        <f ca="1">F43</f>
        <v>45218.69</v>
      </c>
      <c r="O71" s="1610" t="s">
        <v>1018</v>
      </c>
      <c r="P71" s="1649" t="s">
        <v>1551</v>
      </c>
      <c r="Q71" s="1613">
        <f ca="1">C76</f>
        <v>8.5000000000000006E-2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5" t="s">
        <v>1471</v>
      </c>
      <c r="C75" s="346">
        <f ca="1">ROUND(C13*C76,0)</f>
        <v>2429</v>
      </c>
      <c r="D75" s="1566"/>
      <c r="E75" s="1566"/>
      <c r="F75" s="1566"/>
      <c r="K75" s="1584"/>
      <c r="L75" s="1566"/>
      <c r="O75" s="1600" t="s">
        <v>1014</v>
      </c>
      <c r="P75" s="1601" t="s">
        <v>1514</v>
      </c>
      <c r="Q75" s="1602">
        <f ca="1">Q65+Q66</f>
        <v>20922</v>
      </c>
      <c r="R75" s="1602" t="s">
        <v>1015</v>
      </c>
    </row>
    <row r="76" spans="1:18">
      <c r="B76" s="347" t="s">
        <v>1472</v>
      </c>
      <c r="C76" s="348">
        <f ca="1">INDIRECT("'数据-取费表'!j"&amp;$G$1)</f>
        <v>8.5000000000000006E-2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-0.70199999999999996</v>
      </c>
    </row>
    <row r="80" spans="1:18">
      <c r="B80" s="345" t="s">
        <v>1476</v>
      </c>
      <c r="C80" s="279">
        <f ca="1">ROUND(C75/C39,3)</f>
        <v>1.702</v>
      </c>
    </row>
    <row r="81" spans="2:3">
      <c r="B81" s="275" t="s">
        <v>1477</v>
      </c>
      <c r="C81" s="243"/>
    </row>
    <row r="82" spans="2:3">
      <c r="B82" s="278" t="s">
        <v>1478</v>
      </c>
      <c r="C82" s="280">
        <f ca="1">1-C83</f>
        <v>-0.3660000000000001</v>
      </c>
    </row>
    <row r="83" spans="2:3">
      <c r="B83" s="278" t="s">
        <v>1479</v>
      </c>
      <c r="C83" s="279">
        <f ca="1">ROUND(C13/C40,3)</f>
        <v>1.3660000000000001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1">
        <f ca="1">C6+C10+C12</f>
        <v>0</v>
      </c>
      <c r="D5" s="1546" t="s">
        <v>1566</v>
      </c>
      <c r="E5" s="1202"/>
      <c r="F5" s="1203"/>
      <c r="G5" s="1566"/>
      <c r="H5" s="304">
        <v>1</v>
      </c>
      <c r="I5" s="305" t="s">
        <v>1565</v>
      </c>
      <c r="J5" s="1201">
        <f ca="1">J6+J10+J12</f>
        <v>0</v>
      </c>
      <c r="K5" s="1546" t="s">
        <v>1566</v>
      </c>
      <c r="L5" s="1202"/>
      <c r="M5" s="1203"/>
    </row>
    <row r="6" spans="1:37" ht="18" customHeight="1">
      <c r="A6" s="1200" t="s">
        <v>1003</v>
      </c>
      <c r="B6" s="3309" t="s">
        <v>1368</v>
      </c>
      <c r="C6" s="1205">
        <f ca="1">ROUND(F6*F8*F7*(1-F9),0)</f>
        <v>0</v>
      </c>
      <c r="D6" s="159" t="s">
        <v>2848</v>
      </c>
      <c r="E6" s="307" t="s">
        <v>1370</v>
      </c>
      <c r="F6" s="308">
        <f ca="1">INDIRECT("'数据-取费表'!u"&amp;$G$1)</f>
        <v>0</v>
      </c>
      <c r="G6" s="1566"/>
      <c r="H6" s="1200" t="s">
        <v>1003</v>
      </c>
      <c r="I6" s="3309" t="s">
        <v>1368</v>
      </c>
      <c r="J6" s="306">
        <f ca="1">ROUND(M6*M8*M7*(1-M9),0)</f>
        <v>0</v>
      </c>
      <c r="K6" s="1558" t="s">
        <v>2849</v>
      </c>
      <c r="L6" s="307" t="s">
        <v>1370</v>
      </c>
      <c r="M6" s="308">
        <f ca="1">INDIRECT("'数据-取费表'!z"&amp;$G$1)</f>
        <v>0</v>
      </c>
    </row>
    <row r="7" spans="1:37" ht="18" customHeight="1">
      <c r="A7" s="1204"/>
      <c r="B7" s="3310"/>
      <c r="C7" s="1206"/>
      <c r="D7" s="312"/>
      <c r="E7" s="1207" t="s">
        <v>1371</v>
      </c>
      <c r="F7" s="308">
        <f ca="1">IF(INDIRECT("'数据-取费表'!ah"&amp;$G$1)="",INDIRECT("'数据-取费表'!k"&amp;$G$1),INDIRECT("'数据-取费表'!ah"&amp;$G$1))</f>
        <v>0</v>
      </c>
      <c r="G7" s="1566"/>
      <c r="H7" s="309"/>
      <c r="I7" s="3310"/>
      <c r="J7" s="311"/>
      <c r="K7" s="312"/>
      <c r="L7" s="307" t="s">
        <v>1371</v>
      </c>
      <c r="M7" s="308">
        <f ca="1">F7</f>
        <v>0</v>
      </c>
    </row>
    <row r="8" spans="1:37" ht="18" customHeight="1">
      <c r="A8" s="309"/>
      <c r="B8" s="3310"/>
      <c r="C8" s="311"/>
      <c r="D8" s="312"/>
      <c r="E8" s="307" t="s">
        <v>1372</v>
      </c>
      <c r="F8" s="308">
        <f ca="1">INDIRECT("'数据-取费表'!ai"&amp;$G$1)</f>
        <v>0</v>
      </c>
      <c r="G8" s="1566"/>
      <c r="H8" s="309"/>
      <c r="I8" s="3310"/>
      <c r="J8" s="311"/>
      <c r="K8" s="312"/>
      <c r="L8" s="307" t="s">
        <v>1372</v>
      </c>
      <c r="M8" s="308">
        <f ca="1">INDIRECT("'数据-取费表'!ai"&amp;$G$1)</f>
        <v>0</v>
      </c>
    </row>
    <row r="9" spans="1:37" ht="18" customHeight="1">
      <c r="A9" s="309"/>
      <c r="B9" s="3311"/>
      <c r="C9" s="311"/>
      <c r="D9" s="312"/>
      <c r="E9" s="307" t="s">
        <v>1373</v>
      </c>
      <c r="F9" s="317">
        <f ca="1">INDIRECT("'数据-取费表'!w"&amp;$G$1)</f>
        <v>0</v>
      </c>
      <c r="G9" s="1566"/>
      <c r="H9" s="309"/>
      <c r="I9" s="3311"/>
      <c r="J9" s="311"/>
      <c r="K9" s="312"/>
      <c r="L9" s="318" t="s">
        <v>1373</v>
      </c>
      <c r="M9" s="319">
        <f ca="1">INDIRECT("'数据-取费表'!ab"&amp;$G$1)</f>
        <v>0</v>
      </c>
    </row>
    <row r="10" spans="1:37" ht="18" customHeight="1">
      <c r="A10" s="1200" t="s">
        <v>1007</v>
      </c>
      <c r="B10" s="1547" t="s">
        <v>1374</v>
      </c>
      <c r="C10" s="321">
        <f ca="1">ROUND(IF(F10="押一",C6/12*F11,IF(F10="押二",C6/12*2*F11,IF(F10="押三",C6/12*3*F11,C11*F11))),0)</f>
        <v>0</v>
      </c>
      <c r="D10" s="1548" t="s">
        <v>2858</v>
      </c>
      <c r="E10" s="318" t="s">
        <v>1375</v>
      </c>
      <c r="F10" s="1274"/>
      <c r="G10" s="1566"/>
      <c r="H10" s="1200" t="s">
        <v>1007</v>
      </c>
      <c r="I10" s="1547" t="s">
        <v>1374</v>
      </c>
      <c r="J10" s="306">
        <f ca="1">ROUND(IF(M10="押一",J6/12*M11,IF(M10="押二",J6/12*2*M11,IF(M10="押三",J6/12*3*M11,J11*M11))),0)</f>
        <v>0</v>
      </c>
      <c r="K10" s="1559" t="s">
        <v>2860</v>
      </c>
      <c r="L10" s="318" t="s">
        <v>1375</v>
      </c>
      <c r="M10" s="1274"/>
    </row>
    <row r="11" spans="1:37" ht="18" customHeight="1">
      <c r="A11" s="313"/>
      <c r="B11" s="1549" t="s">
        <v>1567</v>
      </c>
      <c r="C11" s="1089"/>
      <c r="D11" s="312"/>
      <c r="E11" s="318" t="s">
        <v>1377</v>
      </c>
      <c r="F11" s="319">
        <f ca="1">'数据-取费表'!B39</f>
        <v>1.4999999999999999E-2</v>
      </c>
      <c r="G11" s="1566"/>
      <c r="H11" s="1208"/>
      <c r="I11" s="1549" t="s">
        <v>1568</v>
      </c>
      <c r="J11" s="1089"/>
      <c r="K11" s="692"/>
      <c r="L11" s="318" t="s">
        <v>1377</v>
      </c>
      <c r="M11" s="970">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9">
        <f ca="1">ROUND(J14*J15,0)</f>
        <v>0</v>
      </c>
      <c r="K13" s="1245" t="s">
        <v>1380</v>
      </c>
      <c r="L13" s="1574"/>
      <c r="M13" s="1575"/>
    </row>
    <row r="14" spans="1:37" ht="18" customHeight="1">
      <c r="A14" s="1112" t="s">
        <v>1002</v>
      </c>
      <c r="B14" s="307" t="s">
        <v>1382</v>
      </c>
      <c r="C14" s="323">
        <f ca="1">ROUND(INDIRECT("'数据-取费表'!l"&amp;$G$1)*F43+'数据-取费表'!L14*INDIRECT("'数据-取费表'!S"&amp;$G$1),0)</f>
        <v>0</v>
      </c>
      <c r="D14" s="1527" t="s">
        <v>1383</v>
      </c>
      <c r="E14" s="1524"/>
      <c r="F14" s="324"/>
      <c r="G14" s="1566"/>
      <c r="H14" s="1112" t="s">
        <v>1003</v>
      </c>
      <c r="I14" s="307" t="s">
        <v>1384</v>
      </c>
      <c r="J14" s="23">
        <f ca="1">C29</f>
        <v>0</v>
      </c>
      <c r="K14" s="14"/>
      <c r="L14" s="915"/>
      <c r="M14" s="916"/>
    </row>
    <row r="15" spans="1:37" s="1579" customFormat="1" ht="18" customHeight="1" thickBot="1">
      <c r="A15" s="1112" t="s">
        <v>1004</v>
      </c>
      <c r="B15" s="307" t="s">
        <v>1385</v>
      </c>
      <c r="C15" s="23">
        <f ca="1">ROUND(C14*F15,0)</f>
        <v>0</v>
      </c>
      <c r="D15" s="325" t="s">
        <v>1386</v>
      </c>
      <c r="E15" s="325" t="s">
        <v>1387</v>
      </c>
      <c r="F15" s="326">
        <f>'数据-取费表'!B33</f>
        <v>0.03</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7" t="s">
        <v>1388</v>
      </c>
      <c r="C16" s="23">
        <f ca="1">ROUND(INDIRECT("'数据-取费表'!l"&amp;$G$1)*F43*F16,0)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3"/>
    </row>
    <row r="17" spans="1:37" s="1579" customFormat="1" ht="18" customHeight="1">
      <c r="A17" s="1112" t="s">
        <v>1355</v>
      </c>
      <c r="B17" s="307" t="s">
        <v>1391</v>
      </c>
      <c r="C17" s="23">
        <f ca="1">ROUND(F17*(F43+INDIRECT("'数据-取费表'!S"&amp;$G$1)),0)</f>
        <v>0</v>
      </c>
      <c r="D17" s="307" t="s">
        <v>1392</v>
      </c>
      <c r="E17" s="307" t="s">
        <v>1393</v>
      </c>
      <c r="F17" s="25">
        <f>'数据-取费表'!B35</f>
        <v>200</v>
      </c>
      <c r="G17" s="1578"/>
      <c r="H17" s="1112"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7" t="s">
        <v>1397</v>
      </c>
      <c r="C18" s="23">
        <f ca="1">ROUND(C14*F18,0)</f>
        <v>0</v>
      </c>
      <c r="D18" s="307" t="s">
        <v>1386</v>
      </c>
      <c r="E18" s="307" t="s">
        <v>1387</v>
      </c>
      <c r="F18" s="327">
        <f>'数据-取费表'!B36</f>
        <v>1.4999999999999999E-2</v>
      </c>
      <c r="G18" s="1578"/>
      <c r="H18" s="1112" t="s">
        <v>1002</v>
      </c>
      <c r="I18" s="307" t="s">
        <v>1398</v>
      </c>
      <c r="J18" s="23">
        <f ca="1">ROUND(J6*M18/(1+'数据-取费表'!C42),0)</f>
        <v>0</v>
      </c>
      <c r="K18" s="1526" t="s">
        <v>1399</v>
      </c>
      <c r="L18" s="307" t="s">
        <v>1387</v>
      </c>
      <c r="M18" s="327">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7" t="s">
        <v>1400</v>
      </c>
      <c r="C19" s="23">
        <f ca="1">SUM(C14:C18)</f>
        <v>0</v>
      </c>
      <c r="D19" s="135" t="s">
        <v>1401</v>
      </c>
      <c r="E19" s="1542"/>
      <c r="F19" s="25"/>
      <c r="G19" s="1566"/>
      <c r="H19" s="1112" t="s">
        <v>1004</v>
      </c>
      <c r="I19" s="307" t="s">
        <v>1402</v>
      </c>
      <c r="J19" s="23">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2" t="s">
        <v>1007</v>
      </c>
      <c r="B20" s="307" t="s">
        <v>1404</v>
      </c>
      <c r="C20" s="23">
        <f ca="1">ROUND(C19*F20,0)</f>
        <v>0</v>
      </c>
      <c r="D20" s="328" t="s">
        <v>1405</v>
      </c>
      <c r="E20" s="307" t="s">
        <v>1387</v>
      </c>
      <c r="F20" s="327">
        <f>'数据-取费表'!B37</f>
        <v>0.02</v>
      </c>
      <c r="G20" s="1578"/>
      <c r="H20" s="1112" t="s">
        <v>1354</v>
      </c>
      <c r="I20" s="159" t="s">
        <v>1406</v>
      </c>
      <c r="J20" s="24">
        <f ca="1">ROUND(M20*M21,0)</f>
        <v>0</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7" t="s">
        <v>1409</v>
      </c>
      <c r="C21" s="23" t="s">
        <v>1</v>
      </c>
      <c r="D21" s="328" t="s">
        <v>1410</v>
      </c>
      <c r="E21" s="307" t="s">
        <v>1411</v>
      </c>
      <c r="F21" s="327">
        <f>'数据-取费表'!B38</f>
        <v>0.02</v>
      </c>
      <c r="G21" s="1578"/>
      <c r="H21" s="331"/>
      <c r="I21" s="316"/>
      <c r="J21" s="28"/>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7" t="s">
        <v>1413</v>
      </c>
      <c r="C22" s="23"/>
      <c r="D22" s="135" t="str">
        <f>IF(F23&lt;=1,"单利计息。","复利计息。")&amp;"建造成本、管理费用、销售费用产生的利息。"</f>
        <v>复利计息。建造成本、管理费用、销售费用产生的利息。</v>
      </c>
      <c r="E22" s="1542"/>
      <c r="F22" s="25"/>
      <c r="G22" s="1566"/>
      <c r="H22" s="1112" t="s">
        <v>1007</v>
      </c>
      <c r="I22" s="307" t="s">
        <v>1414</v>
      </c>
      <c r="J22" s="23">
        <f ca="1">ROUND(J14*M22,0)</f>
        <v>0</v>
      </c>
      <c r="K22" s="1526" t="s">
        <v>1415</v>
      </c>
      <c r="L22" s="307" t="s">
        <v>1387</v>
      </c>
      <c r="M22" s="333">
        <f ca="1">INDIRECT("'数据-取费表'!Ak"&amp;$G$1)</f>
        <v>0</v>
      </c>
    </row>
    <row r="23" spans="1:37" s="1579" customFormat="1" ht="18" customHeight="1">
      <c r="A23" s="1112"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2" t="s">
        <v>1043</v>
      </c>
      <c r="I23" s="307" t="s">
        <v>1418</v>
      </c>
      <c r="J23" s="23">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7" t="s">
        <v>1426</v>
      </c>
      <c r="C25" s="23"/>
      <c r="D25" s="135" t="s">
        <v>1427</v>
      </c>
      <c r="E25" s="1542"/>
      <c r="F25" s="25"/>
      <c r="G25" s="1566"/>
      <c r="H25" s="1237" t="s">
        <v>999</v>
      </c>
      <c r="I25" s="1252" t="s">
        <v>1428</v>
      </c>
      <c r="J25" s="315">
        <f ca="1">J5-J16</f>
        <v>0</v>
      </c>
      <c r="K25" s="1253" t="s">
        <v>1429</v>
      </c>
      <c r="L25" s="1254"/>
      <c r="M25" s="1255"/>
    </row>
    <row r="26" spans="1:37" ht="18" customHeight="1">
      <c r="A26" s="1112" t="s">
        <v>1002</v>
      </c>
      <c r="B26" s="307" t="s">
        <v>1430</v>
      </c>
      <c r="C26" s="23">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3">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2" t="s">
        <v>1005</v>
      </c>
      <c r="B28" s="307" t="s">
        <v>1440</v>
      </c>
      <c r="C28" s="23">
        <f>ROUND(F28/(1+'数据-取费表'!C42),4)</f>
        <v>5.33E-2</v>
      </c>
      <c r="D28" s="328" t="s">
        <v>1441</v>
      </c>
      <c r="E28" s="307" t="s">
        <v>1387</v>
      </c>
      <c r="F28" s="327">
        <f>'数据-取费表'!B41</f>
        <v>5.6000000000000001E-2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3"/>
      <c r="G30" s="1566"/>
      <c r="H30" s="2924"/>
      <c r="I30" s="1580"/>
      <c r="J30" s="1581"/>
      <c r="K30" s="2699"/>
      <c r="L30" s="2925"/>
      <c r="M30" s="2926"/>
    </row>
    <row r="31" spans="1:37" ht="18" customHeight="1">
      <c r="A31" s="1112"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3058</v>
      </c>
      <c r="I31" s="1580"/>
      <c r="J31" s="1581"/>
      <c r="K31" s="2699"/>
      <c r="L31" s="2925"/>
      <c r="M31" s="2926"/>
    </row>
    <row r="32" spans="1:37" ht="18" customHeight="1">
      <c r="A32" s="1112" t="s">
        <v>1002</v>
      </c>
      <c r="B32" s="307" t="s">
        <v>1398</v>
      </c>
      <c r="C32" s="23">
        <f ca="1">IF(项目基本情况!B11="自然人","——",ROUND(C6*F32/(1+'数据-取费表'!C42),0))</f>
        <v>0</v>
      </c>
      <c r="D32" s="1526" t="s">
        <v>1399</v>
      </c>
      <c r="E32" s="307" t="s">
        <v>1387</v>
      </c>
      <c r="F32" s="336">
        <f>'数据-取费表'!B41</f>
        <v>5.6000000000000001E-2</v>
      </c>
      <c r="G32" s="1566"/>
      <c r="H32" s="2924"/>
      <c r="I32" s="1580"/>
      <c r="J32" s="1581"/>
      <c r="K32" s="2699"/>
      <c r="L32" s="2925"/>
      <c r="M32" s="2926"/>
    </row>
    <row r="33" spans="1:18" ht="18" customHeight="1">
      <c r="A33" s="1112" t="s">
        <v>1004</v>
      </c>
      <c r="B33" s="307" t="s">
        <v>1402</v>
      </c>
      <c r="C33" s="23">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7"/>
      <c r="I33" s="1580"/>
      <c r="J33" s="1581"/>
      <c r="K33" s="2928"/>
      <c r="L33" s="2927"/>
      <c r="M33" s="2927"/>
    </row>
    <row r="34" spans="1:18" ht="18" customHeight="1">
      <c r="A34" s="1200" t="s">
        <v>1354</v>
      </c>
      <c r="B34" s="159" t="s">
        <v>1406</v>
      </c>
      <c r="C34" s="24">
        <f ca="1">IF(项目基本情况!B11="自然人","——",ROUND(F34*F35,))</f>
        <v>0</v>
      </c>
      <c r="D34" s="329" t="s">
        <v>1407</v>
      </c>
      <c r="E34" s="307" t="s">
        <v>1408</v>
      </c>
      <c r="F34" s="330">
        <f>'数据-取费表'!B52</f>
        <v>1.5</v>
      </c>
      <c r="G34" s="1566"/>
      <c r="H34" s="2924"/>
      <c r="I34" s="1580"/>
      <c r="J34" s="1581"/>
      <c r="K34" s="2929"/>
      <c r="L34" s="2930"/>
      <c r="M34" s="2930"/>
    </row>
    <row r="35" spans="1:18" ht="18" customHeight="1">
      <c r="A35" s="1261"/>
      <c r="B35" s="1259"/>
      <c r="C35" s="28"/>
      <c r="D35" s="332"/>
      <c r="E35" s="307" t="s">
        <v>1412</v>
      </c>
      <c r="F35" s="308">
        <f ca="1">INDIRECT("'数据-取费表'!r"&amp;$G$1)</f>
        <v>0</v>
      </c>
      <c r="G35" s="1566"/>
      <c r="H35" s="2924"/>
      <c r="I35" s="1580"/>
      <c r="J35" s="1581"/>
      <c r="K35" s="2928"/>
      <c r="L35" s="2927"/>
      <c r="M35" s="2927"/>
    </row>
    <row r="36" spans="1:18" ht="18" customHeight="1">
      <c r="A36" s="1260" t="s">
        <v>1007</v>
      </c>
      <c r="B36" s="307" t="s">
        <v>1414</v>
      </c>
      <c r="C36" s="23">
        <f ca="1">ROUND(C29*F36,0)</f>
        <v>0</v>
      </c>
      <c r="D36" s="1526" t="s">
        <v>1447</v>
      </c>
      <c r="E36" s="307" t="s">
        <v>1387</v>
      </c>
      <c r="F36" s="333">
        <f ca="1">INDIRECT("'数据-取费表'!Ak"&amp;$G$1)</f>
        <v>0</v>
      </c>
      <c r="G36" s="1566"/>
      <c r="H36" s="2927"/>
      <c r="I36" s="1580"/>
      <c r="J36" s="1581"/>
      <c r="K36" s="2768"/>
      <c r="L36" s="2927"/>
      <c r="M36" s="2927"/>
    </row>
    <row r="37" spans="1:18" ht="18" customHeight="1">
      <c r="A37" s="1112" t="s">
        <v>1043</v>
      </c>
      <c r="B37" s="307" t="s">
        <v>1418</v>
      </c>
      <c r="C37" s="23">
        <f ca="1">ROUND(C13*F37,0)</f>
        <v>0</v>
      </c>
      <c r="D37" s="1526" t="s">
        <v>1419</v>
      </c>
      <c r="E37" s="307" t="s">
        <v>1420</v>
      </c>
      <c r="F37" s="335">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5">
        <f ca="1">C5-C30</f>
        <v>0</v>
      </c>
      <c r="D39" s="1253" t="s">
        <v>1449</v>
      </c>
      <c r="E39" s="1254"/>
      <c r="F39" s="1255"/>
      <c r="G39" s="1566"/>
      <c r="H39" s="2927"/>
      <c r="I39" s="1580"/>
      <c r="J39" s="1581"/>
      <c r="K39" s="2931"/>
      <c r="L39" s="2927"/>
      <c r="M39" s="2927"/>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31"/>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8"/>
      <c r="L41" s="1351"/>
      <c r="M41" s="1351"/>
    </row>
    <row r="42" spans="1:18" ht="18" customHeight="1">
      <c r="A42" s="313"/>
      <c r="B42" s="314"/>
      <c r="C42" s="315"/>
      <c r="D42" s="332"/>
      <c r="E42" s="307" t="s">
        <v>1442</v>
      </c>
      <c r="F42" s="317">
        <f ca="1">INDIRECT("'数据-取费表'!v"&amp;$G$1)</f>
        <v>0</v>
      </c>
      <c r="G42" s="1566"/>
      <c r="H42" s="1351"/>
      <c r="I42" s="1580"/>
      <c r="J42" s="1581"/>
      <c r="K42" s="2768"/>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2">
        <f ca="1">ROUND(F49*F51*F50*(1-F52),0)</f>
        <v>0</v>
      </c>
      <c r="D49" s="1185" t="s">
        <v>1369</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110"/>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8" t="s">
        <v>1374</v>
      </c>
      <c r="C53" s="321">
        <f ca="1">ROUND(IF(F53="押一",C49/12*F11,IF(F53="押二",C49/12*2*F11,IF(F53="押三",C49/12*3*F11,C54*F11))),0)</f>
        <v>0</v>
      </c>
      <c r="D53" s="1548" t="s">
        <v>2861</v>
      </c>
      <c r="E53" s="318" t="s">
        <v>1375</v>
      </c>
      <c r="F53" s="1274"/>
      <c r="I53" s="1621" t="s">
        <v>1512</v>
      </c>
      <c r="J53" s="2384">
        <f ca="1">IF(M47="住宅",IF(D1="——",MAX(J51,L48),MAX(J51,L48-'数据-取费表'!B24)),IF(D1="——",MIN(J51,L48),MIN(J51,L48-'数据-取费表'!B24)))</f>
        <v>0</v>
      </c>
      <c r="K53" s="3307" t="s">
        <v>1513</v>
      </c>
      <c r="L53" s="3308"/>
      <c r="O53" s="1600" t="s">
        <v>1014</v>
      </c>
      <c r="P53" s="1601" t="s">
        <v>1514</v>
      </c>
      <c r="Q53" s="1602" t="e">
        <f ca="1">Q47+Q48</f>
        <v>#DIV/0!</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7">
        <v>2</v>
      </c>
      <c r="B56" s="1088"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80"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8" t="s">
        <v>1389</v>
      </c>
      <c r="C58" s="321">
        <f ca="1">ROUND(C59+C64+C65+C66,0)</f>
        <v>0</v>
      </c>
      <c r="D58" s="1090" t="s">
        <v>1390</v>
      </c>
      <c r="E58" s="1091"/>
      <c r="F58" s="1092"/>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3">
        <f ca="1">IF(项目基本情况!B11="自然人","——",ROUND(C48*F60/(1+'数据-取费表'!C42),0))</f>
        <v>0</v>
      </c>
      <c r="D60" s="1094" t="s">
        <v>1399</v>
      </c>
      <c r="E60" s="1080" t="s">
        <v>1387</v>
      </c>
      <c r="F60" s="336">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3">
        <f ca="1">IF(项目基本情况!B11="自然人","——",IF(D61="按租金收入计税",ROUND(C49*F61/(1+'数据-取费表'!C42),0),IF(D61="按房产原值计税",ROUND(C57*F61*0.7,0),INDIRECT("'数据-取费表'!Aj"&amp;$G$1))))</f>
        <v>0</v>
      </c>
      <c r="D61" s="1552" t="s">
        <v>1403</v>
      </c>
      <c r="E61" s="1080"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4">
        <f ca="1">IF(项目基本情况!B11="自然人","——",ROUND(F62*F63,0))</f>
        <v>0</v>
      </c>
      <c r="D62" s="1095" t="s">
        <v>1462</v>
      </c>
      <c r="E62" s="1080" t="s">
        <v>1463</v>
      </c>
      <c r="F62" s="330">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6"/>
      <c r="C63" s="28"/>
      <c r="D63" s="1096"/>
      <c r="E63" s="1080"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3">
        <f ca="1">ROUND(C57*F64,0)</f>
        <v>0</v>
      </c>
      <c r="D64" s="1094" t="s">
        <v>1467</v>
      </c>
      <c r="E64" s="1080"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3">
        <f ca="1">ROUND(C56*F65,0)</f>
        <v>0</v>
      </c>
      <c r="D65" s="1094" t="s">
        <v>1419</v>
      </c>
      <c r="E65" s="1080"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3">
        <f ca="1">ROUND(C48*F66,0)</f>
        <v>0</v>
      </c>
      <c r="D66" s="1094" t="s">
        <v>1470</v>
      </c>
      <c r="E66" s="1080" t="s">
        <v>1387</v>
      </c>
      <c r="F66" s="317">
        <f t="shared" ca="1" si="0"/>
        <v>0</v>
      </c>
      <c r="O66" s="1600" t="s">
        <v>1009</v>
      </c>
      <c r="P66" s="1601" t="s">
        <v>1523</v>
      </c>
      <c r="Q66" s="1602" t="e">
        <f ca="1">L60</f>
        <v>#DIV/0!</v>
      </c>
      <c r="R66" s="1602" t="s">
        <v>1546</v>
      </c>
    </row>
    <row r="67" spans="1:18" s="1566" customFormat="1" ht="16.5" thickBot="1">
      <c r="A67" s="1087" t="s">
        <v>999</v>
      </c>
      <c r="B67" s="1097" t="s">
        <v>1428</v>
      </c>
      <c r="C67" s="321">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6" t="e">
        <f ca="1">ROUND(C67*(1-((1+F70)/(1+F68))^F69)/(F68-F70),0)</f>
        <v>#DIV/0!</v>
      </c>
      <c r="D68" s="1095" t="s">
        <v>1434</v>
      </c>
      <c r="E68" s="1080" t="s">
        <v>1435</v>
      </c>
      <c r="F68" s="317">
        <f ca="1">F40</f>
        <v>0</v>
      </c>
      <c r="O68" s="1610" t="s">
        <v>1011</v>
      </c>
      <c r="P68" s="1649" t="s">
        <v>1548</v>
      </c>
      <c r="Q68" s="1602">
        <f ca="1">ROUND(Q69-Q70*Q71,0)</f>
        <v>0</v>
      </c>
      <c r="R68" s="1602" t="s">
        <v>1019</v>
      </c>
    </row>
    <row r="69" spans="1:18" s="1566" customFormat="1" ht="13.5" thickBot="1">
      <c r="A69" s="1081"/>
      <c r="B69" s="1082"/>
      <c r="C69" s="311"/>
      <c r="D69" s="1100" t="s">
        <v>1438</v>
      </c>
      <c r="E69" s="1080" t="s">
        <v>1439</v>
      </c>
      <c r="F69" s="338">
        <f ca="1">F41</f>
        <v>0</v>
      </c>
      <c r="O69" s="1610" t="s">
        <v>1016</v>
      </c>
      <c r="P69" s="1649" t="s">
        <v>1549</v>
      </c>
      <c r="Q69" s="1602">
        <f ca="1">C39</f>
        <v>0</v>
      </c>
      <c r="R69" s="1602" t="s">
        <v>1494</v>
      </c>
    </row>
    <row r="70" spans="1:18" s="1566" customFormat="1" ht="13.5" thickBot="1">
      <c r="A70" s="1084"/>
      <c r="B70" s="1085"/>
      <c r="C70" s="315"/>
      <c r="D70" s="1096"/>
      <c r="E70" s="1080" t="s">
        <v>1442</v>
      </c>
      <c r="F70" s="1184">
        <f ca="1">F42</f>
        <v>0</v>
      </c>
      <c r="O70" s="1610" t="s">
        <v>1017</v>
      </c>
      <c r="P70" s="1649" t="s">
        <v>1550</v>
      </c>
      <c r="Q70" s="1602">
        <f ca="1">C13</f>
        <v>0</v>
      </c>
      <c r="R70" s="1602" t="s">
        <v>1494</v>
      </c>
    </row>
    <row r="71" spans="1:18" s="1566" customFormat="1" ht="13.5" thickBot="1">
      <c r="A71" s="1101" t="s">
        <v>1001</v>
      </c>
      <c r="B71" s="1102" t="s">
        <v>1452</v>
      </c>
      <c r="C71" s="341" t="e">
        <f ca="1">ROUND(C68/F71,0)</f>
        <v>#DIV/0!</v>
      </c>
      <c r="D71" s="1103" t="s">
        <v>1453</v>
      </c>
      <c r="E71" s="1104"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20922</v>
      </c>
      <c r="C2" s="2056" t="s">
        <v>2340</v>
      </c>
      <c r="D2" s="2057" t="s">
        <v>2341</v>
      </c>
      <c r="E2" s="2831">
        <f>SUM(E6:E13)</f>
        <v>45218.69</v>
      </c>
      <c r="F2" s="2934"/>
      <c r="G2" s="1672"/>
      <c r="H2" s="1672"/>
      <c r="I2" s="1672"/>
      <c r="J2" s="1672"/>
      <c r="K2" s="1672"/>
      <c r="L2" s="1672"/>
      <c r="M2" s="1672"/>
      <c r="N2" s="1672"/>
      <c r="O2" s="1672"/>
      <c r="P2" s="1672"/>
      <c r="Q2" s="1672"/>
      <c r="R2" s="1672"/>
      <c r="S2" s="1672"/>
    </row>
    <row r="3" spans="1:22" ht="15.75">
      <c r="A3" s="2054" t="s">
        <v>1360</v>
      </c>
      <c r="B3" s="2825">
        <f ca="1">ROUND(B2*10000/E2,0)</f>
        <v>4627</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12" t="s">
        <v>2343</v>
      </c>
      <c r="C5" s="3313"/>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20922</v>
      </c>
      <c r="C6" s="2056" t="s">
        <v>2340</v>
      </c>
      <c r="D6" s="2936"/>
      <c r="E6" s="2830">
        <f>IF(OR(A6=0,F6="否"),0,'数据-取费表'!K6+'数据-取费表'!S6)</f>
        <v>45218.69</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4" t="s">
        <v>1044</v>
      </c>
      <c r="B1" s="3315"/>
      <c r="C1" s="3316"/>
      <c r="D1" s="3317">
        <f>SUM(I10,I15,I20,I21,I23)</f>
        <v>0</v>
      </c>
      <c r="E1" s="3317"/>
      <c r="F1" s="3317"/>
      <c r="G1" s="3317"/>
      <c r="H1" s="3317"/>
      <c r="I1" s="3318"/>
    </row>
    <row r="2" spans="1:9">
      <c r="A2" s="3319" t="s">
        <v>1045</v>
      </c>
      <c r="B2" s="3320" t="s">
        <v>1046</v>
      </c>
      <c r="C2" s="3320"/>
      <c r="D2" s="1209" t="s">
        <v>1047</v>
      </c>
      <c r="E2" s="1209" t="s">
        <v>1048</v>
      </c>
      <c r="F2" s="1209" t="s">
        <v>1049</v>
      </c>
      <c r="G2" s="1209" t="s">
        <v>1050</v>
      </c>
      <c r="H2" s="1209" t="s">
        <v>1051</v>
      </c>
      <c r="I2" s="1210" t="s">
        <v>1052</v>
      </c>
    </row>
    <row r="3" spans="1:9">
      <c r="A3" s="3319"/>
      <c r="B3" s="3320" t="s">
        <v>1053</v>
      </c>
      <c r="C3" s="3320"/>
      <c r="D3" s="1211"/>
      <c r="E3" s="1209"/>
      <c r="F3" s="1212"/>
      <c r="G3" s="1212"/>
      <c r="H3" s="1213"/>
      <c r="I3" s="1214">
        <f>ROUND(D3*E3*F3*G3*H3/10000,0)</f>
        <v>0</v>
      </c>
    </row>
    <row r="4" spans="1:9">
      <c r="A4" s="3319"/>
      <c r="B4" s="3320" t="s">
        <v>1054</v>
      </c>
      <c r="C4" s="3320"/>
      <c r="D4" s="1211"/>
      <c r="E4" s="1209"/>
      <c r="F4" s="1212"/>
      <c r="G4" s="1212"/>
      <c r="H4" s="1213"/>
      <c r="I4" s="1214">
        <f t="shared" ref="I4:I9" si="0">ROUND(D4*E4*F4*G4*H4/10000,0)</f>
        <v>0</v>
      </c>
    </row>
    <row r="5" spans="1:9">
      <c r="A5" s="3319"/>
      <c r="B5" s="3320" t="s">
        <v>1055</v>
      </c>
      <c r="C5" s="3320"/>
      <c r="D5" s="1211"/>
      <c r="E5" s="1209"/>
      <c r="F5" s="1212"/>
      <c r="G5" s="1212"/>
      <c r="H5" s="1213"/>
      <c r="I5" s="1214">
        <f t="shared" si="0"/>
        <v>0</v>
      </c>
    </row>
    <row r="6" spans="1:9">
      <c r="A6" s="3319"/>
      <c r="B6" s="3320" t="s">
        <v>1056</v>
      </c>
      <c r="C6" s="3320"/>
      <c r="D6" s="1211"/>
      <c r="E6" s="1209"/>
      <c r="F6" s="1212"/>
      <c r="G6" s="1212"/>
      <c r="H6" s="1213"/>
      <c r="I6" s="1214">
        <f t="shared" si="0"/>
        <v>0</v>
      </c>
    </row>
    <row r="7" spans="1:9">
      <c r="A7" s="3319"/>
      <c r="B7" s="3320" t="s">
        <v>1057</v>
      </c>
      <c r="C7" s="3320"/>
      <c r="D7" s="1211"/>
      <c r="E7" s="1209"/>
      <c r="F7" s="1212"/>
      <c r="G7" s="1212"/>
      <c r="H7" s="1213"/>
      <c r="I7" s="1214">
        <f t="shared" si="0"/>
        <v>0</v>
      </c>
    </row>
    <row r="8" spans="1:9">
      <c r="A8" s="3319"/>
      <c r="B8" s="3320" t="s">
        <v>1058</v>
      </c>
      <c r="C8" s="3320"/>
      <c r="D8" s="1211"/>
      <c r="E8" s="1209"/>
      <c r="F8" s="1212"/>
      <c r="G8" s="1212"/>
      <c r="H8" s="1213"/>
      <c r="I8" s="1214">
        <f t="shared" si="0"/>
        <v>0</v>
      </c>
    </row>
    <row r="9" spans="1:9">
      <c r="A9" s="3319"/>
      <c r="B9" s="3320" t="s">
        <v>1059</v>
      </c>
      <c r="C9" s="3320"/>
      <c r="D9" s="1211"/>
      <c r="E9" s="1209"/>
      <c r="F9" s="1212"/>
      <c r="G9" s="1212"/>
      <c r="H9" s="1213"/>
      <c r="I9" s="1214">
        <f t="shared" si="0"/>
        <v>0</v>
      </c>
    </row>
    <row r="10" spans="1:9">
      <c r="A10" s="3319"/>
      <c r="B10" s="3321" t="s">
        <v>1060</v>
      </c>
      <c r="C10" s="3321"/>
      <c r="D10" s="1215"/>
      <c r="E10" s="1215" t="e">
        <f>ROUND(D1*10000/D10/H9,0)</f>
        <v>#DIV/0!</v>
      </c>
      <c r="F10" s="1216"/>
      <c r="G10" s="1216"/>
      <c r="H10" s="1217"/>
      <c r="I10" s="1218">
        <f>SUM(I3:I9)</f>
        <v>0</v>
      </c>
    </row>
    <row r="11" spans="1:9" ht="14.25">
      <c r="A11" s="3319" t="s">
        <v>1061</v>
      </c>
      <c r="B11" s="3320" t="s">
        <v>1062</v>
      </c>
      <c r="C11" s="3320"/>
      <c r="D11" s="1211" t="s">
        <v>1063</v>
      </c>
      <c r="E11" s="1211" t="s">
        <v>1064</v>
      </c>
      <c r="F11" s="1212" t="s">
        <v>1065</v>
      </c>
      <c r="G11" s="1212" t="s">
        <v>1051</v>
      </c>
      <c r="H11" s="1219" t="s">
        <v>1066</v>
      </c>
      <c r="I11" s="1210" t="s">
        <v>1052</v>
      </c>
    </row>
    <row r="12" spans="1:9">
      <c r="A12" s="3319"/>
      <c r="B12" s="3320" t="s">
        <v>1067</v>
      </c>
      <c r="C12" s="3320"/>
      <c r="D12" s="1211"/>
      <c r="E12" s="1211"/>
      <c r="F12" s="1212"/>
      <c r="G12" s="1213"/>
      <c r="H12" s="1220"/>
      <c r="I12" s="1210">
        <f>ROUND(D12*E12*F12*G12/10000,0)</f>
        <v>0</v>
      </c>
    </row>
    <row r="13" spans="1:9">
      <c r="A13" s="3319"/>
      <c r="B13" s="3320" t="s">
        <v>1068</v>
      </c>
      <c r="C13" s="3320"/>
      <c r="D13" s="1211"/>
      <c r="E13" s="1211"/>
      <c r="F13" s="1212"/>
      <c r="G13" s="1213"/>
      <c r="H13" s="1220"/>
      <c r="I13" s="1210">
        <f>ROUND(D13*E13*F13*G13/10000,0)</f>
        <v>0</v>
      </c>
    </row>
    <row r="14" spans="1:9">
      <c r="A14" s="3319"/>
      <c r="B14" s="3320" t="s">
        <v>1069</v>
      </c>
      <c r="C14" s="3320"/>
      <c r="D14" s="1211"/>
      <c r="E14" s="1211"/>
      <c r="F14" s="1212"/>
      <c r="G14" s="1213"/>
      <c r="H14" s="1220"/>
      <c r="I14" s="1210">
        <f>ROUND(D14*E14*F14*G14/10000,0)</f>
        <v>0</v>
      </c>
    </row>
    <row r="15" spans="1:9">
      <c r="A15" s="3319"/>
      <c r="B15" s="3321" t="s">
        <v>1060</v>
      </c>
      <c r="C15" s="3321"/>
      <c r="D15" s="1215"/>
      <c r="E15" s="1215">
        <f>SUM(E12:E14)</f>
        <v>0</v>
      </c>
      <c r="F15" s="1216"/>
      <c r="G15" s="1213"/>
      <c r="H15" s="1220"/>
      <c r="I15" s="1221">
        <f>SUM(I12:I14)</f>
        <v>0</v>
      </c>
    </row>
    <row r="16" spans="1:9" ht="24">
      <c r="A16" s="3319" t="s">
        <v>1070</v>
      </c>
      <c r="B16" s="3320" t="s">
        <v>1071</v>
      </c>
      <c r="C16" s="3320"/>
      <c r="D16" s="1211" t="s">
        <v>1047</v>
      </c>
      <c r="E16" s="1222" t="s">
        <v>1072</v>
      </c>
      <c r="F16" s="1212" t="s">
        <v>1073</v>
      </c>
      <c r="G16" s="1213" t="s">
        <v>1051</v>
      </c>
      <c r="H16" s="1219" t="s">
        <v>1066</v>
      </c>
      <c r="I16" s="1210" t="s">
        <v>1052</v>
      </c>
    </row>
    <row r="17" spans="1:9" ht="14.25">
      <c r="A17" s="3319"/>
      <c r="B17" s="3320" t="s">
        <v>1074</v>
      </c>
      <c r="C17" s="3320"/>
      <c r="D17" s="1211"/>
      <c r="E17" s="1211"/>
      <c r="F17" s="1212"/>
      <c r="G17" s="1213"/>
      <c r="H17" s="1223"/>
      <c r="I17" s="1224">
        <f>ROUND(D17*E17*F17*G17/10000,0)</f>
        <v>0</v>
      </c>
    </row>
    <row r="18" spans="1:9" ht="14.25">
      <c r="A18" s="3319"/>
      <c r="B18" s="3320" t="s">
        <v>1075</v>
      </c>
      <c r="C18" s="3320"/>
      <c r="D18" s="1211"/>
      <c r="E18" s="1211"/>
      <c r="F18" s="1212"/>
      <c r="G18" s="1213"/>
      <c r="H18" s="1223"/>
      <c r="I18" s="1224">
        <f>ROUND(D18*E18*F18*G18/10000,0)</f>
        <v>0</v>
      </c>
    </row>
    <row r="19" spans="1:9" ht="14.25">
      <c r="A19" s="3319"/>
      <c r="B19" s="3320" t="s">
        <v>1076</v>
      </c>
      <c r="C19" s="3320"/>
      <c r="D19" s="1211"/>
      <c r="E19" s="1211"/>
      <c r="F19" s="1212"/>
      <c r="G19" s="1213"/>
      <c r="H19" s="1223"/>
      <c r="I19" s="1224">
        <f>ROUND(D19*E19*F19*G19/10000,0)</f>
        <v>0</v>
      </c>
    </row>
    <row r="20" spans="1:9">
      <c r="A20" s="3319"/>
      <c r="B20" s="3321" t="s">
        <v>1060</v>
      </c>
      <c r="C20" s="3321"/>
      <c r="D20" s="1215">
        <f>SUM(D17:D19)</f>
        <v>0</v>
      </c>
      <c r="E20" s="1215"/>
      <c r="F20" s="1216"/>
      <c r="G20" s="1213"/>
      <c r="H20" s="1220"/>
      <c r="I20" s="1221">
        <f>SUM(I17:I19)</f>
        <v>0</v>
      </c>
    </row>
    <row r="21" spans="1:9">
      <c r="A21" s="3319" t="s">
        <v>1077</v>
      </c>
      <c r="B21" s="3323"/>
      <c r="C21" s="3323"/>
      <c r="D21" s="3323"/>
      <c r="E21" s="3323"/>
      <c r="F21" s="3323"/>
      <c r="G21" s="3323"/>
      <c r="H21" s="1500">
        <v>0.1</v>
      </c>
      <c r="I21" s="1218">
        <f>ROUND(I10*H21,0)</f>
        <v>0</v>
      </c>
    </row>
    <row r="22" spans="1:9" ht="14.25">
      <c r="A22" s="3324" t="s">
        <v>1078</v>
      </c>
      <c r="B22" s="3325"/>
      <c r="C22" s="3326"/>
      <c r="D22" s="1225" t="s">
        <v>1079</v>
      </c>
      <c r="E22" s="1225" t="s">
        <v>1080</v>
      </c>
      <c r="F22" s="1226" t="s">
        <v>1081</v>
      </c>
      <c r="G22" s="1226" t="s">
        <v>1082</v>
      </c>
      <c r="H22" s="1219" t="s">
        <v>1083</v>
      </c>
      <c r="I22" s="1210" t="s">
        <v>1084</v>
      </c>
    </row>
    <row r="23" spans="1:9" ht="14.25" thickBot="1">
      <c r="A23" s="3327"/>
      <c r="B23" s="3328"/>
      <c r="C23" s="3329"/>
      <c r="D23" s="1227"/>
      <c r="E23" s="1227"/>
      <c r="F23" s="1227"/>
      <c r="G23" s="1228"/>
      <c r="H23" s="1229"/>
      <c r="I23" s="1230">
        <f>ROUND(E23*D23*F23*(1-G23)/10000,0)</f>
        <v>0</v>
      </c>
    </row>
    <row r="26" spans="1:9">
      <c r="A26" s="1231" t="s">
        <v>1085</v>
      </c>
      <c r="B26" s="1231"/>
      <c r="C26" s="1231"/>
      <c r="D26" s="1231"/>
      <c r="E26" s="3330">
        <f>C27-C30-C31-C32</f>
        <v>0</v>
      </c>
      <c r="F26" s="3330"/>
      <c r="G26" s="3330"/>
      <c r="H26" s="1497" t="s">
        <v>1306</v>
      </c>
    </row>
    <row r="27" spans="1:9">
      <c r="A27" s="1232">
        <v>1</v>
      </c>
      <c r="B27" s="1233" t="s">
        <v>1086</v>
      </c>
      <c r="C27" s="1233">
        <f>C28+C29</f>
        <v>0</v>
      </c>
      <c r="D27" s="1233"/>
      <c r="E27" s="3331"/>
      <c r="F27" s="3331"/>
      <c r="G27" s="3331"/>
    </row>
    <row r="28" spans="1:9">
      <c r="A28" s="1234" t="s">
        <v>1087</v>
      </c>
      <c r="B28" s="1233" t="s">
        <v>1088</v>
      </c>
      <c r="C28" s="1233"/>
      <c r="D28" s="1233"/>
      <c r="E28" s="3331"/>
      <c r="F28" s="3331"/>
      <c r="G28" s="3331"/>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2"/>
      <c r="F32" s="3322"/>
      <c r="G32" s="3322"/>
    </row>
    <row r="33" spans="1:7" hidden="1">
      <c r="A33" s="3332" t="s">
        <v>1097</v>
      </c>
      <c r="B33" s="3333"/>
      <c r="C33" s="3333"/>
      <c r="D33" s="3334"/>
      <c r="E33" s="3330"/>
      <c r="F33" s="3330"/>
      <c r="G33" s="3330"/>
    </row>
    <row r="34" spans="1:7" hidden="1">
      <c r="A34" s="1236">
        <v>1</v>
      </c>
      <c r="B34" s="1233" t="s">
        <v>1098</v>
      </c>
      <c r="C34" s="1233"/>
      <c r="D34" s="1233"/>
      <c r="E34" s="3331"/>
      <c r="F34" s="3331"/>
      <c r="G34" s="3331"/>
    </row>
    <row r="35" spans="1:7" hidden="1">
      <c r="A35" s="1236">
        <v>2</v>
      </c>
      <c r="B35" s="1233" t="s">
        <v>1099</v>
      </c>
      <c r="C35" s="1233"/>
      <c r="D35" s="1233"/>
      <c r="E35" s="3331"/>
      <c r="F35" s="3331"/>
      <c r="G35" s="3331"/>
    </row>
    <row r="36" spans="1:7" hidden="1">
      <c r="A36" s="1236">
        <v>3</v>
      </c>
      <c r="B36" s="1233" t="s">
        <v>1100</v>
      </c>
      <c r="C36" s="1233"/>
      <c r="D36" s="1233"/>
      <c r="E36" s="3331"/>
      <c r="F36" s="3331"/>
      <c r="G36" s="3331"/>
    </row>
    <row r="37" spans="1:7" hidden="1">
      <c r="A37" s="1236">
        <v>4</v>
      </c>
      <c r="B37" s="1233" t="s">
        <v>1101</v>
      </c>
      <c r="C37" s="1233"/>
      <c r="D37" s="1233"/>
      <c r="E37" s="3331"/>
      <c r="F37" s="3331"/>
      <c r="G37" s="3331"/>
    </row>
    <row r="38" spans="1:7" hidden="1">
      <c r="A38" s="3332" t="s">
        <v>1102</v>
      </c>
      <c r="B38" s="3333"/>
      <c r="C38" s="3333"/>
      <c r="D38" s="3334"/>
      <c r="E38" s="3330"/>
      <c r="F38" s="3330"/>
      <c r="G38" s="33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2355</v>
      </c>
      <c r="D3" s="358">
        <f>IF(D1="",'数据-汇总表'!E3,SUMIF('数据-汇总表'!$C19:$C33,D1,'数据-汇总表'!$E19:$E33))</f>
        <v>45218.69</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0" t="s">
        <v>2356</v>
      </c>
      <c r="B4" s="361"/>
      <c r="C4" s="3282" t="s">
        <v>2357</v>
      </c>
      <c r="D4" s="3283"/>
      <c r="E4" s="3284" t="s">
        <v>2358</v>
      </c>
      <c r="F4" s="3285"/>
      <c r="G4" s="3282" t="s">
        <v>2359</v>
      </c>
      <c r="H4" s="3283"/>
      <c r="I4" s="3282" t="s">
        <v>2360</v>
      </c>
      <c r="J4" s="3283"/>
      <c r="K4" s="2073" t="s">
        <v>2361</v>
      </c>
      <c r="L4" s="2942"/>
      <c r="M4" s="2943"/>
      <c r="N4" s="2943"/>
      <c r="O4" s="2943"/>
      <c r="P4" s="3286" t="s">
        <v>2362</v>
      </c>
      <c r="Q4" s="3287"/>
      <c r="R4" s="3269" t="s">
        <v>2358</v>
      </c>
      <c r="S4" s="3270"/>
      <c r="T4" s="3269" t="s">
        <v>2359</v>
      </c>
      <c r="U4" s="3270"/>
      <c r="V4" s="3294" t="s">
        <v>2360</v>
      </c>
      <c r="W4" s="3294"/>
      <c r="X4" s="1537"/>
      <c r="Y4" s="3269" t="s">
        <v>2362</v>
      </c>
      <c r="Z4" s="3270"/>
      <c r="AA4" s="3264" t="s">
        <v>2358</v>
      </c>
      <c r="AB4" s="3264" t="s">
        <v>2359</v>
      </c>
      <c r="AC4" s="3264" t="s">
        <v>2360</v>
      </c>
    </row>
    <row r="5" spans="1:29" ht="15">
      <c r="A5" s="363"/>
      <c r="B5" s="364"/>
      <c r="C5" s="3275" t="s">
        <v>2363</v>
      </c>
      <c r="D5" s="3276"/>
      <c r="E5" s="3273" t="s">
        <v>2364</v>
      </c>
      <c r="F5" s="3274"/>
      <c r="G5" s="3275" t="s">
        <v>2365</v>
      </c>
      <c r="H5" s="3276"/>
      <c r="I5" s="3275" t="s">
        <v>2366</v>
      </c>
      <c r="J5" s="3276"/>
      <c r="K5" s="2074"/>
      <c r="L5" s="2942"/>
      <c r="M5" s="2943"/>
      <c r="N5" s="2943"/>
      <c r="O5" s="2943"/>
      <c r="P5" s="3288"/>
      <c r="Q5" s="3289"/>
      <c r="R5" s="3271"/>
      <c r="S5" s="3272"/>
      <c r="T5" s="3271"/>
      <c r="U5" s="3272"/>
      <c r="V5" s="3294"/>
      <c r="W5" s="3294"/>
      <c r="X5" s="1537"/>
      <c r="Y5" s="3271"/>
      <c r="Z5" s="3272"/>
      <c r="AA5" s="3265"/>
      <c r="AB5" s="3265"/>
      <c r="AC5" s="3265"/>
    </row>
    <row r="6" spans="1:29" ht="15.75" thickBot="1">
      <c r="A6" s="365"/>
      <c r="B6" s="366"/>
      <c r="C6" s="3277" t="s">
        <v>2367</v>
      </c>
      <c r="D6" s="3278"/>
      <c r="E6" s="3279" t="s">
        <v>2367</v>
      </c>
      <c r="F6" s="3280"/>
      <c r="G6" s="3277" t="s">
        <v>2367</v>
      </c>
      <c r="H6" s="3278"/>
      <c r="I6" s="3277" t="s">
        <v>2367</v>
      </c>
      <c r="J6" s="3278"/>
      <c r="K6" s="2074" t="s">
        <v>2368</v>
      </c>
      <c r="L6" s="2942"/>
      <c r="M6" s="2943"/>
      <c r="N6" s="2943"/>
      <c r="O6" s="2943"/>
      <c r="P6" s="3290"/>
      <c r="Q6" s="3291"/>
      <c r="R6" s="3271"/>
      <c r="S6" s="3272"/>
      <c r="T6" s="3292"/>
      <c r="U6" s="3293"/>
      <c r="V6" s="3294"/>
      <c r="W6" s="3294"/>
      <c r="X6" s="1537"/>
      <c r="Y6" s="3292"/>
      <c r="Z6" s="3293"/>
      <c r="AA6" s="3266"/>
      <c r="AB6" s="3266"/>
      <c r="AC6" s="3266"/>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2075"/>
      <c r="L7" s="2944"/>
      <c r="M7" s="2945"/>
      <c r="N7" s="2945"/>
      <c r="O7" s="2945"/>
      <c r="P7" s="3267" t="s">
        <v>2370</v>
      </c>
      <c r="Q7" s="3295"/>
      <c r="R7" s="709" t="s">
        <v>23</v>
      </c>
      <c r="S7" s="710">
        <f t="shared" ref="S7:S15" si="0">F7</f>
        <v>0</v>
      </c>
      <c r="T7" s="709" t="s">
        <v>23</v>
      </c>
      <c r="U7" s="710">
        <f t="shared" ref="U7:U15" si="1">H7</f>
        <v>0</v>
      </c>
      <c r="V7" s="709" t="s">
        <v>23</v>
      </c>
      <c r="W7" s="710">
        <f t="shared" ref="W7:W15" si="2">J7</f>
        <v>0</v>
      </c>
      <c r="X7" s="711"/>
      <c r="Y7" s="3267" t="s">
        <v>2370</v>
      </c>
      <c r="Z7" s="3268"/>
      <c r="AA7" s="712" t="e">
        <f>D7/F7</f>
        <v>#DIV/0!</v>
      </c>
      <c r="AB7" s="712" t="e">
        <f>D7/H7</f>
        <v>#DIV/0!</v>
      </c>
      <c r="AC7" s="712" t="e">
        <f>D7/J7</f>
        <v>#DIV/0!</v>
      </c>
    </row>
    <row r="8" spans="1:29" s="112" customFormat="1" ht="15.75" thickBot="1">
      <c r="A8" s="367" t="s">
        <v>2371</v>
      </c>
      <c r="B8" s="368"/>
      <c r="C8" s="373" t="s">
        <v>2372</v>
      </c>
      <c r="D8" s="370">
        <v>100</v>
      </c>
      <c r="E8" s="2076"/>
      <c r="F8" s="372">
        <f>SUMIF(61:61,E8,62:62)-SUMIF(61:61,C8,62:62)+100</f>
        <v>0</v>
      </c>
      <c r="G8" s="373"/>
      <c r="H8" s="370">
        <f>SUMIF(61:61,G8,62:62)-SUMIF(61:61,C8,62:62)+100</f>
        <v>0</v>
      </c>
      <c r="I8" s="2076"/>
      <c r="J8" s="370">
        <f>SUMIF(61:61,I8,62:62)-SUMIF(61:61,C8,62:62)+100</f>
        <v>0</v>
      </c>
      <c r="K8" s="2075"/>
      <c r="L8" s="2944"/>
      <c r="M8" s="2945"/>
      <c r="N8" s="2945"/>
      <c r="O8" s="2945"/>
      <c r="P8" s="3267" t="s">
        <v>2373</v>
      </c>
      <c r="Q8" s="3268"/>
      <c r="R8" s="709" t="s">
        <v>23</v>
      </c>
      <c r="S8" s="710">
        <f t="shared" si="0"/>
        <v>0</v>
      </c>
      <c r="T8" s="709" t="s">
        <v>23</v>
      </c>
      <c r="U8" s="710">
        <f t="shared" si="1"/>
        <v>0</v>
      </c>
      <c r="V8" s="709" t="s">
        <v>23</v>
      </c>
      <c r="W8" s="710">
        <f t="shared" si="2"/>
        <v>0</v>
      </c>
      <c r="X8" s="711"/>
      <c r="Y8" s="3267" t="s">
        <v>2373</v>
      </c>
      <c r="Z8" s="3268"/>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5"/>
      <c r="L9" s="2944"/>
      <c r="M9" s="2945"/>
      <c r="N9" s="2945"/>
      <c r="O9" s="2945"/>
      <c r="P9" s="3305" t="s">
        <v>2376</v>
      </c>
      <c r="Q9" s="1525" t="str">
        <f t="shared" ref="Q9:Q15" si="6">B9</f>
        <v>用途</v>
      </c>
      <c r="R9" s="709" t="s">
        <v>17</v>
      </c>
      <c r="S9" s="710">
        <f t="shared" si="0"/>
        <v>100</v>
      </c>
      <c r="T9" s="709" t="s">
        <v>17</v>
      </c>
      <c r="U9" s="710">
        <f t="shared" si="1"/>
        <v>100</v>
      </c>
      <c r="V9" s="709" t="s">
        <v>17</v>
      </c>
      <c r="W9" s="710">
        <f t="shared" si="2"/>
        <v>100</v>
      </c>
      <c r="X9" s="711"/>
      <c r="Y9" s="3237"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305"/>
      <c r="Q10" s="1525"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305"/>
      <c r="Q11" s="1525" t="str">
        <f t="shared" si="6"/>
        <v>容积率</v>
      </c>
      <c r="R11" s="709" t="s">
        <v>21</v>
      </c>
      <c r="S11" s="710" t="e">
        <f t="shared" si="0"/>
        <v>#N/A</v>
      </c>
      <c r="T11" s="709" t="s">
        <v>21</v>
      </c>
      <c r="U11" s="710" t="e">
        <f t="shared" si="1"/>
        <v>#N/A</v>
      </c>
      <c r="V11" s="709" t="s">
        <v>21</v>
      </c>
      <c r="W11" s="710" t="e">
        <f t="shared" si="2"/>
        <v>#N/A</v>
      </c>
      <c r="X11" s="711"/>
      <c r="Y11" s="3237"/>
      <c r="Z11" s="54" t="str">
        <f t="shared" si="7"/>
        <v>容积率</v>
      </c>
      <c r="AA11" s="712" t="e">
        <f t="shared" si="3"/>
        <v>#N/A</v>
      </c>
      <c r="AB11" s="712" t="e">
        <f t="shared" si="4"/>
        <v>#N/A</v>
      </c>
      <c r="AC11" s="712" t="e">
        <f t="shared" si="5"/>
        <v>#N/A</v>
      </c>
    </row>
    <row r="12" spans="1:29" s="112"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4"/>
      <c r="M12" s="2945"/>
      <c r="N12" s="2945"/>
      <c r="O12" s="2945"/>
      <c r="P12" s="3305"/>
      <c r="Q12" s="1525">
        <f t="shared" si="6"/>
        <v>111</v>
      </c>
      <c r="R12" s="709" t="s">
        <v>21</v>
      </c>
      <c r="S12" s="710">
        <f t="shared" si="0"/>
        <v>100</v>
      </c>
      <c r="T12" s="709" t="s">
        <v>21</v>
      </c>
      <c r="U12" s="710">
        <f t="shared" si="1"/>
        <v>100</v>
      </c>
      <c r="V12" s="709" t="s">
        <v>21</v>
      </c>
      <c r="W12" s="710">
        <f t="shared" si="2"/>
        <v>100</v>
      </c>
      <c r="X12" s="711"/>
      <c r="Y12" s="3237"/>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9"/>
      <c r="M13" s="2943"/>
      <c r="N13" s="2943"/>
      <c r="O13" s="2943"/>
      <c r="P13" s="3305"/>
      <c r="Q13" s="1525">
        <f t="shared" si="6"/>
        <v>111</v>
      </c>
      <c r="R13" s="709" t="s">
        <v>21</v>
      </c>
      <c r="S13" s="710">
        <f t="shared" si="0"/>
        <v>100</v>
      </c>
      <c r="T13" s="709" t="s">
        <v>21</v>
      </c>
      <c r="U13" s="710">
        <f t="shared" si="1"/>
        <v>100</v>
      </c>
      <c r="V13" s="709" t="s">
        <v>21</v>
      </c>
      <c r="W13" s="710">
        <f t="shared" si="2"/>
        <v>100</v>
      </c>
      <c r="X13" s="711"/>
      <c r="Y13" s="3237"/>
      <c r="Z13" s="54">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9"/>
      <c r="M14" s="2943"/>
      <c r="N14" s="2943"/>
      <c r="O14" s="2943"/>
      <c r="P14" s="3305"/>
      <c r="Q14" s="1525">
        <f t="shared" si="6"/>
        <v>111</v>
      </c>
      <c r="R14" s="709" t="s">
        <v>21</v>
      </c>
      <c r="S14" s="710">
        <f t="shared" si="0"/>
        <v>100</v>
      </c>
      <c r="T14" s="709" t="s">
        <v>21</v>
      </c>
      <c r="U14" s="710">
        <f t="shared" si="1"/>
        <v>100</v>
      </c>
      <c r="V14" s="709" t="s">
        <v>21</v>
      </c>
      <c r="W14" s="710">
        <f t="shared" si="2"/>
        <v>100</v>
      </c>
      <c r="X14" s="711"/>
      <c r="Y14" s="3237"/>
      <c r="Z14" s="54">
        <f t="shared" si="7"/>
        <v>111</v>
      </c>
      <c r="AA14" s="712">
        <f t="shared" si="3"/>
        <v>1</v>
      </c>
      <c r="AB14" s="712">
        <f t="shared" si="4"/>
        <v>1</v>
      </c>
      <c r="AC14" s="712">
        <f t="shared" si="5"/>
        <v>1</v>
      </c>
    </row>
    <row r="15" spans="1:29" ht="99.75">
      <c r="A15" s="398" t="s">
        <v>2380</v>
      </c>
      <c r="B15" s="64"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41" t="s">
        <v>2381</v>
      </c>
      <c r="Q15" s="1534" t="str">
        <f t="shared" si="6"/>
        <v>居住社区成熟度</v>
      </c>
      <c r="R15" s="713" t="s">
        <v>21</v>
      </c>
      <c r="S15" s="714">
        <f t="shared" si="0"/>
        <v>100</v>
      </c>
      <c r="T15" s="713" t="s">
        <v>21</v>
      </c>
      <c r="U15" s="714">
        <f t="shared" si="1"/>
        <v>100</v>
      </c>
      <c r="V15" s="713" t="s">
        <v>21</v>
      </c>
      <c r="W15" s="714">
        <f t="shared" si="2"/>
        <v>100</v>
      </c>
      <c r="X15" s="1537"/>
      <c r="Y15" s="3296" t="s">
        <v>2381</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9"/>
      <c r="M16" s="2943"/>
      <c r="N16" s="2943"/>
      <c r="O16" s="2943"/>
      <c r="P16" s="3342"/>
      <c r="Q16" s="1534"/>
      <c r="R16" s="713"/>
      <c r="S16" s="714"/>
      <c r="T16" s="713"/>
      <c r="U16" s="714"/>
      <c r="V16" s="713"/>
      <c r="W16" s="714"/>
      <c r="X16" s="1537"/>
      <c r="Y16" s="3297"/>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42"/>
      <c r="Q17" s="1534" t="str">
        <f>B17</f>
        <v>交通便捷度</v>
      </c>
      <c r="R17" s="713" t="s">
        <v>21</v>
      </c>
      <c r="S17" s="714">
        <f>F17</f>
        <v>100</v>
      </c>
      <c r="T17" s="713" t="s">
        <v>21</v>
      </c>
      <c r="U17" s="714">
        <f>H17</f>
        <v>100</v>
      </c>
      <c r="V17" s="713" t="s">
        <v>21</v>
      </c>
      <c r="W17" s="714">
        <f>J17</f>
        <v>100</v>
      </c>
      <c r="X17" s="1537"/>
      <c r="Y17" s="3297"/>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9"/>
      <c r="M18" s="2943"/>
      <c r="N18" s="2943"/>
      <c r="O18" s="2943"/>
      <c r="P18" s="3342"/>
      <c r="Q18" s="1534"/>
      <c r="R18" s="713"/>
      <c r="S18" s="714"/>
      <c r="T18" s="713"/>
      <c r="U18" s="714"/>
      <c r="V18" s="713"/>
      <c r="W18" s="714"/>
      <c r="X18" s="1537"/>
      <c r="Y18" s="3297"/>
      <c r="Z18" s="1538"/>
      <c r="AA18" s="1535">
        <v>1</v>
      </c>
      <c r="AB18" s="1535">
        <v>1</v>
      </c>
      <c r="AC18" s="1535">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42"/>
      <c r="Q19" s="1534" t="str">
        <f>B19</f>
        <v>公共配套设施</v>
      </c>
      <c r="R19" s="713" t="s">
        <v>21</v>
      </c>
      <c r="S19" s="714">
        <f>F19</f>
        <v>100</v>
      </c>
      <c r="T19" s="713" t="s">
        <v>21</v>
      </c>
      <c r="U19" s="714">
        <f>H19</f>
        <v>100</v>
      </c>
      <c r="V19" s="713" t="s">
        <v>21</v>
      </c>
      <c r="W19" s="714">
        <f>J19</f>
        <v>100</v>
      </c>
      <c r="X19" s="1537"/>
      <c r="Y19" s="3297"/>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9"/>
      <c r="M20" s="2943"/>
      <c r="N20" s="2943"/>
      <c r="O20" s="2943"/>
      <c r="P20" s="3342"/>
      <c r="Q20" s="1534"/>
      <c r="R20" s="713"/>
      <c r="S20" s="714"/>
      <c r="T20" s="713"/>
      <c r="U20" s="714"/>
      <c r="V20" s="713"/>
      <c r="W20" s="714"/>
      <c r="X20" s="1537"/>
      <c r="Y20" s="3297"/>
      <c r="Z20" s="1538"/>
      <c r="AA20" s="1535">
        <v>1</v>
      </c>
      <c r="AB20" s="1535">
        <v>1</v>
      </c>
      <c r="AC20" s="1535">
        <v>1</v>
      </c>
    </row>
    <row r="21" spans="1:29" ht="28.5">
      <c r="A21" s="386"/>
      <c r="B21" s="1291"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42"/>
      <c r="Q21" s="1534" t="str">
        <f>B21</f>
        <v>基础设施水平</v>
      </c>
      <c r="R21" s="713" t="s">
        <v>17</v>
      </c>
      <c r="S21" s="714">
        <f>F21</f>
        <v>100</v>
      </c>
      <c r="T21" s="713" t="s">
        <v>17</v>
      </c>
      <c r="U21" s="714">
        <f>H21</f>
        <v>100</v>
      </c>
      <c r="V21" s="713" t="s">
        <v>17</v>
      </c>
      <c r="W21" s="714">
        <f>J21</f>
        <v>100</v>
      </c>
      <c r="X21" s="1537"/>
      <c r="Y21" s="3297"/>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9"/>
      <c r="M22" s="2943"/>
      <c r="N22" s="2943"/>
      <c r="O22" s="2943"/>
      <c r="P22" s="3342"/>
      <c r="Q22" s="1534"/>
      <c r="R22" s="713"/>
      <c r="S22" s="714"/>
      <c r="T22" s="713"/>
      <c r="U22" s="714"/>
      <c r="V22" s="713"/>
      <c r="W22" s="714"/>
      <c r="X22" s="1537"/>
      <c r="Y22" s="3297"/>
      <c r="Z22" s="1538"/>
      <c r="AA22" s="1535">
        <v>1</v>
      </c>
      <c r="AB22" s="1535">
        <v>1</v>
      </c>
      <c r="AC22" s="1535">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42"/>
      <c r="Q23" s="1534" t="str">
        <f>B23</f>
        <v>自然及人文环境</v>
      </c>
      <c r="R23" s="713" t="s">
        <v>21</v>
      </c>
      <c r="S23" s="714">
        <f>F23</f>
        <v>100</v>
      </c>
      <c r="T23" s="713" t="s">
        <v>21</v>
      </c>
      <c r="U23" s="714">
        <f>H23</f>
        <v>100</v>
      </c>
      <c r="V23" s="713" t="s">
        <v>21</v>
      </c>
      <c r="W23" s="714">
        <f>J23</f>
        <v>100</v>
      </c>
      <c r="X23" s="1537"/>
      <c r="Y23" s="3297"/>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9"/>
      <c r="M24" s="2943"/>
      <c r="N24" s="2943"/>
      <c r="O24" s="2943"/>
      <c r="P24" s="3342"/>
      <c r="Q24" s="1534"/>
      <c r="R24" s="713"/>
      <c r="S24" s="714"/>
      <c r="T24" s="713"/>
      <c r="U24" s="714"/>
      <c r="V24" s="713"/>
      <c r="W24" s="714"/>
      <c r="X24" s="1537"/>
      <c r="Y24" s="3297"/>
      <c r="Z24" s="1538"/>
      <c r="AA24" s="1535">
        <v>1</v>
      </c>
      <c r="AB24" s="1535">
        <v>1</v>
      </c>
      <c r="AC24" s="1535">
        <v>1</v>
      </c>
    </row>
    <row r="25" spans="1:29" ht="15">
      <c r="A25" s="386"/>
      <c r="B25" s="380" t="s">
        <v>2382</v>
      </c>
      <c r="C25" s="418"/>
      <c r="D25" s="393">
        <v>100</v>
      </c>
      <c r="E25" s="2090"/>
      <c r="F25" s="393">
        <f>SUMIF(86:86,E25,87:87)-SUMIF(86:86,C25,87:87)+100</f>
        <v>100</v>
      </c>
      <c r="G25" s="2091"/>
      <c r="H25" s="393">
        <f>SUMIF(86:86,G25,87:87)-SUMIF(86:86,C25,87:87)+100</f>
        <v>100</v>
      </c>
      <c r="I25" s="2091"/>
      <c r="J25" s="393">
        <f>SUMIF(86:86,I25,87:87)-SUMIF(86:86,C25,87:87)+100</f>
        <v>100</v>
      </c>
      <c r="K25" s="384"/>
      <c r="L25" s="2949"/>
      <c r="M25" s="2943"/>
      <c r="N25" s="2943"/>
      <c r="O25" s="2943"/>
      <c r="P25" s="3342"/>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97"/>
      <c r="Z25" s="1538" t="str">
        <f>Q25</f>
        <v>楼层-1</v>
      </c>
      <c r="AA25" s="1535">
        <f t="shared" ref="AA25:AA46" si="15">D25/F25</f>
        <v>1</v>
      </c>
      <c r="AB25" s="1535">
        <f t="shared" ref="AB25:AB46" si="16">D25/H25</f>
        <v>1</v>
      </c>
      <c r="AC25" s="1535">
        <f t="shared" ref="AC25:AC46" si="17">D25/J25</f>
        <v>1</v>
      </c>
    </row>
    <row r="26" spans="1:29" ht="15">
      <c r="A26" s="386"/>
      <c r="B26" s="380" t="s">
        <v>2383</v>
      </c>
      <c r="C26" s="418"/>
      <c r="D26" s="393">
        <v>100</v>
      </c>
      <c r="E26" s="2090"/>
      <c r="F26" s="393">
        <f>SUMIF(88:88,E26,89:89)-SUMIF(88:88,C26,89:89)+100</f>
        <v>100</v>
      </c>
      <c r="G26" s="2091"/>
      <c r="H26" s="393">
        <f>SUMIF(88:88,G26,89:89)-SUMIF(88:88,C26,89:89)+100</f>
        <v>100</v>
      </c>
      <c r="I26" s="2091"/>
      <c r="J26" s="393">
        <f>SUMIF(88:88,I26,89:89)-SUMIF(88:88,C26,89:89)+100</f>
        <v>100</v>
      </c>
      <c r="K26" s="384"/>
      <c r="L26" s="2949"/>
      <c r="M26" s="2943"/>
      <c r="N26" s="2943"/>
      <c r="O26" s="2943"/>
      <c r="P26" s="3342"/>
      <c r="Q26" s="1534" t="str">
        <f t="shared" si="11"/>
        <v>朝向</v>
      </c>
      <c r="R26" s="713" t="s">
        <v>21</v>
      </c>
      <c r="S26" s="714">
        <f t="shared" si="12"/>
        <v>100</v>
      </c>
      <c r="T26" s="713" t="s">
        <v>21</v>
      </c>
      <c r="U26" s="714">
        <f t="shared" si="13"/>
        <v>100</v>
      </c>
      <c r="V26" s="713" t="s">
        <v>21</v>
      </c>
      <c r="W26" s="714">
        <f t="shared" si="14"/>
        <v>100</v>
      </c>
      <c r="X26" s="1537"/>
      <c r="Y26" s="3297"/>
      <c r="Z26" s="1538" t="str">
        <f>Q26</f>
        <v>朝向</v>
      </c>
      <c r="AA26" s="1535">
        <f t="shared" si="15"/>
        <v>1</v>
      </c>
      <c r="AB26" s="1535">
        <f t="shared" si="16"/>
        <v>1</v>
      </c>
      <c r="AC26" s="1535">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4"/>
      <c r="M27" s="2945"/>
      <c r="N27" s="2945"/>
      <c r="O27" s="2945"/>
      <c r="P27" s="3342"/>
      <c r="Q27" s="1525">
        <f t="shared" si="11"/>
        <v>111</v>
      </c>
      <c r="R27" s="709" t="s">
        <v>21</v>
      </c>
      <c r="S27" s="710">
        <f t="shared" si="12"/>
        <v>100</v>
      </c>
      <c r="T27" s="709" t="s">
        <v>21</v>
      </c>
      <c r="U27" s="710">
        <f t="shared" si="13"/>
        <v>100</v>
      </c>
      <c r="V27" s="709" t="s">
        <v>21</v>
      </c>
      <c r="W27" s="710">
        <f t="shared" si="14"/>
        <v>100</v>
      </c>
      <c r="X27" s="711"/>
      <c r="Y27" s="3297"/>
      <c r="Z27" s="54">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9"/>
      <c r="M28" s="2943"/>
      <c r="N28" s="2943"/>
      <c r="O28" s="2943"/>
      <c r="P28" s="3342"/>
      <c r="Q28" s="1534">
        <f t="shared" si="11"/>
        <v>111</v>
      </c>
      <c r="R28" s="713" t="s">
        <v>21</v>
      </c>
      <c r="S28" s="714">
        <f t="shared" si="12"/>
        <v>100</v>
      </c>
      <c r="T28" s="713" t="s">
        <v>21</v>
      </c>
      <c r="U28" s="714">
        <f t="shared" si="13"/>
        <v>100</v>
      </c>
      <c r="V28" s="713" t="s">
        <v>21</v>
      </c>
      <c r="W28" s="714">
        <f t="shared" si="14"/>
        <v>100</v>
      </c>
      <c r="X28" s="1537"/>
      <c r="Y28" s="3297"/>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9"/>
      <c r="M29" s="2943"/>
      <c r="N29" s="2943"/>
      <c r="O29" s="2943"/>
      <c r="P29" s="3342"/>
      <c r="Q29" s="1534">
        <f t="shared" si="11"/>
        <v>111</v>
      </c>
      <c r="R29" s="713" t="s">
        <v>21</v>
      </c>
      <c r="S29" s="714">
        <f t="shared" si="12"/>
        <v>100</v>
      </c>
      <c r="T29" s="713" t="s">
        <v>21</v>
      </c>
      <c r="U29" s="714">
        <f t="shared" si="13"/>
        <v>100</v>
      </c>
      <c r="V29" s="713" t="s">
        <v>21</v>
      </c>
      <c r="W29" s="714">
        <f t="shared" si="14"/>
        <v>100</v>
      </c>
      <c r="X29" s="1537"/>
      <c r="Y29" s="3297"/>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9"/>
      <c r="M30" s="2943"/>
      <c r="N30" s="2943"/>
      <c r="O30" s="2943"/>
      <c r="P30" s="3342"/>
      <c r="Q30" s="1534">
        <f t="shared" si="11"/>
        <v>111</v>
      </c>
      <c r="R30" s="713" t="s">
        <v>21</v>
      </c>
      <c r="S30" s="714">
        <f t="shared" si="12"/>
        <v>100</v>
      </c>
      <c r="T30" s="713" t="s">
        <v>21</v>
      </c>
      <c r="U30" s="714">
        <f t="shared" si="13"/>
        <v>100</v>
      </c>
      <c r="V30" s="713" t="s">
        <v>21</v>
      </c>
      <c r="W30" s="714">
        <f t="shared" si="14"/>
        <v>100</v>
      </c>
      <c r="X30" s="1537"/>
      <c r="Y30" s="3297"/>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9"/>
      <c r="M31" s="2943"/>
      <c r="N31" s="2943"/>
      <c r="O31" s="2943"/>
      <c r="P31" s="3342"/>
      <c r="Q31" s="1534">
        <f t="shared" si="11"/>
        <v>111</v>
      </c>
      <c r="R31" s="713" t="s">
        <v>21</v>
      </c>
      <c r="S31" s="714">
        <f t="shared" si="12"/>
        <v>100</v>
      </c>
      <c r="T31" s="713" t="s">
        <v>21</v>
      </c>
      <c r="U31" s="714">
        <f t="shared" si="13"/>
        <v>100</v>
      </c>
      <c r="V31" s="713" t="s">
        <v>21</v>
      </c>
      <c r="W31" s="714">
        <f t="shared" si="14"/>
        <v>100</v>
      </c>
      <c r="X31" s="1537"/>
      <c r="Y31" s="3297"/>
      <c r="Z31" s="1538">
        <f t="shared" si="18"/>
        <v>111</v>
      </c>
      <c r="AA31" s="1535">
        <f t="shared" si="15"/>
        <v>1</v>
      </c>
      <c r="AB31" s="1535">
        <f t="shared" si="16"/>
        <v>1</v>
      </c>
      <c r="AC31" s="1535">
        <f t="shared" si="17"/>
        <v>1</v>
      </c>
    </row>
    <row r="32" spans="1:29" ht="15">
      <c r="A32" s="398" t="s">
        <v>2384</v>
      </c>
      <c r="B32" s="66" t="s">
        <v>2385</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9"/>
      <c r="M32" s="2943"/>
      <c r="N32" s="2943"/>
      <c r="O32" s="2943"/>
      <c r="P32" s="3337" t="s">
        <v>2386</v>
      </c>
      <c r="Q32" s="1534" t="str">
        <f t="shared" si="11"/>
        <v>建筑类型</v>
      </c>
      <c r="R32" s="713" t="s">
        <v>21</v>
      </c>
      <c r="S32" s="714">
        <f t="shared" si="12"/>
        <v>100</v>
      </c>
      <c r="T32" s="713" t="s">
        <v>21</v>
      </c>
      <c r="U32" s="714">
        <f t="shared" si="13"/>
        <v>100</v>
      </c>
      <c r="V32" s="713" t="s">
        <v>21</v>
      </c>
      <c r="W32" s="714">
        <f t="shared" si="14"/>
        <v>100</v>
      </c>
      <c r="X32" s="1537"/>
      <c r="Y32" s="3299" t="s">
        <v>2386</v>
      </c>
      <c r="Z32" s="1538" t="str">
        <f t="shared" si="18"/>
        <v>建筑类型</v>
      </c>
      <c r="AA32" s="1535">
        <f t="shared" si="15"/>
        <v>1</v>
      </c>
      <c r="AB32" s="1535">
        <f t="shared" si="16"/>
        <v>1</v>
      </c>
      <c r="AC32" s="1535">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8"/>
      <c r="M33" s="2950"/>
      <c r="N33" s="2950"/>
      <c r="O33" s="2950"/>
      <c r="P33" s="3338"/>
      <c r="Q33" s="715" t="str">
        <f t="shared" si="11"/>
        <v>项目建筑规模</v>
      </c>
      <c r="R33" s="716" t="s">
        <v>21</v>
      </c>
      <c r="S33" s="717" t="e">
        <f t="shared" si="12"/>
        <v>#N/A</v>
      </c>
      <c r="T33" s="716" t="s">
        <v>21</v>
      </c>
      <c r="U33" s="717" t="e">
        <f t="shared" si="13"/>
        <v>#N/A</v>
      </c>
      <c r="V33" s="716" t="s">
        <v>21</v>
      </c>
      <c r="W33" s="717" t="e">
        <f t="shared" si="14"/>
        <v>#N/A</v>
      </c>
      <c r="X33" s="718"/>
      <c r="Y33" s="3299"/>
      <c r="Z33" s="719" t="str">
        <f t="shared" si="18"/>
        <v>项目建筑规模</v>
      </c>
      <c r="AA33" s="1535" t="e">
        <f t="shared" si="15"/>
        <v>#N/A</v>
      </c>
      <c r="AB33" s="1535" t="e">
        <f t="shared" si="16"/>
        <v>#N/A</v>
      </c>
      <c r="AC33" s="1535" t="e">
        <f t="shared" si="17"/>
        <v>#N/A</v>
      </c>
    </row>
    <row r="34" spans="1:29" ht="15">
      <c r="A34" s="430"/>
      <c r="B34" s="380" t="s">
        <v>2388</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9"/>
      <c r="M34" s="2943"/>
      <c r="N34" s="2943"/>
      <c r="O34" s="2943"/>
      <c r="P34" s="3338"/>
      <c r="Q34" s="1534" t="str">
        <f t="shared" si="11"/>
        <v>建筑结构</v>
      </c>
      <c r="R34" s="713" t="s">
        <v>21</v>
      </c>
      <c r="S34" s="714">
        <f t="shared" si="12"/>
        <v>100</v>
      </c>
      <c r="T34" s="713" t="s">
        <v>21</v>
      </c>
      <c r="U34" s="714">
        <f t="shared" si="13"/>
        <v>100</v>
      </c>
      <c r="V34" s="713" t="s">
        <v>21</v>
      </c>
      <c r="W34" s="714">
        <f t="shared" si="14"/>
        <v>100</v>
      </c>
      <c r="X34" s="1537"/>
      <c r="Y34" s="3299"/>
      <c r="Z34" s="1538" t="str">
        <f t="shared" si="18"/>
        <v>建筑结构</v>
      </c>
      <c r="AA34" s="1535">
        <f t="shared" si="15"/>
        <v>1</v>
      </c>
      <c r="AB34" s="1535">
        <f t="shared" si="16"/>
        <v>1</v>
      </c>
      <c r="AC34" s="1535">
        <f t="shared" si="17"/>
        <v>1</v>
      </c>
    </row>
    <row r="35" spans="1:29" ht="15">
      <c r="A35" s="430"/>
      <c r="B35" s="380" t="s">
        <v>2389</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9"/>
      <c r="M35" s="2943"/>
      <c r="N35" s="2943"/>
      <c r="O35" s="2943"/>
      <c r="P35" s="3338"/>
      <c r="Q35" s="1534" t="str">
        <f t="shared" si="11"/>
        <v>建筑品质</v>
      </c>
      <c r="R35" s="713" t="s">
        <v>21</v>
      </c>
      <c r="S35" s="714">
        <f t="shared" si="12"/>
        <v>100</v>
      </c>
      <c r="T35" s="713" t="s">
        <v>21</v>
      </c>
      <c r="U35" s="714">
        <f t="shared" si="13"/>
        <v>100</v>
      </c>
      <c r="V35" s="713" t="s">
        <v>21</v>
      </c>
      <c r="W35" s="714">
        <f t="shared" si="14"/>
        <v>100</v>
      </c>
      <c r="X35" s="1537"/>
      <c r="Y35" s="3299"/>
      <c r="Z35" s="1538" t="str">
        <f t="shared" si="18"/>
        <v>建筑品质</v>
      </c>
      <c r="AA35" s="1535">
        <f t="shared" si="15"/>
        <v>1</v>
      </c>
      <c r="AB35" s="1535">
        <f t="shared" si="16"/>
        <v>1</v>
      </c>
      <c r="AC35" s="1535">
        <f t="shared" si="17"/>
        <v>1</v>
      </c>
    </row>
    <row r="36" spans="1:29" ht="15">
      <c r="A36" s="430"/>
      <c r="B36" s="380" t="s">
        <v>2390</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9"/>
      <c r="M36" s="2943"/>
      <c r="N36" s="2943"/>
      <c r="O36" s="2943"/>
      <c r="P36" s="3338"/>
      <c r="Q36" s="1534" t="str">
        <f t="shared" si="11"/>
        <v>公共部分装修</v>
      </c>
      <c r="R36" s="713" t="s">
        <v>21</v>
      </c>
      <c r="S36" s="714">
        <f t="shared" si="12"/>
        <v>100</v>
      </c>
      <c r="T36" s="713" t="s">
        <v>21</v>
      </c>
      <c r="U36" s="714">
        <f t="shared" si="13"/>
        <v>100</v>
      </c>
      <c r="V36" s="713" t="s">
        <v>21</v>
      </c>
      <c r="W36" s="714">
        <f t="shared" si="14"/>
        <v>100</v>
      </c>
      <c r="X36" s="1537"/>
      <c r="Y36" s="3299"/>
      <c r="Z36" s="1538" t="str">
        <f t="shared" si="18"/>
        <v>公共部分装修</v>
      </c>
      <c r="AA36" s="1535">
        <f t="shared" si="15"/>
        <v>1</v>
      </c>
      <c r="AB36" s="1535">
        <f t="shared" si="16"/>
        <v>1</v>
      </c>
      <c r="AC36" s="1535">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38"/>
      <c r="Q37" s="1525" t="str">
        <f t="shared" si="11"/>
        <v>成新度</v>
      </c>
      <c r="R37" s="709" t="s">
        <v>21</v>
      </c>
      <c r="S37" s="710" t="e">
        <f t="shared" si="12"/>
        <v>#N/A</v>
      </c>
      <c r="T37" s="709" t="s">
        <v>21</v>
      </c>
      <c r="U37" s="710" t="e">
        <f t="shared" si="13"/>
        <v>#N/A</v>
      </c>
      <c r="V37" s="709" t="s">
        <v>21</v>
      </c>
      <c r="W37" s="710" t="e">
        <f t="shared" si="14"/>
        <v>#N/A</v>
      </c>
      <c r="X37" s="711"/>
      <c r="Y37" s="3299"/>
      <c r="Z37" s="54" t="str">
        <f t="shared" si="18"/>
        <v>成新度</v>
      </c>
      <c r="AA37" s="712" t="e">
        <f t="shared" si="15"/>
        <v>#N/A</v>
      </c>
      <c r="AB37" s="712" t="e">
        <f t="shared" si="16"/>
        <v>#N/A</v>
      </c>
      <c r="AC37" s="712" t="e">
        <f t="shared" si="17"/>
        <v>#N/A</v>
      </c>
    </row>
    <row r="38" spans="1:29" ht="15">
      <c r="A38" s="430"/>
      <c r="B38" s="380" t="s">
        <v>2392</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9"/>
      <c r="M38" s="2943"/>
      <c r="N38" s="2943"/>
      <c r="O38" s="2943"/>
      <c r="P38" s="3338" t="s">
        <v>2386</v>
      </c>
      <c r="Q38" s="1534" t="str">
        <f t="shared" si="11"/>
        <v>物业管理</v>
      </c>
      <c r="R38" s="713" t="s">
        <v>21</v>
      </c>
      <c r="S38" s="714">
        <f t="shared" si="12"/>
        <v>100</v>
      </c>
      <c r="T38" s="713" t="s">
        <v>21</v>
      </c>
      <c r="U38" s="714">
        <f t="shared" si="13"/>
        <v>100</v>
      </c>
      <c r="V38" s="713" t="s">
        <v>21</v>
      </c>
      <c r="W38" s="714">
        <f t="shared" si="14"/>
        <v>100</v>
      </c>
      <c r="X38" s="1537"/>
      <c r="Y38" s="3299" t="s">
        <v>2386</v>
      </c>
      <c r="Z38" s="1538" t="str">
        <f t="shared" si="18"/>
        <v>物业管理</v>
      </c>
      <c r="AA38" s="1535">
        <f t="shared" si="15"/>
        <v>1</v>
      </c>
      <c r="AB38" s="1535">
        <f t="shared" si="16"/>
        <v>1</v>
      </c>
      <c r="AC38" s="1535">
        <f t="shared" si="17"/>
        <v>1</v>
      </c>
    </row>
    <row r="39" spans="1:29" ht="15">
      <c r="A39" s="430"/>
      <c r="B39" s="380" t="s">
        <v>2393</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9"/>
      <c r="M39" s="2943"/>
      <c r="N39" s="2943"/>
      <c r="O39" s="2943"/>
      <c r="P39" s="3338"/>
      <c r="Q39" s="1534" t="str">
        <f t="shared" si="11"/>
        <v>市政基础设施</v>
      </c>
      <c r="R39" s="713" t="s">
        <v>21</v>
      </c>
      <c r="S39" s="714">
        <f t="shared" si="12"/>
        <v>100</v>
      </c>
      <c r="T39" s="713" t="s">
        <v>21</v>
      </c>
      <c r="U39" s="714">
        <f t="shared" si="13"/>
        <v>100</v>
      </c>
      <c r="V39" s="713" t="s">
        <v>21</v>
      </c>
      <c r="W39" s="714">
        <f t="shared" si="14"/>
        <v>100</v>
      </c>
      <c r="X39" s="1537"/>
      <c r="Y39" s="3299"/>
      <c r="Z39" s="1538" t="str">
        <f t="shared" si="18"/>
        <v>市政基础设施</v>
      </c>
      <c r="AA39" s="1535">
        <f t="shared" si="15"/>
        <v>1</v>
      </c>
      <c r="AB39" s="1535">
        <f t="shared" si="16"/>
        <v>1</v>
      </c>
      <c r="AC39" s="1535">
        <f t="shared" si="17"/>
        <v>1</v>
      </c>
    </row>
    <row r="40" spans="1:29" ht="15">
      <c r="A40" s="430"/>
      <c r="B40" s="380" t="s">
        <v>2394</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9"/>
      <c r="M40" s="2943"/>
      <c r="N40" s="2943"/>
      <c r="O40" s="2943"/>
      <c r="P40" s="3338"/>
      <c r="Q40" s="1534" t="str">
        <f t="shared" si="11"/>
        <v>房型</v>
      </c>
      <c r="R40" s="713" t="s">
        <v>21</v>
      </c>
      <c r="S40" s="714">
        <f t="shared" si="12"/>
        <v>100</v>
      </c>
      <c r="T40" s="713" t="s">
        <v>21</v>
      </c>
      <c r="U40" s="714">
        <f t="shared" si="13"/>
        <v>100</v>
      </c>
      <c r="V40" s="713" t="s">
        <v>21</v>
      </c>
      <c r="W40" s="714">
        <f t="shared" si="14"/>
        <v>100</v>
      </c>
      <c r="X40" s="1537"/>
      <c r="Y40" s="3299"/>
      <c r="Z40" s="1538" t="str">
        <f t="shared" si="18"/>
        <v>房型</v>
      </c>
      <c r="AA40" s="1535">
        <f t="shared" si="15"/>
        <v>1</v>
      </c>
      <c r="AB40" s="1535">
        <f t="shared" si="16"/>
        <v>1</v>
      </c>
      <c r="AC40" s="1535">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8"/>
      <c r="M41" s="2950"/>
      <c r="N41" s="2950"/>
      <c r="O41" s="2950"/>
      <c r="P41" s="3338"/>
      <c r="Q41" s="715" t="str">
        <f t="shared" si="11"/>
        <v>单套/主力户型建筑面积</v>
      </c>
      <c r="R41" s="716" t="s">
        <v>21</v>
      </c>
      <c r="S41" s="717">
        <f t="shared" si="12"/>
        <v>100</v>
      </c>
      <c r="T41" s="716" t="s">
        <v>21</v>
      </c>
      <c r="U41" s="717">
        <f t="shared" si="13"/>
        <v>100</v>
      </c>
      <c r="V41" s="716" t="s">
        <v>21</v>
      </c>
      <c r="W41" s="717">
        <f t="shared" si="14"/>
        <v>100</v>
      </c>
      <c r="X41" s="718"/>
      <c r="Y41" s="3299"/>
      <c r="Z41" s="719" t="str">
        <f t="shared" si="18"/>
        <v>单套/主力户型建筑面积</v>
      </c>
      <c r="AA41" s="1535">
        <f t="shared" si="15"/>
        <v>1</v>
      </c>
      <c r="AB41" s="1535">
        <f t="shared" si="16"/>
        <v>1</v>
      </c>
      <c r="AC41" s="1535">
        <f t="shared" si="17"/>
        <v>1</v>
      </c>
    </row>
    <row r="42" spans="1:29" ht="15">
      <c r="A42" s="430"/>
      <c r="B42" s="380" t="s">
        <v>2396</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9"/>
      <c r="M42" s="2943"/>
      <c r="N42" s="2943"/>
      <c r="O42" s="2943"/>
      <c r="P42" s="3338"/>
      <c r="Q42" s="1534" t="str">
        <f t="shared" si="11"/>
        <v>内部装修</v>
      </c>
      <c r="R42" s="713" t="s">
        <v>21</v>
      </c>
      <c r="S42" s="714">
        <f t="shared" si="12"/>
        <v>100</v>
      </c>
      <c r="T42" s="713" t="s">
        <v>21</v>
      </c>
      <c r="U42" s="714">
        <f t="shared" si="13"/>
        <v>100</v>
      </c>
      <c r="V42" s="713" t="s">
        <v>21</v>
      </c>
      <c r="W42" s="714">
        <f t="shared" si="14"/>
        <v>100</v>
      </c>
      <c r="X42" s="1537"/>
      <c r="Y42" s="3299"/>
      <c r="Z42" s="1538" t="str">
        <f t="shared" si="18"/>
        <v>内部装修</v>
      </c>
      <c r="AA42" s="1535">
        <f t="shared" si="15"/>
        <v>1</v>
      </c>
      <c r="AB42" s="1535">
        <f t="shared" si="16"/>
        <v>1</v>
      </c>
      <c r="AC42" s="1535">
        <f t="shared" si="17"/>
        <v>1</v>
      </c>
    </row>
    <row r="43" spans="1:29" ht="15">
      <c r="A43" s="430"/>
      <c r="B43" s="380" t="s">
        <v>2397</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9"/>
      <c r="M43" s="2943"/>
      <c r="N43" s="2943"/>
      <c r="O43" s="2943"/>
      <c r="P43" s="3338"/>
      <c r="Q43" s="1534" t="str">
        <f t="shared" si="11"/>
        <v>内部装修维护情况</v>
      </c>
      <c r="R43" s="713" t="s">
        <v>21</v>
      </c>
      <c r="S43" s="714">
        <f t="shared" si="12"/>
        <v>100</v>
      </c>
      <c r="T43" s="713" t="s">
        <v>21</v>
      </c>
      <c r="U43" s="714">
        <f t="shared" si="13"/>
        <v>100</v>
      </c>
      <c r="V43" s="713" t="s">
        <v>21</v>
      </c>
      <c r="W43" s="714">
        <f t="shared" si="14"/>
        <v>100</v>
      </c>
      <c r="X43" s="1537"/>
      <c r="Y43" s="3299"/>
      <c r="Z43" s="1538" t="str">
        <f t="shared" si="18"/>
        <v>内部装修维护情况</v>
      </c>
      <c r="AA43" s="1535">
        <f t="shared" si="15"/>
        <v>1</v>
      </c>
      <c r="AB43" s="1535">
        <f t="shared" si="16"/>
        <v>1</v>
      </c>
      <c r="AC43" s="1535">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4"/>
      <c r="M44" s="2945"/>
      <c r="N44" s="2945"/>
      <c r="O44" s="2945"/>
      <c r="P44" s="3338"/>
      <c r="Q44" s="1525">
        <f t="shared" si="11"/>
        <v>111</v>
      </c>
      <c r="R44" s="709" t="s">
        <v>21</v>
      </c>
      <c r="S44" s="710">
        <f t="shared" si="12"/>
        <v>100</v>
      </c>
      <c r="T44" s="709" t="s">
        <v>21</v>
      </c>
      <c r="U44" s="710">
        <f t="shared" si="13"/>
        <v>100</v>
      </c>
      <c r="V44" s="709" t="s">
        <v>21</v>
      </c>
      <c r="W44" s="710">
        <f t="shared" si="14"/>
        <v>100</v>
      </c>
      <c r="X44" s="711"/>
      <c r="Y44" s="3299"/>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9"/>
      <c r="M45" s="2943"/>
      <c r="N45" s="2943"/>
      <c r="O45" s="2943"/>
      <c r="P45" s="3338"/>
      <c r="Q45" s="1534">
        <f t="shared" si="11"/>
        <v>111</v>
      </c>
      <c r="R45" s="713" t="s">
        <v>21</v>
      </c>
      <c r="S45" s="714">
        <f t="shared" si="12"/>
        <v>100</v>
      </c>
      <c r="T45" s="713" t="s">
        <v>21</v>
      </c>
      <c r="U45" s="714">
        <f t="shared" si="13"/>
        <v>100</v>
      </c>
      <c r="V45" s="713" t="s">
        <v>21</v>
      </c>
      <c r="W45" s="714">
        <f t="shared" si="14"/>
        <v>100</v>
      </c>
      <c r="X45" s="1537"/>
      <c r="Y45" s="3299"/>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9"/>
      <c r="M46" s="2943"/>
      <c r="N46" s="2943"/>
      <c r="O46" s="2943"/>
      <c r="P46" s="3339"/>
      <c r="Q46" s="1534">
        <f t="shared" si="11"/>
        <v>111</v>
      </c>
      <c r="R46" s="713" t="s">
        <v>20</v>
      </c>
      <c r="S46" s="714">
        <f t="shared" si="12"/>
        <v>100</v>
      </c>
      <c r="T46" s="713" t="s">
        <v>20</v>
      </c>
      <c r="U46" s="714">
        <f t="shared" si="13"/>
        <v>100</v>
      </c>
      <c r="V46" s="713" t="s">
        <v>20</v>
      </c>
      <c r="W46" s="714">
        <f t="shared" si="14"/>
        <v>100</v>
      </c>
      <c r="X46" s="1537"/>
      <c r="Y46" s="3340"/>
      <c r="Z46" s="1538">
        <f t="shared" si="18"/>
        <v>111</v>
      </c>
      <c r="AA46" s="1535">
        <f t="shared" si="15"/>
        <v>1</v>
      </c>
      <c r="AB46" s="1535">
        <f t="shared" si="16"/>
        <v>1</v>
      </c>
      <c r="AC46" s="1535">
        <f t="shared" si="17"/>
        <v>1</v>
      </c>
    </row>
    <row r="47" spans="1:29" ht="15">
      <c r="A47" s="437" t="s">
        <v>2398</v>
      </c>
      <c r="B47" s="438"/>
      <c r="C47" s="1314" t="s">
        <v>19</v>
      </c>
      <c r="D47" s="1315"/>
      <c r="E47" s="1316"/>
      <c r="F47" s="1317"/>
      <c r="G47" s="1318"/>
      <c r="H47" s="1319"/>
      <c r="I47" s="1316"/>
      <c r="J47" s="1319"/>
      <c r="K47" s="2098"/>
      <c r="L47" s="2951"/>
      <c r="M47" s="2952"/>
      <c r="N47" s="2943"/>
      <c r="O47" s="2952"/>
      <c r="P47" s="3281" t="str">
        <f>A47</f>
        <v>成交单价（元/平方米）</v>
      </c>
      <c r="Q47" s="3281"/>
      <c r="R47" s="3336">
        <f>E47</f>
        <v>0</v>
      </c>
      <c r="S47" s="3336"/>
      <c r="T47" s="3336">
        <f>G47</f>
        <v>0</v>
      </c>
      <c r="U47" s="3336"/>
      <c r="V47" s="3336">
        <f>I47</f>
        <v>0</v>
      </c>
      <c r="W47" s="3336"/>
      <c r="X47" s="698"/>
      <c r="Y47" s="720"/>
      <c r="Z47" s="698"/>
      <c r="AA47" s="698"/>
      <c r="AB47" s="698"/>
      <c r="AC47" s="698"/>
    </row>
    <row r="48" spans="1:29" ht="15.75" thickBot="1">
      <c r="A48" s="444" t="s">
        <v>2399</v>
      </c>
      <c r="B48" s="445"/>
      <c r="C48" s="1320" t="e">
        <f>R49</f>
        <v>#DIV/0!</v>
      </c>
      <c r="D48" s="2536" t="s">
        <v>2881</v>
      </c>
      <c r="E48" s="1321" t="e">
        <f>R48</f>
        <v>#DIV/0!</v>
      </c>
      <c r="F48" s="2537"/>
      <c r="G48" s="1320" t="e">
        <f>T48</f>
        <v>#DIV/0!</v>
      </c>
      <c r="H48" s="2537"/>
      <c r="I48" s="1321" t="e">
        <f>V48</f>
        <v>#DIV/0!</v>
      </c>
      <c r="J48" s="2537"/>
      <c r="K48" s="2538">
        <f>F48+H48+J48</f>
        <v>0</v>
      </c>
      <c r="L48" s="2951"/>
      <c r="M48" s="2952"/>
      <c r="N48" s="2952"/>
      <c r="O48" s="2952"/>
      <c r="P48" s="3281" t="str">
        <f>A48</f>
        <v>比较价值（元/平方米）</v>
      </c>
      <c r="Q48" s="328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099"/>
      <c r="L49" s="2951"/>
      <c r="M49" s="2952"/>
      <c r="N49" s="2952"/>
      <c r="O49" s="2952"/>
      <c r="P49" s="3301" t="str">
        <f>A49</f>
        <v>估价对象XX用房的比较价值（楼面单价，元/平方米）</v>
      </c>
      <c r="Q49" s="3302"/>
      <c r="R49" s="3335" t="e">
        <f>IF(F1="售价",ROUND(IF(D48="简单平均",AVERAGE(R48:V48),R48*F48+T48*H48+V48*J48),0),ROUND(IF(D48="简单平均",AVERAGE(R48:V48),R48*F48+T48*H48+V48*J48),1))</f>
        <v>#DIV/0!</v>
      </c>
      <c r="S49" s="3335"/>
      <c r="T49" s="3335"/>
      <c r="U49" s="3335"/>
      <c r="V49" s="3335"/>
      <c r="W49" s="333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1"/>
    </row>
    <row r="55" spans="1:29" s="458"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0"/>
    </row>
    <row r="58" spans="1:29" s="464" customFormat="1" ht="15">
      <c r="A58" s="461" t="s">
        <v>2405</v>
      </c>
      <c r="B58" s="462"/>
      <c r="C58" s="1346" t="str">
        <f>YEAR(C7)&amp;"-"&amp;MONTH(C7)</f>
        <v>2021-8</v>
      </c>
      <c r="D58" s="1345">
        <f>EDATE(C58,-1)</f>
        <v>44378</v>
      </c>
      <c r="E58" s="1345">
        <f>EDATE(D58,-1)</f>
        <v>44348</v>
      </c>
      <c r="F58" s="1345">
        <f t="shared" ref="F58:O58" si="19">EDATE(E58,-1)</f>
        <v>44317</v>
      </c>
      <c r="G58" s="1345">
        <f t="shared" si="19"/>
        <v>44287</v>
      </c>
      <c r="H58" s="1345">
        <f t="shared" si="19"/>
        <v>44256</v>
      </c>
      <c r="I58" s="1345">
        <f t="shared" si="19"/>
        <v>44228</v>
      </c>
      <c r="J58" s="1345">
        <f t="shared" si="19"/>
        <v>44197</v>
      </c>
      <c r="K58" s="1345">
        <f t="shared" si="19"/>
        <v>44166</v>
      </c>
      <c r="L58" s="1345">
        <f t="shared" si="19"/>
        <v>44136</v>
      </c>
      <c r="M58" s="1345">
        <f t="shared" si="19"/>
        <v>44105</v>
      </c>
      <c r="N58" s="1345">
        <f t="shared" si="19"/>
        <v>44075</v>
      </c>
      <c r="O58" s="1345">
        <f t="shared" si="19"/>
        <v>44044</v>
      </c>
      <c r="P58" s="1341"/>
    </row>
    <row r="59" spans="1:29" s="112" customFormat="1" ht="15">
      <c r="A59" s="465"/>
      <c r="B59" s="2103"/>
      <c r="C59" s="1343">
        <v>100</v>
      </c>
      <c r="D59" s="467"/>
      <c r="E59" s="468"/>
      <c r="F59" s="468"/>
      <c r="G59" s="468"/>
      <c r="H59" s="468"/>
      <c r="I59" s="468"/>
      <c r="J59" s="468"/>
      <c r="K59" s="468"/>
      <c r="L59" s="468"/>
      <c r="M59" s="469"/>
      <c r="N59" s="468"/>
      <c r="O59" s="469"/>
      <c r="P59" s="2104"/>
    </row>
    <row r="60" spans="1:29" s="112" customFormat="1" ht="15.75" thickBot="1">
      <c r="A60" s="471" t="s">
        <v>2406</v>
      </c>
      <c r="B60" s="472"/>
      <c r="C60" s="473"/>
      <c r="D60" s="474"/>
      <c r="E60" s="474"/>
      <c r="F60" s="474"/>
      <c r="G60" s="474"/>
      <c r="H60" s="474"/>
      <c r="I60" s="474"/>
      <c r="J60" s="474"/>
      <c r="K60" s="474"/>
      <c r="L60" s="474"/>
      <c r="M60" s="475"/>
      <c r="N60" s="474"/>
      <c r="O60" s="475"/>
      <c r="P60" s="2104"/>
      <c r="Q60" s="460"/>
    </row>
    <row r="61" spans="1:29" s="112" customFormat="1" ht="15">
      <c r="A61" s="477" t="s">
        <v>2407</v>
      </c>
      <c r="B61" s="466"/>
      <c r="C61" s="478" t="s">
        <v>2408</v>
      </c>
      <c r="D61" s="479"/>
      <c r="E61" s="479"/>
      <c r="F61" s="479"/>
      <c r="G61" s="479"/>
      <c r="H61" s="479"/>
      <c r="I61" s="479"/>
      <c r="J61" s="479"/>
      <c r="K61" s="479"/>
      <c r="L61" s="480"/>
      <c r="M61" s="481"/>
      <c r="N61" s="1062"/>
      <c r="O61" s="1062"/>
      <c r="P61" s="2105"/>
      <c r="Q61" s="460"/>
    </row>
    <row r="62" spans="1:29" s="112" customFormat="1" ht="15.75" thickBot="1">
      <c r="A62" s="477"/>
      <c r="B62" s="466"/>
      <c r="C62" s="467">
        <v>100</v>
      </c>
      <c r="D62" s="468"/>
      <c r="E62" s="468"/>
      <c r="F62" s="468"/>
      <c r="G62" s="468"/>
      <c r="H62" s="468"/>
      <c r="I62" s="468"/>
      <c r="J62" s="468"/>
      <c r="K62" s="468"/>
      <c r="L62" s="468"/>
      <c r="M62" s="470"/>
      <c r="N62" s="1062"/>
      <c r="O62" s="1062"/>
      <c r="P62" s="2104"/>
      <c r="Q62" s="460"/>
    </row>
    <row r="63" spans="1:29">
      <c r="A63" s="483" t="s">
        <v>2409</v>
      </c>
      <c r="B63" s="484" t="s">
        <v>2375</v>
      </c>
      <c r="C63" s="485">
        <f>C9</f>
        <v>0</v>
      </c>
      <c r="D63" s="486"/>
      <c r="E63" s="486"/>
      <c r="F63" s="486"/>
      <c r="G63" s="486"/>
      <c r="H63" s="486"/>
      <c r="I63" s="486"/>
      <c r="J63" s="486"/>
      <c r="K63" s="487"/>
      <c r="L63" s="488"/>
      <c r="M63" s="489"/>
      <c r="N63" s="1063"/>
      <c r="O63" s="1063"/>
      <c r="P63" s="2106"/>
      <c r="Q63" s="460"/>
    </row>
    <row r="64" spans="1:29" ht="15.75" thickBot="1">
      <c r="A64" s="490"/>
      <c r="B64" s="491"/>
      <c r="C64" s="492">
        <v>100</v>
      </c>
      <c r="D64" s="492"/>
      <c r="E64" s="492"/>
      <c r="F64" s="492"/>
      <c r="G64" s="492"/>
      <c r="H64" s="492"/>
      <c r="I64" s="492"/>
      <c r="J64" s="492"/>
      <c r="K64" s="492"/>
      <c r="L64" s="492"/>
      <c r="M64" s="493"/>
      <c r="N64" s="1064"/>
      <c r="O64" s="1064"/>
      <c r="P64" s="2106"/>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6"/>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6"/>
      <c r="Q67" s="460"/>
    </row>
    <row r="68" spans="1:17" ht="15">
      <c r="A68" s="490"/>
      <c r="B68" s="504"/>
      <c r="C68" s="505"/>
      <c r="D68" s="505"/>
      <c r="E68" s="505"/>
      <c r="F68" s="505"/>
      <c r="G68" s="505"/>
      <c r="H68" s="505"/>
      <c r="I68" s="505"/>
      <c r="J68" s="505"/>
      <c r="K68" s="506"/>
      <c r="L68" s="507"/>
      <c r="M68" s="508"/>
      <c r="N68" s="1063"/>
      <c r="O68" s="1063"/>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6"/>
      <c r="Q69" s="460"/>
    </row>
    <row r="70" spans="1:17" s="429" customFormat="1" ht="15.75" thickTop="1">
      <c r="A70" s="509"/>
      <c r="B70" s="494">
        <f>B12</f>
        <v>111</v>
      </c>
      <c r="C70" s="510"/>
      <c r="D70" s="510"/>
      <c r="E70" s="510"/>
      <c r="F70" s="510"/>
      <c r="G70" s="510"/>
      <c r="H70" s="511"/>
      <c r="I70" s="511"/>
      <c r="J70" s="511"/>
      <c r="K70" s="511"/>
      <c r="L70" s="512"/>
      <c r="M70" s="513"/>
      <c r="N70" s="1065"/>
      <c r="O70" s="1065"/>
      <c r="P70" s="2107"/>
      <c r="Q70" s="515"/>
    </row>
    <row r="71" spans="1:17" s="429" customFormat="1" ht="15.75" thickBot="1">
      <c r="A71" s="509"/>
      <c r="B71" s="499"/>
      <c r="C71" s="516"/>
      <c r="D71" s="492"/>
      <c r="E71" s="492"/>
      <c r="F71" s="492"/>
      <c r="G71" s="492"/>
      <c r="H71" s="492"/>
      <c r="I71" s="492"/>
      <c r="J71" s="492"/>
      <c r="K71" s="492"/>
      <c r="L71" s="492"/>
      <c r="M71" s="493"/>
      <c r="N71" s="1064"/>
      <c r="O71" s="1064"/>
      <c r="P71" s="2107"/>
      <c r="Q71" s="515"/>
    </row>
    <row r="72" spans="1:17" s="429" customFormat="1" ht="15.75" thickTop="1">
      <c r="A72" s="509"/>
      <c r="B72" s="494">
        <f>B13</f>
        <v>111</v>
      </c>
      <c r="C72" s="510"/>
      <c r="D72" s="510"/>
      <c r="E72" s="510"/>
      <c r="F72" s="510"/>
      <c r="G72" s="510"/>
      <c r="H72" s="511"/>
      <c r="I72" s="511"/>
      <c r="J72" s="511"/>
      <c r="K72" s="511"/>
      <c r="L72" s="512"/>
      <c r="M72" s="513"/>
      <c r="N72" s="1065"/>
      <c r="O72" s="1065"/>
      <c r="P72" s="2108"/>
      <c r="Q72" s="517"/>
    </row>
    <row r="73" spans="1:17" s="429" customFormat="1" ht="15.75" thickBot="1">
      <c r="A73" s="509"/>
      <c r="B73" s="499"/>
      <c r="C73" s="516"/>
      <c r="D73" s="516"/>
      <c r="E73" s="516"/>
      <c r="F73" s="516"/>
      <c r="G73" s="516"/>
      <c r="H73" s="518"/>
      <c r="I73" s="518"/>
      <c r="J73" s="518"/>
      <c r="K73" s="518"/>
      <c r="L73" s="518"/>
      <c r="M73" s="519"/>
      <c r="N73" s="1065"/>
      <c r="O73" s="1065"/>
      <c r="P73" s="2107"/>
      <c r="Q73" s="515"/>
    </row>
    <row r="74" spans="1:17" s="429" customFormat="1" ht="15.75" thickTop="1">
      <c r="A74" s="509"/>
      <c r="B74" s="502">
        <f>B14</f>
        <v>111</v>
      </c>
      <c r="C74" s="510"/>
      <c r="D74" s="510"/>
      <c r="E74" s="510"/>
      <c r="F74" s="510"/>
      <c r="G74" s="479"/>
      <c r="H74" s="520"/>
      <c r="I74" s="520"/>
      <c r="J74" s="520"/>
      <c r="K74" s="520"/>
      <c r="L74" s="521"/>
      <c r="M74" s="522"/>
      <c r="N74" s="1065"/>
      <c r="O74" s="1065"/>
      <c r="P74" s="2109"/>
      <c r="Q74" s="515"/>
    </row>
    <row r="75" spans="1:17" s="429" customFormat="1" ht="15.75" thickBot="1">
      <c r="A75" s="524"/>
      <c r="B75" s="525"/>
      <c r="C75" s="526"/>
      <c r="D75" s="526"/>
      <c r="E75" s="526"/>
      <c r="F75" s="526"/>
      <c r="G75" s="526"/>
      <c r="H75" s="527"/>
      <c r="I75" s="527"/>
      <c r="J75" s="527"/>
      <c r="K75" s="527"/>
      <c r="L75" s="527"/>
      <c r="M75" s="528"/>
      <c r="N75" s="1065"/>
      <c r="O75" s="1065"/>
      <c r="P75" s="2107"/>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6"/>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6"/>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6"/>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4"/>
      <c r="O82" s="1064"/>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6"/>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6"/>
      <c r="Q85" s="460"/>
    </row>
    <row r="86" spans="1:17" s="112" customFormat="1" ht="15.75" thickTop="1">
      <c r="A86" s="535"/>
      <c r="B86" s="494" t="s">
        <v>2431</v>
      </c>
      <c r="C86" s="510"/>
      <c r="D86" s="510"/>
      <c r="E86" s="510"/>
      <c r="F86" s="510"/>
      <c r="G86" s="510"/>
      <c r="H86" s="510"/>
      <c r="I86" s="510"/>
      <c r="J86" s="510"/>
      <c r="K86" s="510"/>
      <c r="L86" s="536"/>
      <c r="M86" s="537"/>
      <c r="N86" s="1062"/>
      <c r="O86" s="1062"/>
      <c r="P86" s="210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6"/>
      <c r="Q87" s="460"/>
    </row>
    <row r="88" spans="1:17" s="112" customFormat="1" ht="15.75" thickTop="1">
      <c r="A88" s="535"/>
      <c r="B88" s="494" t="s">
        <v>2432</v>
      </c>
      <c r="C88" s="510"/>
      <c r="D88" s="510"/>
      <c r="E88" s="510"/>
      <c r="F88" s="2111"/>
      <c r="G88" s="510"/>
      <c r="H88" s="510"/>
      <c r="I88" s="510"/>
      <c r="J88" s="510"/>
      <c r="K88" s="510"/>
      <c r="L88" s="510"/>
      <c r="M88" s="537"/>
      <c r="N88" s="1062"/>
      <c r="O88" s="1062"/>
      <c r="P88" s="210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6"/>
      <c r="Q89" s="460"/>
    </row>
    <row r="90" spans="1:17" s="429" customFormat="1" ht="15.75" thickTop="1">
      <c r="A90" s="509"/>
      <c r="B90" s="494">
        <f>B27</f>
        <v>111</v>
      </c>
      <c r="C90" s="510"/>
      <c r="D90" s="510"/>
      <c r="E90" s="510"/>
      <c r="F90" s="510"/>
      <c r="G90" s="510"/>
      <c r="H90" s="511"/>
      <c r="I90" s="511"/>
      <c r="J90" s="511"/>
      <c r="K90" s="511"/>
      <c r="L90" s="512"/>
      <c r="M90" s="513"/>
      <c r="N90" s="1065"/>
      <c r="O90" s="1065"/>
      <c r="P90" s="2107"/>
      <c r="Q90" s="515"/>
    </row>
    <row r="91" spans="1:17" s="429" customFormat="1" ht="15.75" thickBot="1">
      <c r="A91" s="509"/>
      <c r="B91" s="499"/>
      <c r="C91" s="516"/>
      <c r="D91" s="516"/>
      <c r="E91" s="516"/>
      <c r="F91" s="516"/>
      <c r="G91" s="516"/>
      <c r="H91" s="518"/>
      <c r="I91" s="518"/>
      <c r="J91" s="518"/>
      <c r="K91" s="518"/>
      <c r="L91" s="518"/>
      <c r="M91" s="519"/>
      <c r="N91" s="1065"/>
      <c r="O91" s="1065"/>
      <c r="P91" s="2107"/>
      <c r="Q91" s="515"/>
    </row>
    <row r="92" spans="1:17" ht="15.75" thickTop="1">
      <c r="A92" s="490"/>
      <c r="B92" s="494">
        <f>B28</f>
        <v>111</v>
      </c>
      <c r="C92" s="510"/>
      <c r="D92" s="510"/>
      <c r="E92" s="510"/>
      <c r="F92" s="510"/>
      <c r="G92" s="539"/>
      <c r="H92" s="539"/>
      <c r="I92" s="539"/>
      <c r="J92" s="539"/>
      <c r="K92" s="540"/>
      <c r="L92" s="541"/>
      <c r="M92" s="542"/>
      <c r="N92" s="1063"/>
      <c r="O92" s="1063"/>
      <c r="P92" s="2106"/>
      <c r="Q92" s="460"/>
    </row>
    <row r="93" spans="1:17" ht="15.75" thickBot="1">
      <c r="A93" s="490"/>
      <c r="B93" s="499"/>
      <c r="C93" s="516"/>
      <c r="D93" s="492"/>
      <c r="E93" s="492"/>
      <c r="F93" s="492"/>
      <c r="G93" s="492"/>
      <c r="H93" s="492"/>
      <c r="I93" s="492"/>
      <c r="J93" s="492"/>
      <c r="K93" s="492"/>
      <c r="L93" s="492"/>
      <c r="M93" s="493"/>
      <c r="N93" s="1064"/>
      <c r="O93" s="1064"/>
      <c r="P93" s="2106"/>
      <c r="Q93" s="460"/>
    </row>
    <row r="94" spans="1:17" ht="15.75" thickTop="1">
      <c r="A94" s="490"/>
      <c r="B94" s="494">
        <f>B29</f>
        <v>111</v>
      </c>
      <c r="C94" s="510"/>
      <c r="D94" s="510"/>
      <c r="E94" s="510"/>
      <c r="F94" s="510"/>
      <c r="G94" s="539"/>
      <c r="H94" s="539"/>
      <c r="I94" s="539"/>
      <c r="J94" s="539"/>
      <c r="K94" s="540"/>
      <c r="L94" s="541"/>
      <c r="M94" s="542"/>
      <c r="N94" s="1063"/>
      <c r="O94" s="1063"/>
      <c r="P94" s="2106"/>
      <c r="Q94" s="460"/>
    </row>
    <row r="95" spans="1:17" ht="15.75" thickBot="1">
      <c r="A95" s="490"/>
      <c r="B95" s="499"/>
      <c r="C95" s="516"/>
      <c r="D95" s="516"/>
      <c r="E95" s="516"/>
      <c r="F95" s="516"/>
      <c r="G95" s="492"/>
      <c r="H95" s="492"/>
      <c r="I95" s="492"/>
      <c r="J95" s="492"/>
      <c r="K95" s="492"/>
      <c r="L95" s="492"/>
      <c r="M95" s="493"/>
      <c r="N95" s="1064"/>
      <c r="O95" s="1064"/>
      <c r="P95" s="2106"/>
      <c r="Q95" s="460"/>
    </row>
    <row r="96" spans="1:17" ht="15.75" thickTop="1">
      <c r="A96" s="490"/>
      <c r="B96" s="494">
        <f>B30</f>
        <v>111</v>
      </c>
      <c r="C96" s="510"/>
      <c r="D96" s="510"/>
      <c r="E96" s="510"/>
      <c r="F96" s="510"/>
      <c r="G96" s="539"/>
      <c r="H96" s="539"/>
      <c r="I96" s="539"/>
      <c r="J96" s="539"/>
      <c r="K96" s="540"/>
      <c r="L96" s="541"/>
      <c r="M96" s="542"/>
      <c r="N96" s="1063"/>
      <c r="O96" s="1063"/>
      <c r="P96" s="2106"/>
      <c r="Q96" s="460"/>
    </row>
    <row r="97" spans="1:17" ht="15.75" thickBot="1">
      <c r="A97" s="490"/>
      <c r="B97" s="499"/>
      <c r="C97" s="526"/>
      <c r="D97" s="526"/>
      <c r="E97" s="526"/>
      <c r="F97" s="526"/>
      <c r="G97" s="492"/>
      <c r="H97" s="492"/>
      <c r="I97" s="492"/>
      <c r="J97" s="492"/>
      <c r="K97" s="492"/>
      <c r="L97" s="492"/>
      <c r="M97" s="493"/>
      <c r="N97" s="1064"/>
      <c r="O97" s="1064"/>
      <c r="P97" s="2106"/>
      <c r="Q97" s="460"/>
    </row>
    <row r="98" spans="1:17" ht="15.75" thickTop="1">
      <c r="A98" s="490"/>
      <c r="B98" s="502">
        <f>B31</f>
        <v>111</v>
      </c>
      <c r="C98" s="543"/>
      <c r="D98" s="543"/>
      <c r="E98" s="543"/>
      <c r="F98" s="543"/>
      <c r="G98" s="543"/>
      <c r="H98" s="543"/>
      <c r="I98" s="543"/>
      <c r="J98" s="543"/>
      <c r="K98" s="544"/>
      <c r="L98" s="545"/>
      <c r="M98" s="546"/>
      <c r="N98" s="1063"/>
      <c r="O98" s="1063"/>
      <c r="P98" s="2106"/>
      <c r="Q98" s="460"/>
    </row>
    <row r="99" spans="1:17" ht="15.75" thickBot="1">
      <c r="A99" s="2112"/>
      <c r="B99" s="525"/>
      <c r="C99" s="547"/>
      <c r="D99" s="547"/>
      <c r="E99" s="547"/>
      <c r="F99" s="547"/>
      <c r="G99" s="547"/>
      <c r="H99" s="547"/>
      <c r="I99" s="547"/>
      <c r="J99" s="547"/>
      <c r="K99" s="547"/>
      <c r="L99" s="547"/>
      <c r="M99" s="548"/>
      <c r="N99" s="1064"/>
      <c r="O99" s="1064"/>
      <c r="P99" s="2106"/>
      <c r="Q99" s="460"/>
    </row>
    <row r="100" spans="1:17">
      <c r="A100" s="483" t="s">
        <v>2384</v>
      </c>
      <c r="B100" s="484" t="s">
        <v>2433</v>
      </c>
      <c r="C100" s="486"/>
      <c r="D100" s="486"/>
      <c r="E100" s="486"/>
      <c r="F100" s="486"/>
      <c r="G100" s="486"/>
      <c r="H100" s="486"/>
      <c r="I100" s="486"/>
      <c r="J100" s="486"/>
      <c r="K100" s="487"/>
      <c r="L100" s="488"/>
      <c r="M100" s="489"/>
      <c r="N100" s="1063"/>
      <c r="O100" s="1063"/>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6"/>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6"/>
      <c r="Q102" s="460"/>
    </row>
    <row r="103" spans="1:17" s="429" customFormat="1">
      <c r="A103" s="549"/>
      <c r="B103" s="550"/>
      <c r="C103" s="551"/>
      <c r="D103" s="551"/>
      <c r="E103" s="551"/>
      <c r="F103" s="551"/>
      <c r="G103" s="551"/>
      <c r="H103" s="551"/>
      <c r="I103" s="551"/>
      <c r="J103" s="552"/>
      <c r="K103" s="552"/>
      <c r="L103" s="553"/>
      <c r="M103" s="554"/>
      <c r="N103" s="1065"/>
      <c r="O103" s="1065"/>
      <c r="P103" s="210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7"/>
      <c r="Q104" s="515"/>
    </row>
    <row r="105" spans="1:17" ht="15" thickTop="1">
      <c r="A105" s="555"/>
      <c r="B105" s="494" t="s">
        <v>2435</v>
      </c>
      <c r="C105" s="510"/>
      <c r="D105" s="510"/>
      <c r="E105" s="539"/>
      <c r="F105" s="539"/>
      <c r="G105" s="539"/>
      <c r="H105" s="539"/>
      <c r="I105" s="539"/>
      <c r="J105" s="539"/>
      <c r="K105" s="540"/>
      <c r="L105" s="541"/>
      <c r="M105" s="542"/>
      <c r="N105" s="1063"/>
      <c r="O105" s="1063"/>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6"/>
      <c r="Q106" s="460"/>
    </row>
    <row r="107" spans="1:17" ht="15" thickTop="1">
      <c r="A107" s="555"/>
      <c r="B107" s="494" t="s">
        <v>2436</v>
      </c>
      <c r="C107" s="539"/>
      <c r="D107" s="539"/>
      <c r="E107" s="539"/>
      <c r="F107" s="539"/>
      <c r="G107" s="539"/>
      <c r="H107" s="539"/>
      <c r="I107" s="539"/>
      <c r="J107" s="539"/>
      <c r="K107" s="540"/>
      <c r="L107" s="541"/>
      <c r="M107" s="542"/>
      <c r="N107" s="1063"/>
      <c r="O107" s="1063"/>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6"/>
      <c r="Q108" s="460"/>
    </row>
    <row r="109" spans="1:17" ht="15" thickTop="1">
      <c r="A109" s="555"/>
      <c r="B109" s="494" t="s">
        <v>2437</v>
      </c>
      <c r="C109" s="510"/>
      <c r="D109" s="510"/>
      <c r="E109" s="510"/>
      <c r="F109" s="539"/>
      <c r="G109" s="539"/>
      <c r="H109" s="539"/>
      <c r="I109" s="539"/>
      <c r="J109" s="539"/>
      <c r="K109" s="540"/>
      <c r="L109" s="541"/>
      <c r="M109" s="542"/>
      <c r="N109" s="1063"/>
      <c r="O109" s="1063"/>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6"/>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7"/>
      <c r="Q113" s="515"/>
    </row>
    <row r="114" spans="1:17" ht="15" thickTop="1">
      <c r="A114" s="555"/>
      <c r="B114" s="494" t="s">
        <v>2438</v>
      </c>
      <c r="C114" s="510"/>
      <c r="D114" s="510"/>
      <c r="E114" s="539"/>
      <c r="F114" s="539"/>
      <c r="G114" s="539"/>
      <c r="H114" s="539"/>
      <c r="I114" s="539"/>
      <c r="J114" s="539"/>
      <c r="K114" s="540"/>
      <c r="L114" s="541"/>
      <c r="M114" s="542"/>
      <c r="N114" s="1063"/>
      <c r="O114" s="1063"/>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6"/>
      <c r="Q115" s="460"/>
    </row>
    <row r="116" spans="1:17" ht="15" thickTop="1">
      <c r="A116" s="555"/>
      <c r="B116" s="494" t="s">
        <v>2439</v>
      </c>
      <c r="C116" s="510"/>
      <c r="D116" s="510"/>
      <c r="E116" s="510"/>
      <c r="F116" s="510"/>
      <c r="G116" s="510"/>
      <c r="H116" s="539"/>
      <c r="I116" s="539"/>
      <c r="J116" s="539"/>
      <c r="K116" s="540"/>
      <c r="L116" s="541"/>
      <c r="M116" s="542"/>
      <c r="N116" s="1063"/>
      <c r="O116" s="1063"/>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6"/>
      <c r="Q117" s="460"/>
    </row>
    <row r="118" spans="1:17" ht="15" thickTop="1">
      <c r="A118" s="555"/>
      <c r="B118" s="494" t="s">
        <v>2440</v>
      </c>
      <c r="C118" s="539"/>
      <c r="D118" s="539"/>
      <c r="E118" s="539"/>
      <c r="F118" s="539"/>
      <c r="G118" s="539"/>
      <c r="H118" s="539"/>
      <c r="I118" s="539"/>
      <c r="J118" s="539"/>
      <c r="K118" s="540"/>
      <c r="L118" s="541"/>
      <c r="M118" s="542"/>
      <c r="N118" s="1063"/>
      <c r="O118" s="1063"/>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6"/>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7"/>
      <c r="Q121" s="515"/>
    </row>
    <row r="122" spans="1:17" ht="15" thickTop="1">
      <c r="A122" s="555"/>
      <c r="B122" s="494" t="s">
        <v>2441</v>
      </c>
      <c r="C122" s="510"/>
      <c r="D122" s="510"/>
      <c r="E122" s="510"/>
      <c r="F122" s="539"/>
      <c r="G122" s="539"/>
      <c r="H122" s="539"/>
      <c r="I122" s="539"/>
      <c r="J122" s="539"/>
      <c r="K122" s="540"/>
      <c r="L122" s="541"/>
      <c r="M122" s="542"/>
      <c r="N122" s="1063"/>
      <c r="O122" s="1063"/>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6"/>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7"/>
      <c r="Q127" s="515"/>
    </row>
    <row r="128" spans="1:17" ht="15" thickTop="1">
      <c r="A128" s="555"/>
      <c r="B128" s="494">
        <f>B45</f>
        <v>111</v>
      </c>
      <c r="C128" s="510"/>
      <c r="D128" s="510"/>
      <c r="E128" s="510"/>
      <c r="F128" s="510"/>
      <c r="G128" s="539"/>
      <c r="H128" s="539"/>
      <c r="I128" s="539"/>
      <c r="J128" s="539"/>
      <c r="K128" s="540"/>
      <c r="L128" s="541"/>
      <c r="M128" s="542"/>
      <c r="N128" s="1063"/>
      <c r="O128" s="1063"/>
      <c r="P128" s="2106"/>
      <c r="Q128" s="460"/>
    </row>
    <row r="129" spans="1:17" ht="15.75" thickBot="1">
      <c r="A129" s="490"/>
      <c r="B129" s="499"/>
      <c r="C129" s="516"/>
      <c r="D129" s="516"/>
      <c r="E129" s="516"/>
      <c r="F129" s="516"/>
      <c r="G129" s="492"/>
      <c r="H129" s="492"/>
      <c r="I129" s="492"/>
      <c r="J129" s="492"/>
      <c r="K129" s="492"/>
      <c r="L129" s="492"/>
      <c r="M129" s="493"/>
      <c r="N129" s="1064"/>
      <c r="O129" s="1064"/>
      <c r="P129" s="2106"/>
      <c r="Q129" s="460"/>
    </row>
    <row r="130" spans="1:17" ht="15" thickTop="1">
      <c r="A130" s="555"/>
      <c r="B130" s="502">
        <f>B46</f>
        <v>111</v>
      </c>
      <c r="C130" s="510"/>
      <c r="D130" s="510"/>
      <c r="E130" s="510"/>
      <c r="F130" s="510"/>
      <c r="G130" s="543"/>
      <c r="H130" s="543"/>
      <c r="I130" s="543"/>
      <c r="J130" s="543"/>
      <c r="K130" s="479"/>
      <c r="L130" s="480"/>
      <c r="M130" s="546"/>
      <c r="N130" s="1063"/>
      <c r="O130" s="1063"/>
      <c r="P130" s="2106"/>
      <c r="Q130" s="460"/>
    </row>
    <row r="131" spans="1:17" ht="15.75" thickBot="1">
      <c r="A131" s="2112"/>
      <c r="B131" s="525"/>
      <c r="C131" s="526"/>
      <c r="D131" s="526"/>
      <c r="E131" s="526"/>
      <c r="F131" s="526"/>
      <c r="G131" s="547"/>
      <c r="H131" s="547"/>
      <c r="I131" s="547"/>
      <c r="J131" s="547"/>
      <c r="K131" s="547"/>
      <c r="L131" s="547"/>
      <c r="M131" s="548"/>
      <c r="N131" s="1064"/>
      <c r="O131" s="1064"/>
      <c r="P131" s="2106"/>
      <c r="Q131" s="460"/>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1" t="s">
        <v>2446</v>
      </c>
      <c r="D138" s="141" t="s">
        <v>2447</v>
      </c>
      <c r="E138" s="2121" t="s">
        <v>2448</v>
      </c>
      <c r="F138" s="2122" t="s">
        <v>2449</v>
      </c>
      <c r="G138" s="141" t="s">
        <v>2447</v>
      </c>
      <c r="H138" s="142" t="s">
        <v>2448</v>
      </c>
      <c r="I138" s="2123"/>
      <c r="J138" s="141" t="s">
        <v>2450</v>
      </c>
      <c r="K138" s="142"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6">
        <f>ROUNDUP((J139-1)/2,0)</f>
        <v>10</v>
      </c>
      <c r="K140" s="1008">
        <v>100</v>
      </c>
    </row>
    <row r="141" spans="1:17" ht="15">
      <c r="B141" s="1003">
        <v>4</v>
      </c>
      <c r="C141" s="1004">
        <v>102</v>
      </c>
      <c r="D141" s="1004"/>
      <c r="E141" s="1005"/>
      <c r="F141" s="1006">
        <v>101.5</v>
      </c>
      <c r="G141" s="1004"/>
      <c r="H141" s="1007"/>
      <c r="I141" s="2126" t="s">
        <v>2455</v>
      </c>
      <c r="J141" s="276">
        <v>1</v>
      </c>
      <c r="K141" s="1009">
        <f>ROUND(100+(J141-J140)*K139*100,1)</f>
        <v>96.4</v>
      </c>
    </row>
    <row r="142" spans="1:17" ht="15">
      <c r="B142" s="1003">
        <v>3</v>
      </c>
      <c r="C142" s="1004">
        <v>103</v>
      </c>
      <c r="D142" s="1004"/>
      <c r="E142" s="1005"/>
      <c r="F142" s="1006">
        <v>101</v>
      </c>
      <c r="G142" s="1004"/>
      <c r="H142" s="1007"/>
      <c r="I142" s="2126" t="s">
        <v>2456</v>
      </c>
      <c r="J142" s="276">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7" customFormat="1" ht="28.5" customHeight="1" thickBot="1">
      <c r="A3" s="208" t="s">
        <v>2150</v>
      </c>
      <c r="B3" s="565" t="e">
        <f ca="1">IF(C2="——",C49,ROUND(B2*10000/D3,0))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0" t="s">
        <v>2466</v>
      </c>
      <c r="B4" s="361"/>
      <c r="C4" s="3282" t="s">
        <v>2467</v>
      </c>
      <c r="D4" s="3283"/>
      <c r="E4" s="3284" t="s">
        <v>2468</v>
      </c>
      <c r="F4" s="3285"/>
      <c r="G4" s="3282" t="s">
        <v>2469</v>
      </c>
      <c r="H4" s="3283"/>
      <c r="I4" s="3282" t="s">
        <v>2470</v>
      </c>
      <c r="J4" s="3283"/>
      <c r="K4" s="566" t="s">
        <v>2471</v>
      </c>
      <c r="L4" s="2942"/>
      <c r="M4" s="2943"/>
      <c r="N4" s="2943"/>
      <c r="O4" s="2943"/>
      <c r="P4" s="3286" t="s">
        <v>2472</v>
      </c>
      <c r="Q4" s="3287"/>
      <c r="R4" s="3269" t="s">
        <v>2468</v>
      </c>
      <c r="S4" s="3270"/>
      <c r="T4" s="3269" t="s">
        <v>2469</v>
      </c>
      <c r="U4" s="3270"/>
      <c r="V4" s="3294" t="s">
        <v>2470</v>
      </c>
      <c r="W4" s="3294"/>
      <c r="X4" s="1537"/>
      <c r="Y4" s="3269" t="s">
        <v>2472</v>
      </c>
      <c r="Z4" s="3270"/>
      <c r="AA4" s="3264" t="s">
        <v>2468</v>
      </c>
      <c r="AB4" s="3294" t="s">
        <v>2469</v>
      </c>
      <c r="AC4" s="3264" t="s">
        <v>2470</v>
      </c>
    </row>
    <row r="5" spans="1:29" ht="15">
      <c r="A5" s="363"/>
      <c r="B5" s="364"/>
      <c r="C5" s="3275" t="s">
        <v>2363</v>
      </c>
      <c r="D5" s="3276"/>
      <c r="E5" s="3273" t="s">
        <v>2364</v>
      </c>
      <c r="F5" s="3274"/>
      <c r="G5" s="3275" t="s">
        <v>2365</v>
      </c>
      <c r="H5" s="3276"/>
      <c r="I5" s="3275" t="s">
        <v>2366</v>
      </c>
      <c r="J5" s="3276"/>
      <c r="K5" s="566"/>
      <c r="L5" s="2942"/>
      <c r="M5" s="2943"/>
      <c r="N5" s="2943"/>
      <c r="O5" s="2943"/>
      <c r="P5" s="3288"/>
      <c r="Q5" s="3289"/>
      <c r="R5" s="3271"/>
      <c r="S5" s="3272"/>
      <c r="T5" s="3271"/>
      <c r="U5" s="3272"/>
      <c r="V5" s="3294"/>
      <c r="W5" s="3294"/>
      <c r="X5" s="1537"/>
      <c r="Y5" s="3271"/>
      <c r="Z5" s="3272"/>
      <c r="AA5" s="3265"/>
      <c r="AB5" s="3294"/>
      <c r="AC5" s="3265"/>
    </row>
    <row r="6" spans="1:29" ht="15.75" thickBot="1">
      <c r="A6" s="365"/>
      <c r="B6" s="366"/>
      <c r="C6" s="3277" t="s">
        <v>2367</v>
      </c>
      <c r="D6" s="3278"/>
      <c r="E6" s="3279" t="s">
        <v>2367</v>
      </c>
      <c r="F6" s="3280"/>
      <c r="G6" s="3277" t="s">
        <v>2367</v>
      </c>
      <c r="H6" s="3278"/>
      <c r="I6" s="3277" t="s">
        <v>2367</v>
      </c>
      <c r="J6" s="3278"/>
      <c r="K6" s="566" t="s">
        <v>2368</v>
      </c>
      <c r="L6" s="2942"/>
      <c r="M6" s="2943"/>
      <c r="N6" s="2943"/>
      <c r="O6" s="2943"/>
      <c r="P6" s="3290"/>
      <c r="Q6" s="3291"/>
      <c r="R6" s="3271"/>
      <c r="S6" s="3272"/>
      <c r="T6" s="3292"/>
      <c r="U6" s="3293"/>
      <c r="V6" s="3294"/>
      <c r="W6" s="3294"/>
      <c r="X6" s="1537"/>
      <c r="Y6" s="3292"/>
      <c r="Z6" s="3293"/>
      <c r="AA6" s="3266"/>
      <c r="AB6" s="3294"/>
      <c r="AC6" s="3266"/>
    </row>
    <row r="7" spans="1:29" s="112" customFormat="1" ht="15.75" thickBot="1">
      <c r="A7" s="367" t="s">
        <v>2369</v>
      </c>
      <c r="B7" s="368"/>
      <c r="C7" s="369">
        <f>'数据-取费表'!B2</f>
        <v>44439</v>
      </c>
      <c r="D7" s="370">
        <v>100</v>
      </c>
      <c r="E7" s="371"/>
      <c r="F7" s="372">
        <f>SUMIF(58:58,YEAR(E7)&amp;"-"&amp;MONTH(E7),59:59)</f>
        <v>0</v>
      </c>
      <c r="G7" s="371"/>
      <c r="H7" s="370">
        <f>SUMIF(58:58,YEAR(G7)&amp;"-"&amp;MONTH(G7),59:59)</f>
        <v>0</v>
      </c>
      <c r="I7" s="371"/>
      <c r="J7" s="370">
        <f>SUMIF(58:58,YEAR(I7)&amp;"-"&amp;MONTH(I7),59:59)</f>
        <v>0</v>
      </c>
      <c r="K7" s="567"/>
      <c r="L7" s="2944"/>
      <c r="M7" s="2945"/>
      <c r="N7" s="2945"/>
      <c r="O7" s="2945"/>
      <c r="P7" s="3267" t="s">
        <v>2370</v>
      </c>
      <c r="Q7" s="3295"/>
      <c r="R7" s="709" t="s">
        <v>17</v>
      </c>
      <c r="S7" s="710">
        <f t="shared" ref="S7:S15" si="0">F7</f>
        <v>0</v>
      </c>
      <c r="T7" s="709" t="s">
        <v>17</v>
      </c>
      <c r="U7" s="710">
        <f t="shared" ref="U7:U15" si="1">H7</f>
        <v>0</v>
      </c>
      <c r="V7" s="709" t="s">
        <v>17</v>
      </c>
      <c r="W7" s="710">
        <f t="shared" ref="W7:W15" si="2">J7</f>
        <v>0</v>
      </c>
      <c r="X7" s="711"/>
      <c r="Y7" s="3267" t="s">
        <v>2370</v>
      </c>
      <c r="Z7" s="3268"/>
      <c r="AA7" s="712" t="e">
        <f>D7/F7</f>
        <v>#DIV/0!</v>
      </c>
      <c r="AB7" s="712" t="e">
        <f>D7/H7</f>
        <v>#DIV/0!</v>
      </c>
      <c r="AC7" s="712" t="e">
        <f>D7/J7</f>
        <v>#DIV/0!</v>
      </c>
    </row>
    <row r="8" spans="1:29" s="112"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267" t="s">
        <v>2373</v>
      </c>
      <c r="Q8" s="3268"/>
      <c r="R8" s="709" t="s">
        <v>17</v>
      </c>
      <c r="S8" s="710">
        <f t="shared" si="0"/>
        <v>0</v>
      </c>
      <c r="T8" s="709" t="s">
        <v>17</v>
      </c>
      <c r="U8" s="710">
        <f t="shared" si="1"/>
        <v>0</v>
      </c>
      <c r="V8" s="709" t="s">
        <v>17</v>
      </c>
      <c r="W8" s="710">
        <f t="shared" si="2"/>
        <v>0</v>
      </c>
      <c r="X8" s="711"/>
      <c r="Y8" s="3267" t="s">
        <v>2373</v>
      </c>
      <c r="Z8" s="3268"/>
      <c r="AA8" s="712" t="e">
        <f t="shared" ref="AA8:AA46" si="3">D8/F8</f>
        <v>#DIV/0!</v>
      </c>
      <c r="AB8" s="712" t="e">
        <f t="shared" ref="AB8:AB46" si="4">D8/H8</f>
        <v>#DIV/0!</v>
      </c>
      <c r="AC8" s="712" t="e">
        <f t="shared" ref="AC8:AC46" si="5">D8/J8</f>
        <v>#DIV/0!</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305" t="s">
        <v>2376</v>
      </c>
      <c r="Q9" s="1525" t="str">
        <f t="shared" ref="Q9:Q15" si="6">B9</f>
        <v>用途</v>
      </c>
      <c r="R9" s="709" t="s">
        <v>17</v>
      </c>
      <c r="S9" s="710">
        <f t="shared" si="0"/>
        <v>100</v>
      </c>
      <c r="T9" s="709" t="s">
        <v>17</v>
      </c>
      <c r="U9" s="710">
        <f t="shared" si="1"/>
        <v>100</v>
      </c>
      <c r="V9" s="709" t="s">
        <v>17</v>
      </c>
      <c r="W9" s="710">
        <f t="shared" si="2"/>
        <v>100</v>
      </c>
      <c r="X9" s="711"/>
      <c r="Y9" s="3237"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305"/>
      <c r="Q10" s="1525"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305"/>
      <c r="Q11" s="1525" t="str">
        <f t="shared" si="6"/>
        <v>容积率</v>
      </c>
      <c r="R11" s="709" t="s">
        <v>17</v>
      </c>
      <c r="S11" s="710" t="e">
        <f t="shared" si="0"/>
        <v>#N/A</v>
      </c>
      <c r="T11" s="709" t="s">
        <v>17</v>
      </c>
      <c r="U11" s="710" t="e">
        <f t="shared" si="1"/>
        <v>#N/A</v>
      </c>
      <c r="V11" s="709" t="s">
        <v>17</v>
      </c>
      <c r="W11" s="710" t="e">
        <f t="shared" si="2"/>
        <v>#N/A</v>
      </c>
      <c r="X11" s="711"/>
      <c r="Y11" s="3237"/>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305"/>
      <c r="Q12" s="1525">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305"/>
      <c r="Q13" s="1525">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305"/>
      <c r="Q14" s="1525">
        <f t="shared" si="6"/>
        <v>111</v>
      </c>
      <c r="R14" s="709" t="s">
        <v>17</v>
      </c>
      <c r="S14" s="710">
        <f t="shared" si="0"/>
        <v>100</v>
      </c>
      <c r="T14" s="709" t="s">
        <v>17</v>
      </c>
      <c r="U14" s="710">
        <f t="shared" si="1"/>
        <v>100</v>
      </c>
      <c r="V14" s="709" t="s">
        <v>17</v>
      </c>
      <c r="W14" s="710">
        <f t="shared" si="2"/>
        <v>100</v>
      </c>
      <c r="X14" s="711"/>
      <c r="Y14" s="3237"/>
      <c r="Z14" s="54">
        <f t="shared" si="7"/>
        <v>111</v>
      </c>
      <c r="AA14" s="712">
        <f t="shared" si="3"/>
        <v>1</v>
      </c>
      <c r="AB14" s="712">
        <f t="shared" si="4"/>
        <v>1</v>
      </c>
      <c r="AC14" s="712">
        <f t="shared" si="5"/>
        <v>1</v>
      </c>
    </row>
    <row r="15" spans="1:29" ht="71.25">
      <c r="A15" s="398" t="s">
        <v>2380</v>
      </c>
      <c r="B15" s="64" t="s">
        <v>2474</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341" t="s">
        <v>2381</v>
      </c>
      <c r="Q15" s="1534" t="str">
        <f t="shared" si="6"/>
        <v>商业繁华度</v>
      </c>
      <c r="R15" s="713" t="s">
        <v>17</v>
      </c>
      <c r="S15" s="714">
        <f t="shared" si="0"/>
        <v>100</v>
      </c>
      <c r="T15" s="713" t="s">
        <v>17</v>
      </c>
      <c r="U15" s="714">
        <f t="shared" si="1"/>
        <v>100</v>
      </c>
      <c r="V15" s="713" t="s">
        <v>17</v>
      </c>
      <c r="W15" s="714">
        <f t="shared" si="2"/>
        <v>100</v>
      </c>
      <c r="X15" s="1537"/>
      <c r="Y15" s="3296" t="s">
        <v>2381</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9"/>
      <c r="M16" s="2943"/>
      <c r="N16" s="2943"/>
      <c r="O16" s="2943"/>
      <c r="P16" s="3342"/>
      <c r="Q16" s="1534"/>
      <c r="R16" s="713"/>
      <c r="S16" s="714"/>
      <c r="T16" s="713"/>
      <c r="U16" s="714"/>
      <c r="V16" s="713"/>
      <c r="W16" s="714"/>
      <c r="X16" s="1537"/>
      <c r="Y16" s="3297"/>
      <c r="Z16" s="1538"/>
      <c r="AA16" s="1535">
        <v>1</v>
      </c>
      <c r="AB16" s="1535">
        <v>1</v>
      </c>
      <c r="AC16" s="1535">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342"/>
      <c r="Q17" s="1534" t="str">
        <f>B17</f>
        <v>交通便捷度</v>
      </c>
      <c r="R17" s="713" t="s">
        <v>17</v>
      </c>
      <c r="S17" s="714">
        <f>F17</f>
        <v>100</v>
      </c>
      <c r="T17" s="713" t="s">
        <v>17</v>
      </c>
      <c r="U17" s="714">
        <f>H17</f>
        <v>100</v>
      </c>
      <c r="V17" s="713" t="s">
        <v>17</v>
      </c>
      <c r="W17" s="714">
        <f>J17</f>
        <v>100</v>
      </c>
      <c r="X17" s="1537"/>
      <c r="Y17" s="3297"/>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2949"/>
      <c r="M18" s="2943"/>
      <c r="N18" s="2943"/>
      <c r="O18" s="2943"/>
      <c r="P18" s="3342"/>
      <c r="Q18" s="1534"/>
      <c r="R18" s="713"/>
      <c r="S18" s="714"/>
      <c r="T18" s="713"/>
      <c r="U18" s="714"/>
      <c r="V18" s="713"/>
      <c r="W18" s="714"/>
      <c r="X18" s="1537"/>
      <c r="Y18" s="3297"/>
      <c r="Z18" s="1538"/>
      <c r="AA18" s="1535">
        <v>1</v>
      </c>
      <c r="AB18" s="1535">
        <v>1</v>
      </c>
      <c r="AC18" s="1535">
        <v>1</v>
      </c>
    </row>
    <row r="19" spans="1:29" ht="42.75">
      <c r="A19" s="386"/>
      <c r="B19" s="409" t="s">
        <v>2475</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342"/>
      <c r="Q19" s="1534" t="str">
        <f>B19</f>
        <v>公共配套设施</v>
      </c>
      <c r="R19" s="713" t="s">
        <v>17</v>
      </c>
      <c r="S19" s="714">
        <f>F19</f>
        <v>100</v>
      </c>
      <c r="T19" s="713" t="s">
        <v>17</v>
      </c>
      <c r="U19" s="714">
        <f>H19</f>
        <v>100</v>
      </c>
      <c r="V19" s="713" t="s">
        <v>17</v>
      </c>
      <c r="W19" s="714">
        <f>J19</f>
        <v>100</v>
      </c>
      <c r="X19" s="1537"/>
      <c r="Y19" s="3297"/>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2949"/>
      <c r="M20" s="2943"/>
      <c r="N20" s="2943"/>
      <c r="O20" s="2943"/>
      <c r="P20" s="3342"/>
      <c r="Q20" s="1534"/>
      <c r="R20" s="713"/>
      <c r="S20" s="714"/>
      <c r="T20" s="713"/>
      <c r="U20" s="714"/>
      <c r="V20" s="713"/>
      <c r="W20" s="714"/>
      <c r="X20" s="1537"/>
      <c r="Y20" s="3297"/>
      <c r="Z20" s="1538"/>
      <c r="AA20" s="1535">
        <v>1</v>
      </c>
      <c r="AB20" s="1535">
        <v>1</v>
      </c>
      <c r="AC20" s="1535">
        <v>1</v>
      </c>
    </row>
    <row r="21" spans="1:29" ht="28.5">
      <c r="A21" s="386"/>
      <c r="B21" s="1291" t="s">
        <v>2476</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342"/>
      <c r="Q21" s="1534" t="str">
        <f>B21</f>
        <v>基础设施水平</v>
      </c>
      <c r="R21" s="713" t="s">
        <v>17</v>
      </c>
      <c r="S21" s="714">
        <f>F21</f>
        <v>100</v>
      </c>
      <c r="T21" s="713" t="s">
        <v>17</v>
      </c>
      <c r="U21" s="714">
        <f>H21</f>
        <v>100</v>
      </c>
      <c r="V21" s="713" t="s">
        <v>17</v>
      </c>
      <c r="W21" s="714">
        <f>J21</f>
        <v>100</v>
      </c>
      <c r="X21" s="1537"/>
      <c r="Y21" s="3297"/>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2949"/>
      <c r="M22" s="2943"/>
      <c r="N22" s="2943"/>
      <c r="O22" s="2943"/>
      <c r="P22" s="3342"/>
      <c r="Q22" s="1534"/>
      <c r="R22" s="713"/>
      <c r="S22" s="714"/>
      <c r="T22" s="713"/>
      <c r="U22" s="714"/>
      <c r="V22" s="713"/>
      <c r="W22" s="714"/>
      <c r="X22" s="1537"/>
      <c r="Y22" s="3297"/>
      <c r="Z22" s="1538"/>
      <c r="AA22" s="1535">
        <v>1</v>
      </c>
      <c r="AB22" s="1535">
        <v>1</v>
      </c>
      <c r="AC22" s="1535">
        <v>1</v>
      </c>
    </row>
    <row r="23" spans="1:29" ht="57">
      <c r="A23" s="386"/>
      <c r="B23" s="409" t="s">
        <v>1947</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342"/>
      <c r="Q23" s="1534" t="str">
        <f>B23</f>
        <v>自然及人文环境</v>
      </c>
      <c r="R23" s="713" t="s">
        <v>17</v>
      </c>
      <c r="S23" s="714">
        <f>F23</f>
        <v>100</v>
      </c>
      <c r="T23" s="713" t="s">
        <v>17</v>
      </c>
      <c r="U23" s="714">
        <f>H23</f>
        <v>100</v>
      </c>
      <c r="V23" s="713" t="s">
        <v>17</v>
      </c>
      <c r="W23" s="714">
        <f>J23</f>
        <v>100</v>
      </c>
      <c r="X23" s="1537"/>
      <c r="Y23" s="3297"/>
      <c r="Z23" s="1538" t="str">
        <f>Q23</f>
        <v>自然及人文环境</v>
      </c>
      <c r="AA23" s="1535">
        <f t="shared" si="3"/>
        <v>1</v>
      </c>
      <c r="AB23" s="1535">
        <f t="shared" si="4"/>
        <v>1</v>
      </c>
      <c r="AC23" s="1535">
        <f t="shared" si="5"/>
        <v>1</v>
      </c>
    </row>
    <row r="24" spans="1:29" ht="15">
      <c r="A24" s="386"/>
      <c r="B24" s="414"/>
      <c r="C24" s="405"/>
      <c r="D24" s="406"/>
      <c r="E24" s="2082"/>
      <c r="F24" s="407"/>
      <c r="G24" s="2081"/>
      <c r="H24" s="406"/>
      <c r="I24" s="2082"/>
      <c r="J24" s="406"/>
      <c r="K24" s="571"/>
      <c r="L24" s="2949"/>
      <c r="M24" s="2943"/>
      <c r="N24" s="2943"/>
      <c r="O24" s="2943"/>
      <c r="P24" s="3342"/>
      <c r="Q24" s="1534"/>
      <c r="R24" s="713"/>
      <c r="S24" s="714"/>
      <c r="T24" s="713"/>
      <c r="U24" s="714"/>
      <c r="V24" s="713"/>
      <c r="W24" s="714"/>
      <c r="X24" s="1537"/>
      <c r="Y24" s="3297"/>
      <c r="Z24" s="1538"/>
      <c r="AA24" s="1535">
        <v>1</v>
      </c>
      <c r="AB24" s="1535">
        <v>1</v>
      </c>
      <c r="AC24" s="1535">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42"/>
      <c r="Q25" s="1534" t="str">
        <f t="shared" ref="Q25:Q46" si="11">B25</f>
        <v>临街状况</v>
      </c>
      <c r="R25" s="713" t="s">
        <v>17</v>
      </c>
      <c r="S25" s="714">
        <f>F25</f>
        <v>100</v>
      </c>
      <c r="T25" s="713" t="s">
        <v>17</v>
      </c>
      <c r="U25" s="714">
        <f>H25</f>
        <v>100</v>
      </c>
      <c r="V25" s="713" t="s">
        <v>17</v>
      </c>
      <c r="W25" s="714">
        <f>J25</f>
        <v>100</v>
      </c>
      <c r="X25" s="1537"/>
      <c r="Y25" s="3297"/>
      <c r="Z25" s="1538" t="str">
        <f>Q25</f>
        <v>临街状况</v>
      </c>
      <c r="AA25" s="1535">
        <f t="shared" si="3"/>
        <v>1</v>
      </c>
      <c r="AB25" s="1535">
        <f t="shared" si="4"/>
        <v>1</v>
      </c>
      <c r="AC25" s="1535">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342"/>
      <c r="Q26" s="1534" t="str">
        <f t="shared" si="11"/>
        <v>平面位置/可视性</v>
      </c>
      <c r="R26" s="713" t="s">
        <v>17</v>
      </c>
      <c r="S26" s="714">
        <f>F26</f>
        <v>100</v>
      </c>
      <c r="T26" s="713" t="s">
        <v>17</v>
      </c>
      <c r="U26" s="714">
        <f>H26</f>
        <v>100</v>
      </c>
      <c r="V26" s="713" t="s">
        <v>17</v>
      </c>
      <c r="W26" s="714">
        <f>J26</f>
        <v>100</v>
      </c>
      <c r="X26" s="1537"/>
      <c r="Y26" s="3297"/>
      <c r="Z26" s="1538" t="str">
        <f>Q26</f>
        <v>平面位置/可视性</v>
      </c>
      <c r="AA26" s="1535">
        <f t="shared" si="3"/>
        <v>1</v>
      </c>
      <c r="AB26" s="1535">
        <f t="shared" si="4"/>
        <v>1</v>
      </c>
      <c r="AC26" s="1535">
        <f t="shared" si="5"/>
        <v>1</v>
      </c>
    </row>
    <row r="27" spans="1:29" s="112" customFormat="1" ht="15">
      <c r="A27" s="389"/>
      <c r="B27" s="409" t="s">
        <v>2479</v>
      </c>
      <c r="C27" s="2140"/>
      <c r="D27" s="420">
        <v>100</v>
      </c>
      <c r="E27" s="2140"/>
      <c r="F27" s="422">
        <f>SUMIF(90:90,E27,91:91)-SUMIF(90:90,C27,91:91)+100</f>
        <v>100</v>
      </c>
      <c r="G27" s="2140"/>
      <c r="H27" s="420">
        <f>SUMIF(90:90,G27,91:91)-SUMIF(90:90,C27,91:91)+100</f>
        <v>100</v>
      </c>
      <c r="I27" s="2140"/>
      <c r="J27" s="420">
        <f>SUMIF(90:90,I27,91:91)-SUMIF(90:90,C27,91:91)+100</f>
        <v>100</v>
      </c>
      <c r="K27" s="568"/>
      <c r="L27" s="2944"/>
      <c r="M27" s="2945"/>
      <c r="N27" s="2945"/>
      <c r="O27" s="2945"/>
      <c r="P27" s="3342"/>
      <c r="Q27" s="1525" t="str">
        <f t="shared" si="11"/>
        <v>人流量</v>
      </c>
      <c r="R27" s="709" t="s">
        <v>17</v>
      </c>
      <c r="S27" s="710">
        <f>F27</f>
        <v>100</v>
      </c>
      <c r="T27" s="709" t="s">
        <v>17</v>
      </c>
      <c r="U27" s="710">
        <f>H27</f>
        <v>100</v>
      </c>
      <c r="V27" s="709" t="s">
        <v>17</v>
      </c>
      <c r="W27" s="710">
        <f>J27</f>
        <v>100</v>
      </c>
      <c r="X27" s="711"/>
      <c r="Y27" s="3297"/>
      <c r="Z27" s="54" t="str">
        <f>Q27</f>
        <v>人流量</v>
      </c>
      <c r="AA27" s="1535">
        <f>D27/F27</f>
        <v>1</v>
      </c>
      <c r="AB27" s="1535">
        <f>D27/H27</f>
        <v>1</v>
      </c>
      <c r="AC27" s="1535">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342"/>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97"/>
      <c r="Z28" s="1538" t="str">
        <f t="shared" ref="Z28:Z46" si="15">Q28</f>
        <v>楼层</v>
      </c>
      <c r="AA28" s="1535">
        <f t="shared" si="3"/>
        <v>1</v>
      </c>
      <c r="AB28" s="1535">
        <f t="shared" si="4"/>
        <v>1</v>
      </c>
      <c r="AC28" s="1535">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42"/>
      <c r="Q29" s="1534">
        <f t="shared" si="11"/>
        <v>111</v>
      </c>
      <c r="R29" s="713" t="s">
        <v>17</v>
      </c>
      <c r="S29" s="714">
        <f t="shared" si="12"/>
        <v>100</v>
      </c>
      <c r="T29" s="713" t="s">
        <v>17</v>
      </c>
      <c r="U29" s="714">
        <f t="shared" si="13"/>
        <v>100</v>
      </c>
      <c r="V29" s="713" t="s">
        <v>17</v>
      </c>
      <c r="W29" s="714">
        <f t="shared" si="14"/>
        <v>100</v>
      </c>
      <c r="X29" s="1537"/>
      <c r="Y29" s="3297"/>
      <c r="Z29" s="1538">
        <f t="shared" si="15"/>
        <v>111</v>
      </c>
      <c r="AA29" s="1535">
        <f t="shared" si="3"/>
        <v>1</v>
      </c>
      <c r="AB29" s="1535">
        <f t="shared" si="4"/>
        <v>1</v>
      </c>
      <c r="AC29" s="1535">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42"/>
      <c r="Q30" s="1534">
        <f t="shared" si="11"/>
        <v>111</v>
      </c>
      <c r="R30" s="713" t="s">
        <v>17</v>
      </c>
      <c r="S30" s="714">
        <f t="shared" si="12"/>
        <v>100</v>
      </c>
      <c r="T30" s="713" t="s">
        <v>17</v>
      </c>
      <c r="U30" s="714">
        <f t="shared" si="13"/>
        <v>100</v>
      </c>
      <c r="V30" s="713" t="s">
        <v>17</v>
      </c>
      <c r="W30" s="714">
        <f t="shared" si="14"/>
        <v>100</v>
      </c>
      <c r="X30" s="1537"/>
      <c r="Y30" s="3297"/>
      <c r="Z30" s="1538">
        <f t="shared" si="15"/>
        <v>111</v>
      </c>
      <c r="AA30" s="1535">
        <f t="shared" si="3"/>
        <v>1</v>
      </c>
      <c r="AB30" s="1535">
        <f t="shared" si="4"/>
        <v>1</v>
      </c>
      <c r="AC30" s="1535">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42"/>
      <c r="Q31" s="1534">
        <f t="shared" si="11"/>
        <v>111</v>
      </c>
      <c r="R31" s="713" t="s">
        <v>17</v>
      </c>
      <c r="S31" s="714">
        <f t="shared" si="12"/>
        <v>100</v>
      </c>
      <c r="T31" s="713" t="s">
        <v>17</v>
      </c>
      <c r="U31" s="714">
        <f t="shared" si="13"/>
        <v>100</v>
      </c>
      <c r="V31" s="713" t="s">
        <v>17</v>
      </c>
      <c r="W31" s="714">
        <f t="shared" si="14"/>
        <v>100</v>
      </c>
      <c r="X31" s="1537"/>
      <c r="Y31" s="3297"/>
      <c r="Z31" s="1538">
        <f t="shared" si="15"/>
        <v>111</v>
      </c>
      <c r="AA31" s="1535">
        <f t="shared" si="3"/>
        <v>1</v>
      </c>
      <c r="AB31" s="1535">
        <f t="shared" si="4"/>
        <v>1</v>
      </c>
      <c r="AC31" s="1535">
        <f t="shared" si="5"/>
        <v>1</v>
      </c>
    </row>
    <row r="32" spans="1:29" ht="15">
      <c r="A32" s="398" t="s">
        <v>2384</v>
      </c>
      <c r="B32" s="66" t="s">
        <v>2481</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9"/>
      <c r="M32" s="2943"/>
      <c r="N32" s="2943"/>
      <c r="O32" s="2943"/>
      <c r="P32" s="3337" t="s">
        <v>2386</v>
      </c>
      <c r="Q32" s="1534" t="str">
        <f t="shared" si="11"/>
        <v>商业类型</v>
      </c>
      <c r="R32" s="713" t="s">
        <v>17</v>
      </c>
      <c r="S32" s="714">
        <f t="shared" si="12"/>
        <v>100</v>
      </c>
      <c r="T32" s="713" t="s">
        <v>17</v>
      </c>
      <c r="U32" s="714">
        <f t="shared" si="13"/>
        <v>100</v>
      </c>
      <c r="V32" s="713" t="s">
        <v>17</v>
      </c>
      <c r="W32" s="714">
        <f t="shared" si="14"/>
        <v>100</v>
      </c>
      <c r="X32" s="1537"/>
      <c r="Y32" s="3299" t="s">
        <v>2386</v>
      </c>
      <c r="Z32" s="1538" t="str">
        <f t="shared" si="15"/>
        <v>商业类型</v>
      </c>
      <c r="AA32" s="1535">
        <f t="shared" si="3"/>
        <v>1</v>
      </c>
      <c r="AB32" s="1535">
        <f t="shared" si="4"/>
        <v>1</v>
      </c>
      <c r="AC32" s="1535">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338"/>
      <c r="Q33" s="715" t="str">
        <f t="shared" si="11"/>
        <v>项目建筑规模</v>
      </c>
      <c r="R33" s="716" t="s">
        <v>17</v>
      </c>
      <c r="S33" s="717" t="e">
        <f t="shared" si="12"/>
        <v>#N/A</v>
      </c>
      <c r="T33" s="716" t="s">
        <v>17</v>
      </c>
      <c r="U33" s="717" t="e">
        <f t="shared" si="13"/>
        <v>#N/A</v>
      </c>
      <c r="V33" s="716" t="s">
        <v>17</v>
      </c>
      <c r="W33" s="717" t="e">
        <f t="shared" si="14"/>
        <v>#N/A</v>
      </c>
      <c r="X33" s="718"/>
      <c r="Y33" s="3299"/>
      <c r="Z33" s="719" t="str">
        <f t="shared" si="15"/>
        <v>项目建筑规模</v>
      </c>
      <c r="AA33" s="1535" t="e">
        <f t="shared" si="3"/>
        <v>#N/A</v>
      </c>
      <c r="AB33" s="1535" t="e">
        <f t="shared" si="4"/>
        <v>#N/A</v>
      </c>
      <c r="AC33" s="1535" t="e">
        <f t="shared" si="5"/>
        <v>#N/A</v>
      </c>
    </row>
    <row r="34" spans="1:29" ht="15">
      <c r="A34" s="430"/>
      <c r="B34" s="380" t="s">
        <v>2388</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9"/>
      <c r="M34" s="2943"/>
      <c r="N34" s="2943"/>
      <c r="O34" s="2943"/>
      <c r="P34" s="3338"/>
      <c r="Q34" s="1534" t="str">
        <f t="shared" si="11"/>
        <v>建筑结构</v>
      </c>
      <c r="R34" s="713" t="s">
        <v>17</v>
      </c>
      <c r="S34" s="714">
        <f t="shared" si="12"/>
        <v>100</v>
      </c>
      <c r="T34" s="713" t="s">
        <v>17</v>
      </c>
      <c r="U34" s="714">
        <f t="shared" si="13"/>
        <v>100</v>
      </c>
      <c r="V34" s="713" t="s">
        <v>17</v>
      </c>
      <c r="W34" s="714">
        <f t="shared" si="14"/>
        <v>100</v>
      </c>
      <c r="X34" s="1537"/>
      <c r="Y34" s="3299"/>
      <c r="Z34" s="1538" t="str">
        <f t="shared" si="15"/>
        <v>建筑结构</v>
      </c>
      <c r="AA34" s="1535">
        <f t="shared" si="3"/>
        <v>1</v>
      </c>
      <c r="AB34" s="1535">
        <f t="shared" si="4"/>
        <v>1</v>
      </c>
      <c r="AC34" s="1535">
        <f t="shared" si="5"/>
        <v>1</v>
      </c>
    </row>
    <row r="35" spans="1:29" ht="15">
      <c r="A35" s="430"/>
      <c r="B35" s="380" t="s">
        <v>2482</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9"/>
      <c r="M35" s="2943"/>
      <c r="N35" s="2943"/>
      <c r="O35" s="2943"/>
      <c r="P35" s="3338"/>
      <c r="Q35" s="1534" t="str">
        <f t="shared" si="11"/>
        <v>公共部分装修</v>
      </c>
      <c r="R35" s="713" t="s">
        <v>17</v>
      </c>
      <c r="S35" s="714">
        <f t="shared" si="12"/>
        <v>100</v>
      </c>
      <c r="T35" s="713" t="s">
        <v>17</v>
      </c>
      <c r="U35" s="714">
        <f t="shared" si="13"/>
        <v>100</v>
      </c>
      <c r="V35" s="713" t="s">
        <v>17</v>
      </c>
      <c r="W35" s="714">
        <f t="shared" si="14"/>
        <v>100</v>
      </c>
      <c r="X35" s="1537"/>
      <c r="Y35" s="3299"/>
      <c r="Z35" s="1538" t="str">
        <f t="shared" si="15"/>
        <v>公共部分装修</v>
      </c>
      <c r="AA35" s="1535">
        <f t="shared" si="3"/>
        <v>1</v>
      </c>
      <c r="AB35" s="1535">
        <f t="shared" si="4"/>
        <v>1</v>
      </c>
      <c r="AC35" s="1535">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338"/>
      <c r="Q36" s="1534" t="str">
        <f t="shared" si="11"/>
        <v>成新度</v>
      </c>
      <c r="R36" s="713" t="s">
        <v>17</v>
      </c>
      <c r="S36" s="714" t="e">
        <f t="shared" si="12"/>
        <v>#N/A</v>
      </c>
      <c r="T36" s="713" t="s">
        <v>17</v>
      </c>
      <c r="U36" s="714" t="e">
        <f t="shared" si="13"/>
        <v>#N/A</v>
      </c>
      <c r="V36" s="713" t="s">
        <v>17</v>
      </c>
      <c r="W36" s="714" t="e">
        <f t="shared" si="14"/>
        <v>#N/A</v>
      </c>
      <c r="X36" s="1537"/>
      <c r="Y36" s="3299"/>
      <c r="Z36" s="1538" t="str">
        <f t="shared" si="15"/>
        <v>成新度</v>
      </c>
      <c r="AA36" s="1535" t="e">
        <f t="shared" si="3"/>
        <v>#N/A</v>
      </c>
      <c r="AB36" s="1535" t="e">
        <f t="shared" si="4"/>
        <v>#N/A</v>
      </c>
      <c r="AC36" s="1535" t="e">
        <f t="shared" si="5"/>
        <v>#N/A</v>
      </c>
    </row>
    <row r="37" spans="1:29" s="112" customFormat="1" ht="15">
      <c r="A37" s="431"/>
      <c r="B37" s="380" t="s">
        <v>2484</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4"/>
      <c r="M37" s="2945"/>
      <c r="N37" s="2945"/>
      <c r="O37" s="2945"/>
      <c r="P37" s="3338"/>
      <c r="Q37" s="1525" t="str">
        <f t="shared" si="11"/>
        <v>市政基础设施</v>
      </c>
      <c r="R37" s="709" t="s">
        <v>17</v>
      </c>
      <c r="S37" s="710">
        <f t="shared" si="12"/>
        <v>100</v>
      </c>
      <c r="T37" s="709" t="s">
        <v>17</v>
      </c>
      <c r="U37" s="710">
        <f t="shared" si="13"/>
        <v>100</v>
      </c>
      <c r="V37" s="709" t="s">
        <v>17</v>
      </c>
      <c r="W37" s="710">
        <f t="shared" si="14"/>
        <v>100</v>
      </c>
      <c r="X37" s="711"/>
      <c r="Y37" s="3299"/>
      <c r="Z37" s="54" t="str">
        <f t="shared" si="15"/>
        <v>市政基础设施</v>
      </c>
      <c r="AA37" s="712">
        <f t="shared" si="3"/>
        <v>1</v>
      </c>
      <c r="AB37" s="712">
        <f t="shared" si="4"/>
        <v>1</v>
      </c>
      <c r="AC37" s="712">
        <f t="shared" si="5"/>
        <v>1</v>
      </c>
    </row>
    <row r="38" spans="1:29" ht="15">
      <c r="A38" s="430"/>
      <c r="B38" s="380" t="s">
        <v>2485</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9"/>
      <c r="M38" s="2943"/>
      <c r="N38" s="2943"/>
      <c r="O38" s="2943"/>
      <c r="P38" s="3338" t="s">
        <v>2386</v>
      </c>
      <c r="Q38" s="1534" t="str">
        <f t="shared" si="11"/>
        <v>业态</v>
      </c>
      <c r="R38" s="713" t="s">
        <v>17</v>
      </c>
      <c r="S38" s="714">
        <f t="shared" si="12"/>
        <v>100</v>
      </c>
      <c r="T38" s="713" t="s">
        <v>17</v>
      </c>
      <c r="U38" s="714">
        <f t="shared" si="13"/>
        <v>100</v>
      </c>
      <c r="V38" s="713" t="s">
        <v>17</v>
      </c>
      <c r="W38" s="714">
        <f t="shared" si="14"/>
        <v>100</v>
      </c>
      <c r="X38" s="1537"/>
      <c r="Y38" s="3299" t="s">
        <v>2386</v>
      </c>
      <c r="Z38" s="1538" t="str">
        <f t="shared" si="15"/>
        <v>业态</v>
      </c>
      <c r="AA38" s="1535">
        <f t="shared" si="3"/>
        <v>1</v>
      </c>
      <c r="AB38" s="1535">
        <f t="shared" si="4"/>
        <v>1</v>
      </c>
      <c r="AC38" s="1535">
        <f t="shared" si="5"/>
        <v>1</v>
      </c>
    </row>
    <row r="39" spans="1:29" ht="15">
      <c r="A39" s="430"/>
      <c r="B39" s="380" t="s">
        <v>2486</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9"/>
      <c r="M39" s="2943"/>
      <c r="N39" s="2943"/>
      <c r="O39" s="2943"/>
      <c r="P39" s="3338"/>
      <c r="Q39" s="1534" t="str">
        <f t="shared" si="11"/>
        <v>层高</v>
      </c>
      <c r="R39" s="713" t="s">
        <v>17</v>
      </c>
      <c r="S39" s="714">
        <f t="shared" si="12"/>
        <v>100</v>
      </c>
      <c r="T39" s="713" t="s">
        <v>17</v>
      </c>
      <c r="U39" s="714">
        <f t="shared" si="13"/>
        <v>100</v>
      </c>
      <c r="V39" s="713" t="s">
        <v>17</v>
      </c>
      <c r="W39" s="714">
        <f t="shared" si="14"/>
        <v>100</v>
      </c>
      <c r="X39" s="1537"/>
      <c r="Y39" s="3299"/>
      <c r="Z39" s="1538" t="str">
        <f t="shared" si="15"/>
        <v>层高</v>
      </c>
      <c r="AA39" s="1535">
        <f t="shared" si="3"/>
        <v>1</v>
      </c>
      <c r="AB39" s="1535">
        <f t="shared" si="4"/>
        <v>1</v>
      </c>
      <c r="AC39" s="1535">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338"/>
      <c r="Q40" s="1534" t="str">
        <f t="shared" si="11"/>
        <v>单套建筑面积</v>
      </c>
      <c r="R40" s="713" t="s">
        <v>17</v>
      </c>
      <c r="S40" s="714">
        <f t="shared" si="12"/>
        <v>100</v>
      </c>
      <c r="T40" s="713" t="s">
        <v>17</v>
      </c>
      <c r="U40" s="714">
        <f t="shared" si="13"/>
        <v>100</v>
      </c>
      <c r="V40" s="713" t="s">
        <v>17</v>
      </c>
      <c r="W40" s="714">
        <f t="shared" si="14"/>
        <v>100</v>
      </c>
      <c r="X40" s="1537"/>
      <c r="Y40" s="3299"/>
      <c r="Z40" s="1538" t="str">
        <f t="shared" si="15"/>
        <v>单套建筑面积</v>
      </c>
      <c r="AA40" s="1535">
        <f t="shared" si="3"/>
        <v>1</v>
      </c>
      <c r="AB40" s="1535">
        <f t="shared" si="4"/>
        <v>1</v>
      </c>
      <c r="AC40" s="1535">
        <f t="shared" si="5"/>
        <v>1</v>
      </c>
    </row>
    <row r="41" spans="1:29" s="429" customFormat="1" ht="15">
      <c r="A41" s="426"/>
      <c r="B41" s="1536"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338"/>
      <c r="Q41" s="715" t="str">
        <f t="shared" si="11"/>
        <v>进深比</v>
      </c>
      <c r="R41" s="716" t="s">
        <v>17</v>
      </c>
      <c r="S41" s="717">
        <f t="shared" si="12"/>
        <v>100</v>
      </c>
      <c r="T41" s="716" t="s">
        <v>17</v>
      </c>
      <c r="U41" s="717">
        <f t="shared" si="13"/>
        <v>100</v>
      </c>
      <c r="V41" s="716" t="s">
        <v>17</v>
      </c>
      <c r="W41" s="717">
        <f t="shared" si="14"/>
        <v>100</v>
      </c>
      <c r="X41" s="718"/>
      <c r="Y41" s="3299"/>
      <c r="Z41" s="719" t="str">
        <f t="shared" si="15"/>
        <v>进深比</v>
      </c>
      <c r="AA41" s="1535">
        <f t="shared" si="3"/>
        <v>1</v>
      </c>
      <c r="AB41" s="1535">
        <f t="shared" si="4"/>
        <v>1</v>
      </c>
      <c r="AC41" s="1535">
        <f t="shared" si="5"/>
        <v>1</v>
      </c>
    </row>
    <row r="42" spans="1:29" ht="15">
      <c r="A42" s="430"/>
      <c r="B42" s="380" t="s">
        <v>2489</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9"/>
      <c r="M42" s="2943"/>
      <c r="N42" s="2943"/>
      <c r="O42" s="2943"/>
      <c r="P42" s="3338"/>
      <c r="Q42" s="1534" t="str">
        <f t="shared" si="11"/>
        <v>内部装修</v>
      </c>
      <c r="R42" s="713" t="s">
        <v>17</v>
      </c>
      <c r="S42" s="714">
        <f t="shared" si="12"/>
        <v>100</v>
      </c>
      <c r="T42" s="713" t="s">
        <v>17</v>
      </c>
      <c r="U42" s="714">
        <f t="shared" si="13"/>
        <v>100</v>
      </c>
      <c r="V42" s="713" t="s">
        <v>17</v>
      </c>
      <c r="W42" s="714">
        <f t="shared" si="14"/>
        <v>100</v>
      </c>
      <c r="X42" s="1537"/>
      <c r="Y42" s="3299"/>
      <c r="Z42" s="1538" t="str">
        <f t="shared" si="15"/>
        <v>内部装修</v>
      </c>
      <c r="AA42" s="1535">
        <f t="shared" si="3"/>
        <v>1</v>
      </c>
      <c r="AB42" s="1535">
        <f t="shared" si="4"/>
        <v>1</v>
      </c>
      <c r="AC42" s="1535">
        <f t="shared" si="5"/>
        <v>1</v>
      </c>
    </row>
    <row r="43" spans="1:29" ht="15">
      <c r="A43" s="430"/>
      <c r="B43" s="380" t="s">
        <v>2397</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9"/>
      <c r="M43" s="2943"/>
      <c r="N43" s="2943"/>
      <c r="O43" s="2943"/>
      <c r="P43" s="3338"/>
      <c r="Q43" s="1534" t="str">
        <f t="shared" si="11"/>
        <v>内部装修维护情况</v>
      </c>
      <c r="R43" s="713" t="s">
        <v>17</v>
      </c>
      <c r="S43" s="714">
        <f t="shared" si="12"/>
        <v>100</v>
      </c>
      <c r="T43" s="713" t="s">
        <v>17</v>
      </c>
      <c r="U43" s="714">
        <f t="shared" si="13"/>
        <v>100</v>
      </c>
      <c r="V43" s="713" t="s">
        <v>17</v>
      </c>
      <c r="W43" s="714">
        <f t="shared" si="14"/>
        <v>100</v>
      </c>
      <c r="X43" s="1537"/>
      <c r="Y43" s="3299"/>
      <c r="Z43" s="1538" t="str">
        <f t="shared" si="15"/>
        <v>内部装修维护情况</v>
      </c>
      <c r="AA43" s="1535">
        <f t="shared" si="3"/>
        <v>1</v>
      </c>
      <c r="AB43" s="1535">
        <f t="shared" si="4"/>
        <v>1</v>
      </c>
      <c r="AC43" s="1535">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38"/>
      <c r="Q44" s="1525">
        <f t="shared" si="11"/>
        <v>111</v>
      </c>
      <c r="R44" s="709" t="s">
        <v>17</v>
      </c>
      <c r="S44" s="710">
        <f t="shared" si="12"/>
        <v>100</v>
      </c>
      <c r="T44" s="709" t="s">
        <v>17</v>
      </c>
      <c r="U44" s="710">
        <f t="shared" si="13"/>
        <v>100</v>
      </c>
      <c r="V44" s="709" t="s">
        <v>17</v>
      </c>
      <c r="W44" s="710">
        <f t="shared" si="14"/>
        <v>100</v>
      </c>
      <c r="X44" s="711"/>
      <c r="Y44" s="3299"/>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38"/>
      <c r="Q45" s="1534">
        <f t="shared" si="11"/>
        <v>111</v>
      </c>
      <c r="R45" s="713" t="s">
        <v>17</v>
      </c>
      <c r="S45" s="714">
        <f t="shared" si="12"/>
        <v>100</v>
      </c>
      <c r="T45" s="713" t="s">
        <v>17</v>
      </c>
      <c r="U45" s="714">
        <f t="shared" si="13"/>
        <v>100</v>
      </c>
      <c r="V45" s="713" t="s">
        <v>17</v>
      </c>
      <c r="W45" s="714">
        <f t="shared" si="14"/>
        <v>100</v>
      </c>
      <c r="X45" s="1537"/>
      <c r="Y45" s="3299"/>
      <c r="Z45" s="1538">
        <f t="shared" si="15"/>
        <v>111</v>
      </c>
      <c r="AA45" s="1535">
        <f t="shared" si="3"/>
        <v>1</v>
      </c>
      <c r="AB45" s="1535">
        <f t="shared" si="4"/>
        <v>1</v>
      </c>
      <c r="AC45" s="1535">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39"/>
      <c r="Q46" s="1534">
        <f t="shared" si="11"/>
        <v>111</v>
      </c>
      <c r="R46" s="713" t="s">
        <v>17</v>
      </c>
      <c r="S46" s="714">
        <f t="shared" si="12"/>
        <v>100</v>
      </c>
      <c r="T46" s="713" t="s">
        <v>17</v>
      </c>
      <c r="U46" s="714">
        <f t="shared" si="13"/>
        <v>100</v>
      </c>
      <c r="V46" s="713" t="s">
        <v>17</v>
      </c>
      <c r="W46" s="714">
        <f t="shared" si="14"/>
        <v>100</v>
      </c>
      <c r="X46" s="1537"/>
      <c r="Y46" s="3340"/>
      <c r="Z46" s="1538">
        <f t="shared" si="15"/>
        <v>111</v>
      </c>
      <c r="AA46" s="1535">
        <f t="shared" si="3"/>
        <v>1</v>
      </c>
      <c r="AB46" s="1535">
        <f t="shared" si="4"/>
        <v>1</v>
      </c>
      <c r="AC46" s="1535">
        <f t="shared" si="5"/>
        <v>1</v>
      </c>
    </row>
    <row r="47" spans="1:29" ht="15">
      <c r="A47" s="437" t="s">
        <v>2398</v>
      </c>
      <c r="B47" s="438"/>
      <c r="C47" s="1314" t="s">
        <v>1</v>
      </c>
      <c r="D47" s="1315"/>
      <c r="E47" s="1316"/>
      <c r="F47" s="1317"/>
      <c r="G47" s="1318"/>
      <c r="H47" s="1319"/>
      <c r="I47" s="1316"/>
      <c r="J47" s="1319"/>
      <c r="K47" s="722"/>
      <c r="L47" s="2951"/>
      <c r="M47" s="2952"/>
      <c r="N47" s="2943"/>
      <c r="O47" s="2952"/>
      <c r="P47" s="3281" t="str">
        <f>A47</f>
        <v>成交单价（元/平方米）</v>
      </c>
      <c r="Q47" s="3281"/>
      <c r="R47" s="3294">
        <f>E47</f>
        <v>0</v>
      </c>
      <c r="S47" s="3294"/>
      <c r="T47" s="3294">
        <f>G47</f>
        <v>0</v>
      </c>
      <c r="U47" s="3294"/>
      <c r="V47" s="3294">
        <f>I47</f>
        <v>0</v>
      </c>
      <c r="W47" s="3294"/>
      <c r="X47" s="698"/>
      <c r="Y47" s="720"/>
      <c r="Z47" s="698"/>
      <c r="AA47" s="698"/>
      <c r="AB47" s="698"/>
      <c r="AC47" s="698"/>
    </row>
    <row r="48" spans="1:29" ht="15.75" thickBot="1">
      <c r="A48" s="444" t="s">
        <v>2490</v>
      </c>
      <c r="B48" s="445"/>
      <c r="C48" s="1320" t="e">
        <f>R49</f>
        <v>#DIV/0!</v>
      </c>
      <c r="D48" s="2536" t="s">
        <v>2881</v>
      </c>
      <c r="E48" s="1321" t="e">
        <f>R48</f>
        <v>#DIV/0!</v>
      </c>
      <c r="F48" s="2537"/>
      <c r="G48" s="1320" t="e">
        <f>T48</f>
        <v>#DIV/0!</v>
      </c>
      <c r="H48" s="2537"/>
      <c r="I48" s="1321" t="e">
        <f>V48</f>
        <v>#DIV/0!</v>
      </c>
      <c r="J48" s="2537"/>
      <c r="K48" s="2539">
        <f>F48+H48+J48</f>
        <v>0</v>
      </c>
      <c r="L48" s="2951"/>
      <c r="M48" s="2952"/>
      <c r="N48" s="2943"/>
      <c r="O48" s="2952"/>
      <c r="P48" s="3281" t="str">
        <f>A48</f>
        <v>比较价值（元/平方米）</v>
      </c>
      <c r="Q48" s="328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8"/>
      <c r="Y48" s="698"/>
      <c r="Z48" s="698"/>
      <c r="AA48" s="698"/>
      <c r="AB48" s="698"/>
      <c r="AC48" s="698"/>
    </row>
    <row r="49" spans="1:29" ht="15.75" thickBot="1">
      <c r="A49" s="448" t="s">
        <v>2491</v>
      </c>
      <c r="B49" s="449"/>
      <c r="C49" s="1323" t="e">
        <f>R49</f>
        <v>#DIV/0!</v>
      </c>
      <c r="D49" s="1323"/>
      <c r="E49" s="1323"/>
      <c r="F49" s="1323"/>
      <c r="G49" s="1323"/>
      <c r="H49" s="1323"/>
      <c r="I49" s="1323"/>
      <c r="J49" s="1323"/>
      <c r="K49" s="723"/>
      <c r="L49" s="2951"/>
      <c r="M49" s="2952"/>
      <c r="N49" s="2943"/>
      <c r="O49" s="2952"/>
      <c r="P49" s="3301" t="str">
        <f>A49</f>
        <v>估价对象XX用房的比较价值（楼面单价，元/平方米）</v>
      </c>
      <c r="Q49" s="3302"/>
      <c r="R49" s="3335" t="e">
        <f>IF(F1="售价",ROUND(IF(D48="简单平均",AVERAGE(R48:V48),R48*F48+T48*H48+V48*J48),0),ROUND(IF(D48="简单平均",AVERAGE(R48:V48),R48*F48+T48*H48+V48*J48),1))</f>
        <v>#DIV/0!</v>
      </c>
      <c r="S49" s="3335"/>
      <c r="T49" s="3335"/>
      <c r="U49" s="3335"/>
      <c r="V49" s="3335"/>
      <c r="W49" s="3335"/>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2369</v>
      </c>
      <c r="B58" s="462"/>
      <c r="C58" s="1344" t="str">
        <f>YEAR(C7)&amp;"-"&amp;MONTH(C7)</f>
        <v>2021-8</v>
      </c>
      <c r="D58" s="1345">
        <f>EDATE(C58,-1)</f>
        <v>44378</v>
      </c>
      <c r="E58" s="1345">
        <f t="shared" ref="E58:N58" si="16">EDATE(D58,-1)</f>
        <v>44348</v>
      </c>
      <c r="F58" s="1345">
        <f t="shared" si="16"/>
        <v>44317</v>
      </c>
      <c r="G58" s="1345">
        <f t="shared" si="16"/>
        <v>44287</v>
      </c>
      <c r="H58" s="1345">
        <f t="shared" si="16"/>
        <v>44256</v>
      </c>
      <c r="I58" s="1345">
        <f t="shared" si="16"/>
        <v>44228</v>
      </c>
      <c r="J58" s="1345">
        <f t="shared" si="16"/>
        <v>44197</v>
      </c>
      <c r="K58" s="1345">
        <f t="shared" si="16"/>
        <v>44166</v>
      </c>
      <c r="L58" s="1345">
        <f t="shared" si="16"/>
        <v>44136</v>
      </c>
      <c r="M58" s="1345">
        <f t="shared" si="16"/>
        <v>44105</v>
      </c>
      <c r="N58" s="1345">
        <f t="shared" si="16"/>
        <v>44075</v>
      </c>
      <c r="O58" s="1345">
        <f>EDATE(N58,-1)</f>
        <v>44044</v>
      </c>
      <c r="P58" s="2967"/>
      <c r="Q58" s="2968"/>
      <c r="R58" s="2968"/>
      <c r="S58" s="2968"/>
      <c r="T58" s="2968"/>
      <c r="U58" s="2968"/>
      <c r="V58" s="2968"/>
      <c r="W58" s="2968"/>
      <c r="X58" s="2968"/>
      <c r="Y58" s="2968"/>
      <c r="Z58" s="2968"/>
      <c r="AA58" s="2968"/>
      <c r="AB58" s="2968"/>
      <c r="AC58" s="2968"/>
    </row>
    <row r="59" spans="1:29" s="112"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2" customFormat="1" ht="15.75" thickBot="1">
      <c r="A60" s="471" t="s">
        <v>2406</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2" customFormat="1" ht="15">
      <c r="A61" s="477" t="s">
        <v>2371</v>
      </c>
      <c r="B61" s="466"/>
      <c r="C61" s="478" t="s">
        <v>2473</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2"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2409</v>
      </c>
      <c r="B63" s="484" t="s">
        <v>2375</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2380</v>
      </c>
      <c r="B76" s="484" t="s">
        <v>2417</v>
      </c>
      <c r="C76" s="529" t="s">
        <v>2418</v>
      </c>
      <c r="D76" s="529" t="s">
        <v>2419</v>
      </c>
      <c r="E76" s="529" t="s">
        <v>2420</v>
      </c>
      <c r="F76" s="529" t="s">
        <v>2421</v>
      </c>
      <c r="G76" s="529" t="s">
        <v>2422</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2423</v>
      </c>
      <c r="C78" s="534" t="s">
        <v>2418</v>
      </c>
      <c r="D78" s="534" t="s">
        <v>2419</v>
      </c>
      <c r="E78" s="534" t="s">
        <v>2420</v>
      </c>
      <c r="F78" s="534" t="s">
        <v>2421</v>
      </c>
      <c r="G78" s="534" t="s">
        <v>2422</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2424</v>
      </c>
      <c r="C80" s="534" t="s">
        <v>2418</v>
      </c>
      <c r="D80" s="534" t="s">
        <v>2419</v>
      </c>
      <c r="E80" s="534" t="s">
        <v>2420</v>
      </c>
      <c r="F80" s="534" t="s">
        <v>2421</v>
      </c>
      <c r="G80" s="534" t="s">
        <v>2422</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2476</v>
      </c>
      <c r="C82" s="615" t="s">
        <v>2496</v>
      </c>
      <c r="D82" s="615" t="s">
        <v>2497</v>
      </c>
      <c r="E82" s="615" t="s">
        <v>2498</v>
      </c>
      <c r="F82" s="615" t="s">
        <v>2499</v>
      </c>
      <c r="G82" s="615" t="s">
        <v>2500</v>
      </c>
      <c r="H82" s="495"/>
      <c r="I82" s="495"/>
      <c r="J82" s="495"/>
      <c r="K82" s="495"/>
      <c r="L82" s="495"/>
      <c r="M82" s="1289"/>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2430</v>
      </c>
      <c r="C84" s="534" t="s">
        <v>2418</v>
      </c>
      <c r="D84" s="534" t="s">
        <v>2419</v>
      </c>
      <c r="E84" s="534" t="s">
        <v>2420</v>
      </c>
      <c r="F84" s="534" t="s">
        <v>2421</v>
      </c>
      <c r="G84" s="534" t="s">
        <v>2422</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2" customFormat="1" ht="15.75" thickTop="1">
      <c r="A86" s="535"/>
      <c r="B86" s="494" t="s">
        <v>2501</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2" customFormat="1" ht="15.75" thickTop="1">
      <c r="A88" s="535"/>
      <c r="B88" s="494" t="str">
        <f>B26</f>
        <v>平面位置/可视性</v>
      </c>
      <c r="C88" s="510"/>
      <c r="D88" s="510"/>
      <c r="E88" s="510"/>
      <c r="F88" s="2111"/>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2"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2"/>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2384</v>
      </c>
      <c r="B100" s="484" t="s">
        <v>2502</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2435</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2437</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2439</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2503</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2504</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2505</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2506</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2441</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45218.69</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2466</v>
      </c>
      <c r="B4" s="361"/>
      <c r="C4" s="3282" t="s">
        <v>2467</v>
      </c>
      <c r="D4" s="3283"/>
      <c r="E4" s="3284" t="s">
        <v>2468</v>
      </c>
      <c r="F4" s="3285"/>
      <c r="G4" s="3282" t="s">
        <v>2469</v>
      </c>
      <c r="H4" s="3283"/>
      <c r="I4" s="3282" t="s">
        <v>2470</v>
      </c>
      <c r="J4" s="3283"/>
      <c r="K4" s="566" t="s">
        <v>2471</v>
      </c>
      <c r="L4" s="2942"/>
      <c r="M4" s="2943"/>
      <c r="N4" s="2943"/>
      <c r="O4" s="2943"/>
      <c r="P4" s="3349" t="s">
        <v>2472</v>
      </c>
      <c r="Q4" s="3350"/>
      <c r="R4" s="3344" t="s">
        <v>2468</v>
      </c>
      <c r="S4" s="3345"/>
      <c r="T4" s="3344" t="s">
        <v>2469</v>
      </c>
      <c r="U4" s="3345"/>
      <c r="V4" s="3353" t="s">
        <v>2470</v>
      </c>
      <c r="W4" s="3353"/>
      <c r="X4" s="2142"/>
      <c r="Y4" s="3344" t="s">
        <v>2472</v>
      </c>
      <c r="Z4" s="3345"/>
      <c r="AA4" s="3343" t="s">
        <v>2468</v>
      </c>
      <c r="AB4" s="3343" t="s">
        <v>2469</v>
      </c>
      <c r="AC4" s="3346" t="s">
        <v>2470</v>
      </c>
    </row>
    <row r="5" spans="1:29" ht="15">
      <c r="A5" s="363"/>
      <c r="B5" s="364"/>
      <c r="C5" s="3275" t="s">
        <v>2363</v>
      </c>
      <c r="D5" s="3276"/>
      <c r="E5" s="3273" t="s">
        <v>2364</v>
      </c>
      <c r="F5" s="3274"/>
      <c r="G5" s="3275" t="s">
        <v>2365</v>
      </c>
      <c r="H5" s="3276"/>
      <c r="I5" s="3275" t="s">
        <v>2366</v>
      </c>
      <c r="J5" s="3276"/>
      <c r="K5" s="566"/>
      <c r="L5" s="2942"/>
      <c r="M5" s="2943"/>
      <c r="N5" s="2943"/>
      <c r="O5" s="2943"/>
      <c r="P5" s="3351"/>
      <c r="Q5" s="3289"/>
      <c r="R5" s="3271"/>
      <c r="S5" s="3272"/>
      <c r="T5" s="3271"/>
      <c r="U5" s="3272"/>
      <c r="V5" s="3294"/>
      <c r="W5" s="3294"/>
      <c r="X5" s="1537"/>
      <c r="Y5" s="3271"/>
      <c r="Z5" s="3272"/>
      <c r="AA5" s="3265"/>
      <c r="AB5" s="3265"/>
      <c r="AC5" s="3347"/>
    </row>
    <row r="6" spans="1:29" ht="15.75" thickBot="1">
      <c r="A6" s="365"/>
      <c r="B6" s="366"/>
      <c r="C6" s="3277" t="s">
        <v>2367</v>
      </c>
      <c r="D6" s="3278"/>
      <c r="E6" s="3279" t="s">
        <v>2367</v>
      </c>
      <c r="F6" s="3280"/>
      <c r="G6" s="3277" t="s">
        <v>2367</v>
      </c>
      <c r="H6" s="3278"/>
      <c r="I6" s="3277" t="s">
        <v>2367</v>
      </c>
      <c r="J6" s="3278"/>
      <c r="K6" s="566" t="s">
        <v>2368</v>
      </c>
      <c r="L6" s="2942"/>
      <c r="M6" s="2943"/>
      <c r="N6" s="2943"/>
      <c r="O6" s="2943"/>
      <c r="P6" s="3352"/>
      <c r="Q6" s="3291"/>
      <c r="R6" s="3271"/>
      <c r="S6" s="3272"/>
      <c r="T6" s="3292"/>
      <c r="U6" s="3293"/>
      <c r="V6" s="3294"/>
      <c r="W6" s="3294"/>
      <c r="X6" s="1537"/>
      <c r="Y6" s="3292"/>
      <c r="Z6" s="3293"/>
      <c r="AA6" s="3266"/>
      <c r="AB6" s="3266"/>
      <c r="AC6" s="3348"/>
    </row>
    <row r="7" spans="1:29" s="112" customFormat="1" ht="15.75" thickBot="1">
      <c r="A7" s="367" t="s">
        <v>2369</v>
      </c>
      <c r="B7" s="368"/>
      <c r="C7" s="369">
        <f>'数据-取费表'!B2</f>
        <v>44439</v>
      </c>
      <c r="D7" s="370">
        <v>100</v>
      </c>
      <c r="E7" s="371"/>
      <c r="F7" s="372">
        <f>SUMIF(59:59,YEAR(E7)&amp;"-"&amp;MONTH(E7),60:60)</f>
        <v>0</v>
      </c>
      <c r="G7" s="371"/>
      <c r="H7" s="370">
        <f>SUMIF(59:59,YEAR(G7)&amp;"-"&amp;MONTH(G7),60:60)</f>
        <v>0</v>
      </c>
      <c r="I7" s="371"/>
      <c r="J7" s="370">
        <f>SUMIF(59:59,YEAR(I7)&amp;"-"&amp;MONTH(I7),60:60)</f>
        <v>0</v>
      </c>
      <c r="K7" s="567"/>
      <c r="L7" s="2944"/>
      <c r="M7" s="2945"/>
      <c r="N7" s="2945"/>
      <c r="O7" s="2945"/>
      <c r="P7" s="3354" t="s">
        <v>2370</v>
      </c>
      <c r="Q7" s="3295"/>
      <c r="R7" s="709" t="s">
        <v>17</v>
      </c>
      <c r="S7" s="710">
        <f t="shared" ref="S7:S15" si="0">F7</f>
        <v>0</v>
      </c>
      <c r="T7" s="709" t="s">
        <v>17</v>
      </c>
      <c r="U7" s="710">
        <f t="shared" ref="U7:U15" si="1">H7</f>
        <v>0</v>
      </c>
      <c r="V7" s="709" t="s">
        <v>17</v>
      </c>
      <c r="W7" s="710">
        <f t="shared" ref="W7:W15" si="2">J7</f>
        <v>0</v>
      </c>
      <c r="X7" s="711"/>
      <c r="Y7" s="3267" t="s">
        <v>2370</v>
      </c>
      <c r="Z7" s="3268"/>
      <c r="AA7" s="712" t="e">
        <f>D7/F7</f>
        <v>#DIV/0!</v>
      </c>
      <c r="AB7" s="712" t="e">
        <f>D7/H7</f>
        <v>#DIV/0!</v>
      </c>
      <c r="AC7" s="2143"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4"/>
      <c r="M8" s="2945"/>
      <c r="N8" s="2945"/>
      <c r="O8" s="2945"/>
      <c r="P8" s="3354" t="s">
        <v>2373</v>
      </c>
      <c r="Q8" s="3268"/>
      <c r="R8" s="709" t="s">
        <v>17</v>
      </c>
      <c r="S8" s="710">
        <f t="shared" si="0"/>
        <v>0</v>
      </c>
      <c r="T8" s="709" t="s">
        <v>17</v>
      </c>
      <c r="U8" s="710">
        <f t="shared" si="1"/>
        <v>0</v>
      </c>
      <c r="V8" s="709" t="s">
        <v>17</v>
      </c>
      <c r="W8" s="710">
        <f t="shared" si="2"/>
        <v>0</v>
      </c>
      <c r="X8" s="711"/>
      <c r="Y8" s="3267" t="s">
        <v>2373</v>
      </c>
      <c r="Z8" s="3268"/>
      <c r="AA8" s="712" t="e">
        <f t="shared" ref="AA8:AA47" si="3">D8/F8</f>
        <v>#DIV/0!</v>
      </c>
      <c r="AB8" s="712" t="e">
        <f t="shared" ref="AB8:AB47" si="4">D8/H8</f>
        <v>#DIV/0!</v>
      </c>
      <c r="AC8" s="2143"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4"/>
      <c r="M9" s="2945"/>
      <c r="N9" s="2945"/>
      <c r="O9" s="2945"/>
      <c r="P9" s="3305" t="s">
        <v>2376</v>
      </c>
      <c r="Q9" s="1525" t="str">
        <f t="shared" ref="Q9:Q15" si="6">B9</f>
        <v>用途</v>
      </c>
      <c r="R9" s="709" t="s">
        <v>17</v>
      </c>
      <c r="S9" s="710">
        <f t="shared" si="0"/>
        <v>100</v>
      </c>
      <c r="T9" s="709" t="s">
        <v>17</v>
      </c>
      <c r="U9" s="710">
        <f t="shared" si="1"/>
        <v>100</v>
      </c>
      <c r="V9" s="709" t="s">
        <v>17</v>
      </c>
      <c r="W9" s="710">
        <f t="shared" si="2"/>
        <v>100</v>
      </c>
      <c r="X9" s="711"/>
      <c r="Y9" s="3237" t="s">
        <v>2377</v>
      </c>
      <c r="Z9" s="54" t="str">
        <f t="shared" ref="Z9:Z15" si="7">Q9</f>
        <v>用途</v>
      </c>
      <c r="AA9" s="712">
        <f t="shared" si="3"/>
        <v>1</v>
      </c>
      <c r="AB9" s="712">
        <f t="shared" si="4"/>
        <v>1</v>
      </c>
      <c r="AC9" s="2143">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6"/>
      <c r="M10" s="2947"/>
      <c r="N10" s="2947"/>
      <c r="O10" s="2947"/>
      <c r="P10" s="3305"/>
      <c r="Q10" s="1525"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2143">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8"/>
      <c r="M11" s="2943"/>
      <c r="N11" s="2943"/>
      <c r="O11" s="2943"/>
      <c r="P11" s="3305"/>
      <c r="Q11" s="1525" t="str">
        <f t="shared" si="6"/>
        <v>容积率</v>
      </c>
      <c r="R11" s="709" t="s">
        <v>17</v>
      </c>
      <c r="S11" s="710" t="e">
        <f t="shared" si="0"/>
        <v>#N/A</v>
      </c>
      <c r="T11" s="709" t="s">
        <v>17</v>
      </c>
      <c r="U11" s="710" t="e">
        <f t="shared" si="1"/>
        <v>#N/A</v>
      </c>
      <c r="V11" s="709" t="s">
        <v>17</v>
      </c>
      <c r="W11" s="710" t="e">
        <f t="shared" si="2"/>
        <v>#N/A</v>
      </c>
      <c r="X11" s="711"/>
      <c r="Y11" s="3237"/>
      <c r="Z11" s="54" t="str">
        <f t="shared" si="7"/>
        <v>容积率</v>
      </c>
      <c r="AA11" s="712" t="e">
        <f t="shared" si="3"/>
        <v>#N/A</v>
      </c>
      <c r="AB11" s="712" t="e">
        <f t="shared" si="4"/>
        <v>#N/A</v>
      </c>
      <c r="AC11" s="2143" t="e">
        <f t="shared" si="5"/>
        <v>#N/A</v>
      </c>
    </row>
    <row r="12" spans="1:29" s="112"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4"/>
      <c r="M12" s="2945"/>
      <c r="N12" s="2945"/>
      <c r="O12" s="2945"/>
      <c r="P12" s="3305"/>
      <c r="Q12" s="1525">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9"/>
      <c r="M13" s="2943"/>
      <c r="N13" s="2943"/>
      <c r="O13" s="2943"/>
      <c r="P13" s="3305"/>
      <c r="Q13" s="1525">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9"/>
      <c r="M14" s="2943"/>
      <c r="N14" s="2943"/>
      <c r="O14" s="2943"/>
      <c r="P14" s="3305"/>
      <c r="Q14" s="1525">
        <f t="shared" si="6"/>
        <v>111</v>
      </c>
      <c r="R14" s="709" t="s">
        <v>17</v>
      </c>
      <c r="S14" s="710">
        <f t="shared" si="0"/>
        <v>100</v>
      </c>
      <c r="T14" s="709" t="s">
        <v>17</v>
      </c>
      <c r="U14" s="710">
        <f t="shared" si="1"/>
        <v>100</v>
      </c>
      <c r="V14" s="709" t="s">
        <v>17</v>
      </c>
      <c r="W14" s="710">
        <f t="shared" si="2"/>
        <v>100</v>
      </c>
      <c r="X14" s="711"/>
      <c r="Y14" s="3237"/>
      <c r="Z14" s="54">
        <f t="shared" si="7"/>
        <v>111</v>
      </c>
      <c r="AA14" s="712">
        <f t="shared" si="3"/>
        <v>1</v>
      </c>
      <c r="AB14" s="712">
        <f t="shared" si="4"/>
        <v>1</v>
      </c>
      <c r="AC14" s="2143">
        <f t="shared" si="5"/>
        <v>1</v>
      </c>
    </row>
    <row r="15" spans="1:29" ht="71.25">
      <c r="A15" s="398" t="s">
        <v>2380</v>
      </c>
      <c r="B15" s="584" t="s">
        <v>2508</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9"/>
      <c r="M15" s="2943"/>
      <c r="N15" s="2943"/>
      <c r="O15" s="2943"/>
      <c r="P15" s="3341" t="s">
        <v>2381</v>
      </c>
      <c r="Q15" s="1534" t="str">
        <f t="shared" si="6"/>
        <v>办公集聚程度</v>
      </c>
      <c r="R15" s="713" t="s">
        <v>17</v>
      </c>
      <c r="S15" s="714">
        <f t="shared" si="0"/>
        <v>100</v>
      </c>
      <c r="T15" s="713" t="s">
        <v>17</v>
      </c>
      <c r="U15" s="714">
        <f t="shared" si="1"/>
        <v>100</v>
      </c>
      <c r="V15" s="713" t="s">
        <v>17</v>
      </c>
      <c r="W15" s="714">
        <f t="shared" si="2"/>
        <v>100</v>
      </c>
      <c r="X15" s="1537"/>
      <c r="Y15" s="3296" t="s">
        <v>2381</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9"/>
      <c r="M16" s="2943"/>
      <c r="N16" s="2943"/>
      <c r="O16" s="2943"/>
      <c r="P16" s="3342"/>
      <c r="Q16" s="1534"/>
      <c r="R16" s="713"/>
      <c r="S16" s="714"/>
      <c r="T16" s="713"/>
      <c r="U16" s="714"/>
      <c r="V16" s="713"/>
      <c r="W16" s="714"/>
      <c r="X16" s="1537"/>
      <c r="Y16" s="3297"/>
      <c r="Z16" s="1538"/>
      <c r="AA16" s="1535">
        <v>1</v>
      </c>
      <c r="AB16" s="1535">
        <v>1</v>
      </c>
      <c r="AC16" s="2146">
        <v>1</v>
      </c>
    </row>
    <row r="17" spans="1:29" ht="71.25">
      <c r="A17" s="386"/>
      <c r="B17" s="586" t="s">
        <v>1945</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9"/>
      <c r="M17" s="2943"/>
      <c r="N17" s="2943"/>
      <c r="O17" s="2943"/>
      <c r="P17" s="3342"/>
      <c r="Q17" s="1534" t="str">
        <f>B17</f>
        <v>交通便捷度</v>
      </c>
      <c r="R17" s="713" t="s">
        <v>17</v>
      </c>
      <c r="S17" s="714">
        <f>F17</f>
        <v>100</v>
      </c>
      <c r="T17" s="713" t="s">
        <v>17</v>
      </c>
      <c r="U17" s="714">
        <f>H17</f>
        <v>100</v>
      </c>
      <c r="V17" s="713" t="s">
        <v>17</v>
      </c>
      <c r="W17" s="714">
        <f>J17</f>
        <v>100</v>
      </c>
      <c r="X17" s="1537"/>
      <c r="Y17" s="3297"/>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9"/>
      <c r="M18" s="2943"/>
      <c r="N18" s="2943"/>
      <c r="O18" s="2943"/>
      <c r="P18" s="3342"/>
      <c r="Q18" s="1534"/>
      <c r="R18" s="713"/>
      <c r="S18" s="714"/>
      <c r="T18" s="713"/>
      <c r="U18" s="714"/>
      <c r="V18" s="713"/>
      <c r="W18" s="714"/>
      <c r="X18" s="1537"/>
      <c r="Y18" s="3297"/>
      <c r="Z18" s="1538"/>
      <c r="AA18" s="1535">
        <v>1</v>
      </c>
      <c r="AB18" s="1535">
        <v>1</v>
      </c>
      <c r="AC18" s="2146">
        <v>1</v>
      </c>
    </row>
    <row r="19" spans="1:29" ht="42.75">
      <c r="A19" s="386"/>
      <c r="B19" s="586" t="s">
        <v>2509</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9"/>
      <c r="M19" s="2943"/>
      <c r="N19" s="2943"/>
      <c r="O19" s="2943"/>
      <c r="P19" s="3342"/>
      <c r="Q19" s="1534" t="str">
        <f>B19</f>
        <v>公共配套设施</v>
      </c>
      <c r="R19" s="713" t="s">
        <v>17</v>
      </c>
      <c r="S19" s="714">
        <f>F19</f>
        <v>100</v>
      </c>
      <c r="T19" s="713" t="s">
        <v>17</v>
      </c>
      <c r="U19" s="714">
        <f>H19</f>
        <v>100</v>
      </c>
      <c r="V19" s="713" t="s">
        <v>17</v>
      </c>
      <c r="W19" s="714">
        <f>J19</f>
        <v>100</v>
      </c>
      <c r="X19" s="1537"/>
      <c r="Y19" s="3297"/>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9"/>
      <c r="M20" s="2943"/>
      <c r="N20" s="2943"/>
      <c r="O20" s="2943"/>
      <c r="P20" s="3342"/>
      <c r="Q20" s="1534"/>
      <c r="R20" s="713"/>
      <c r="S20" s="714"/>
      <c r="T20" s="713"/>
      <c r="U20" s="714"/>
      <c r="V20" s="713"/>
      <c r="W20" s="714"/>
      <c r="X20" s="1537"/>
      <c r="Y20" s="3297"/>
      <c r="Z20" s="1538"/>
      <c r="AA20" s="1535">
        <v>1</v>
      </c>
      <c r="AB20" s="1535">
        <v>1</v>
      </c>
      <c r="AC20" s="2146">
        <v>1</v>
      </c>
    </row>
    <row r="21" spans="1:29" ht="28.5">
      <c r="A21" s="386"/>
      <c r="B21" s="588" t="s">
        <v>2510</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9"/>
      <c r="M21" s="2943"/>
      <c r="N21" s="2943"/>
      <c r="O21" s="2943"/>
      <c r="P21" s="3342"/>
      <c r="Q21" s="1534" t="str">
        <f>B21</f>
        <v>基础设施水平</v>
      </c>
      <c r="R21" s="713" t="s">
        <v>17</v>
      </c>
      <c r="S21" s="714">
        <f>F21</f>
        <v>100</v>
      </c>
      <c r="T21" s="713" t="s">
        <v>17</v>
      </c>
      <c r="U21" s="714">
        <f>H21</f>
        <v>100</v>
      </c>
      <c r="V21" s="713" t="s">
        <v>17</v>
      </c>
      <c r="W21" s="714">
        <f>J21</f>
        <v>100</v>
      </c>
      <c r="X21" s="1537"/>
      <c r="Y21" s="3297"/>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0"/>
      <c r="L22" s="2949"/>
      <c r="M22" s="2943"/>
      <c r="N22" s="2943"/>
      <c r="O22" s="2943"/>
      <c r="P22" s="3342"/>
      <c r="Q22" s="1534"/>
      <c r="R22" s="713"/>
      <c r="S22" s="714"/>
      <c r="T22" s="713"/>
      <c r="U22" s="714"/>
      <c r="V22" s="713"/>
      <c r="W22" s="714"/>
      <c r="X22" s="1537"/>
      <c r="Y22" s="3297"/>
      <c r="Z22" s="1538"/>
      <c r="AA22" s="1535">
        <v>1</v>
      </c>
      <c r="AB22" s="1535">
        <v>1</v>
      </c>
      <c r="AC22" s="2146">
        <v>1</v>
      </c>
    </row>
    <row r="23" spans="1:29" ht="42.75">
      <c r="A23" s="386"/>
      <c r="B23" s="586" t="s">
        <v>2511</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9"/>
      <c r="M23" s="2943"/>
      <c r="N23" s="2943"/>
      <c r="O23" s="2943"/>
      <c r="P23" s="3342"/>
      <c r="Q23" s="1534" t="str">
        <f>B23</f>
        <v>环境质量</v>
      </c>
      <c r="R23" s="713" t="s">
        <v>17</v>
      </c>
      <c r="S23" s="714">
        <f>F23</f>
        <v>100</v>
      </c>
      <c r="T23" s="713" t="s">
        <v>17</v>
      </c>
      <c r="U23" s="714">
        <f>H23</f>
        <v>100</v>
      </c>
      <c r="V23" s="713" t="s">
        <v>17</v>
      </c>
      <c r="W23" s="714">
        <f>J23</f>
        <v>100</v>
      </c>
      <c r="X23" s="1537"/>
      <c r="Y23" s="3297"/>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9"/>
      <c r="M24" s="2943"/>
      <c r="N24" s="2943"/>
      <c r="O24" s="2943"/>
      <c r="P24" s="3342"/>
      <c r="Q24" s="1534"/>
      <c r="R24" s="713"/>
      <c r="S24" s="714"/>
      <c r="T24" s="713"/>
      <c r="U24" s="714"/>
      <c r="V24" s="713"/>
      <c r="W24" s="714"/>
      <c r="X24" s="1537"/>
      <c r="Y24" s="3297"/>
      <c r="Z24" s="1538"/>
      <c r="AA24" s="1535">
        <v>1</v>
      </c>
      <c r="AB24" s="1535">
        <v>1</v>
      </c>
      <c r="AC24" s="2146">
        <v>1</v>
      </c>
    </row>
    <row r="25" spans="1:29" ht="27">
      <c r="A25" s="363"/>
      <c r="B25" s="586" t="s">
        <v>2512</v>
      </c>
      <c r="C25" s="2092"/>
      <c r="D25" s="393">
        <v>100</v>
      </c>
      <c r="E25" s="392"/>
      <c r="F25" s="393">
        <f>SUMIF(87:87,E26,88:88)-SUMIF(87:87,C26,88:88)+100</f>
        <v>100</v>
      </c>
      <c r="G25" s="2092"/>
      <c r="H25" s="393">
        <f>SUMIF(87:87,G26,88:88)-SUMIF(87:87,C26,88:88)+100</f>
        <v>100</v>
      </c>
      <c r="I25" s="392"/>
      <c r="J25" s="393">
        <f>SUMIF(87:87,I26,88:88)-SUMIF(87:87,C26,88:88)+100</f>
        <v>100</v>
      </c>
      <c r="K25" s="570"/>
      <c r="L25" s="2949"/>
      <c r="M25" s="2943"/>
      <c r="N25" s="2943"/>
      <c r="O25" s="2943"/>
      <c r="P25" s="3342"/>
      <c r="Q25" s="1534" t="str">
        <f>B25</f>
        <v>毗邻道路的类型与等级</v>
      </c>
      <c r="R25" s="713" t="s">
        <v>17</v>
      </c>
      <c r="S25" s="714">
        <f>F25</f>
        <v>100</v>
      </c>
      <c r="T25" s="713" t="s">
        <v>17</v>
      </c>
      <c r="U25" s="714">
        <f>H25</f>
        <v>100</v>
      </c>
      <c r="V25" s="713" t="s">
        <v>17</v>
      </c>
      <c r="W25" s="714">
        <f>J25</f>
        <v>100</v>
      </c>
      <c r="X25" s="1537"/>
      <c r="Y25" s="3297"/>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9"/>
      <c r="M26" s="2943"/>
      <c r="N26" s="2943"/>
      <c r="O26" s="2943"/>
      <c r="P26" s="3342"/>
      <c r="Q26" s="1534"/>
      <c r="R26" s="713"/>
      <c r="S26" s="714"/>
      <c r="T26" s="713"/>
      <c r="U26" s="714"/>
      <c r="V26" s="713"/>
      <c r="W26" s="714"/>
      <c r="X26" s="1537"/>
      <c r="Y26" s="3297"/>
      <c r="Z26" s="1538"/>
      <c r="AA26" s="1535">
        <v>1</v>
      </c>
      <c r="AB26" s="1535">
        <v>1</v>
      </c>
      <c r="AC26" s="2146">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9"/>
      <c r="M27" s="2943"/>
      <c r="N27" s="2943"/>
      <c r="O27" s="2943"/>
      <c r="P27" s="3342"/>
      <c r="Q27" s="1534" t="str">
        <f t="shared" ref="Q27:Q47" si="11">B27</f>
        <v>楼层</v>
      </c>
      <c r="R27" s="713" t="s">
        <v>17</v>
      </c>
      <c r="S27" s="714">
        <f>F27</f>
        <v>100</v>
      </c>
      <c r="T27" s="713" t="s">
        <v>17</v>
      </c>
      <c r="U27" s="714">
        <f>H27</f>
        <v>100</v>
      </c>
      <c r="V27" s="713" t="s">
        <v>17</v>
      </c>
      <c r="W27" s="714">
        <f>J27</f>
        <v>100</v>
      </c>
      <c r="X27" s="1537"/>
      <c r="Y27" s="3297"/>
      <c r="Z27" s="1538" t="str">
        <f>Q27</f>
        <v>楼层</v>
      </c>
      <c r="AA27" s="1535">
        <f t="shared" si="3"/>
        <v>1</v>
      </c>
      <c r="AB27" s="1535">
        <f t="shared" si="4"/>
        <v>1</v>
      </c>
      <c r="AC27" s="2146">
        <f t="shared" si="5"/>
        <v>1</v>
      </c>
    </row>
    <row r="28" spans="1:29" s="112" customFormat="1" ht="15">
      <c r="A28" s="389"/>
      <c r="B28" s="586" t="s">
        <v>2513</v>
      </c>
      <c r="C28" s="2149"/>
      <c r="D28" s="420">
        <v>100</v>
      </c>
      <c r="E28" s="2140"/>
      <c r="F28" s="420">
        <f>SUMIF(91:91,E28,92:92)-SUMIF(91:91,C28,92:92)+100</f>
        <v>100</v>
      </c>
      <c r="G28" s="2149"/>
      <c r="H28" s="420">
        <f>SUMIF(91:91,G28,92:92)-SUMIF(91:91,C28,92:92)+100</f>
        <v>100</v>
      </c>
      <c r="I28" s="2140"/>
      <c r="J28" s="420">
        <f>SUMIF(91:91,I28,92:92)-SUMIF(91:91,C28,92:92)+100</f>
        <v>100</v>
      </c>
      <c r="K28" s="568"/>
      <c r="L28" s="2944"/>
      <c r="M28" s="2945"/>
      <c r="N28" s="2945"/>
      <c r="O28" s="2945"/>
      <c r="P28" s="3342"/>
      <c r="Q28" s="1525" t="str">
        <f t="shared" si="11"/>
        <v>朝向</v>
      </c>
      <c r="R28" s="709" t="s">
        <v>17</v>
      </c>
      <c r="S28" s="710">
        <f>F28</f>
        <v>100</v>
      </c>
      <c r="T28" s="709" t="s">
        <v>17</v>
      </c>
      <c r="U28" s="710">
        <f>H28</f>
        <v>100</v>
      </c>
      <c r="V28" s="709" t="s">
        <v>17</v>
      </c>
      <c r="W28" s="710">
        <f>J28</f>
        <v>100</v>
      </c>
      <c r="X28" s="711"/>
      <c r="Y28" s="3297"/>
      <c r="Z28" s="54"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9"/>
      <c r="M29" s="2943"/>
      <c r="N29" s="2943"/>
      <c r="O29" s="2943"/>
      <c r="P29" s="3342"/>
      <c r="Q29" s="1534">
        <f t="shared" si="11"/>
        <v>111</v>
      </c>
      <c r="R29" s="713" t="s">
        <v>17</v>
      </c>
      <c r="S29" s="714">
        <f t="shared" ref="S29:S47" si="12">F29</f>
        <v>100</v>
      </c>
      <c r="T29" s="713" t="s">
        <v>17</v>
      </c>
      <c r="U29" s="714">
        <f t="shared" ref="U29:U47" si="13">H29</f>
        <v>100</v>
      </c>
      <c r="V29" s="713" t="s">
        <v>17</v>
      </c>
      <c r="W29" s="714">
        <f t="shared" ref="W29:W47" si="14">J29</f>
        <v>100</v>
      </c>
      <c r="X29" s="1537"/>
      <c r="Y29" s="3297"/>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9"/>
      <c r="M30" s="2943"/>
      <c r="N30" s="2943"/>
      <c r="O30" s="2943"/>
      <c r="P30" s="3342"/>
      <c r="Q30" s="1534">
        <f t="shared" si="11"/>
        <v>111</v>
      </c>
      <c r="R30" s="713" t="s">
        <v>17</v>
      </c>
      <c r="S30" s="714">
        <f t="shared" si="12"/>
        <v>100</v>
      </c>
      <c r="T30" s="713" t="s">
        <v>17</v>
      </c>
      <c r="U30" s="714">
        <f t="shared" si="13"/>
        <v>100</v>
      </c>
      <c r="V30" s="713" t="s">
        <v>17</v>
      </c>
      <c r="W30" s="714">
        <f t="shared" si="14"/>
        <v>100</v>
      </c>
      <c r="X30" s="1537"/>
      <c r="Y30" s="3297"/>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9"/>
      <c r="M31" s="2943"/>
      <c r="N31" s="2943"/>
      <c r="O31" s="2943"/>
      <c r="P31" s="3342"/>
      <c r="Q31" s="1534">
        <f t="shared" si="11"/>
        <v>111</v>
      </c>
      <c r="R31" s="713" t="s">
        <v>17</v>
      </c>
      <c r="S31" s="714">
        <f t="shared" si="12"/>
        <v>100</v>
      </c>
      <c r="T31" s="713" t="s">
        <v>17</v>
      </c>
      <c r="U31" s="714">
        <f t="shared" si="13"/>
        <v>100</v>
      </c>
      <c r="V31" s="713" t="s">
        <v>17</v>
      </c>
      <c r="W31" s="714">
        <f t="shared" si="14"/>
        <v>100</v>
      </c>
      <c r="X31" s="1537"/>
      <c r="Y31" s="3297"/>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9"/>
      <c r="M32" s="2943"/>
      <c r="N32" s="2943"/>
      <c r="O32" s="2943"/>
      <c r="P32" s="3342"/>
      <c r="Q32" s="1534">
        <f t="shared" si="11"/>
        <v>111</v>
      </c>
      <c r="R32" s="713" t="s">
        <v>17</v>
      </c>
      <c r="S32" s="714">
        <f t="shared" si="12"/>
        <v>100</v>
      </c>
      <c r="T32" s="713" t="s">
        <v>17</v>
      </c>
      <c r="U32" s="714">
        <f t="shared" si="13"/>
        <v>100</v>
      </c>
      <c r="V32" s="713" t="s">
        <v>17</v>
      </c>
      <c r="W32" s="714">
        <f t="shared" si="14"/>
        <v>100</v>
      </c>
      <c r="X32" s="1537"/>
      <c r="Y32" s="3297"/>
      <c r="Z32" s="1538">
        <f t="shared" si="15"/>
        <v>111</v>
      </c>
      <c r="AA32" s="1535">
        <f t="shared" si="3"/>
        <v>1</v>
      </c>
      <c r="AB32" s="1535">
        <f t="shared" si="4"/>
        <v>1</v>
      </c>
      <c r="AC32" s="2146">
        <f t="shared" si="5"/>
        <v>1</v>
      </c>
    </row>
    <row r="33" spans="1:29" ht="15">
      <c r="A33" s="398" t="s">
        <v>2384</v>
      </c>
      <c r="B33" s="66" t="s">
        <v>2514</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9"/>
      <c r="M33" s="2943"/>
      <c r="N33" s="2943"/>
      <c r="O33" s="2943"/>
      <c r="P33" s="3337" t="s">
        <v>2386</v>
      </c>
      <c r="Q33" s="1534" t="str">
        <f t="shared" si="11"/>
        <v>建筑类型</v>
      </c>
      <c r="R33" s="713" t="s">
        <v>17</v>
      </c>
      <c r="S33" s="714">
        <f t="shared" si="12"/>
        <v>100</v>
      </c>
      <c r="T33" s="713" t="s">
        <v>17</v>
      </c>
      <c r="U33" s="714">
        <f t="shared" si="13"/>
        <v>100</v>
      </c>
      <c r="V33" s="713" t="s">
        <v>17</v>
      </c>
      <c r="W33" s="714">
        <f t="shared" si="14"/>
        <v>100</v>
      </c>
      <c r="X33" s="1537"/>
      <c r="Y33" s="3299" t="s">
        <v>2386</v>
      </c>
      <c r="Z33" s="1538" t="str">
        <f t="shared" si="15"/>
        <v>建筑类型</v>
      </c>
      <c r="AA33" s="1535">
        <f t="shared" si="3"/>
        <v>1</v>
      </c>
      <c r="AB33" s="1535">
        <f t="shared" si="4"/>
        <v>1</v>
      </c>
      <c r="AC33" s="2146">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8"/>
      <c r="M34" s="2950"/>
      <c r="N34" s="2950"/>
      <c r="O34" s="2950"/>
      <c r="P34" s="3338"/>
      <c r="Q34" s="715" t="str">
        <f t="shared" si="11"/>
        <v>项目建筑规模</v>
      </c>
      <c r="R34" s="716" t="s">
        <v>17</v>
      </c>
      <c r="S34" s="717" t="e">
        <f t="shared" si="12"/>
        <v>#N/A</v>
      </c>
      <c r="T34" s="716" t="s">
        <v>17</v>
      </c>
      <c r="U34" s="717" t="e">
        <f t="shared" si="13"/>
        <v>#N/A</v>
      </c>
      <c r="V34" s="716" t="s">
        <v>17</v>
      </c>
      <c r="W34" s="717" t="e">
        <f t="shared" si="14"/>
        <v>#N/A</v>
      </c>
      <c r="X34" s="718"/>
      <c r="Y34" s="3299"/>
      <c r="Z34" s="719" t="str">
        <f t="shared" si="15"/>
        <v>项目建筑规模</v>
      </c>
      <c r="AA34" s="1535" t="e">
        <f t="shared" si="3"/>
        <v>#N/A</v>
      </c>
      <c r="AB34" s="1535" t="e">
        <f t="shared" si="4"/>
        <v>#N/A</v>
      </c>
      <c r="AC34" s="2146"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9"/>
      <c r="M35" s="2943"/>
      <c r="N35" s="2943"/>
      <c r="O35" s="2943"/>
      <c r="P35" s="3338"/>
      <c r="Q35" s="1534" t="str">
        <f t="shared" si="11"/>
        <v>建筑结构</v>
      </c>
      <c r="R35" s="713" t="s">
        <v>17</v>
      </c>
      <c r="S35" s="714">
        <f t="shared" si="12"/>
        <v>100</v>
      </c>
      <c r="T35" s="713" t="s">
        <v>17</v>
      </c>
      <c r="U35" s="714">
        <f t="shared" si="13"/>
        <v>100</v>
      </c>
      <c r="V35" s="713" t="s">
        <v>17</v>
      </c>
      <c r="W35" s="714">
        <f t="shared" si="14"/>
        <v>100</v>
      </c>
      <c r="X35" s="1537"/>
      <c r="Y35" s="3299"/>
      <c r="Z35" s="1538" t="str">
        <f t="shared" si="15"/>
        <v>建筑结构</v>
      </c>
      <c r="AA35" s="1535">
        <f t="shared" si="3"/>
        <v>1</v>
      </c>
      <c r="AB35" s="1535">
        <f t="shared" si="4"/>
        <v>1</v>
      </c>
      <c r="AC35" s="2146">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9"/>
      <c r="M36" s="2943"/>
      <c r="N36" s="2943"/>
      <c r="O36" s="2943"/>
      <c r="P36" s="3338"/>
      <c r="Q36" s="1534" t="str">
        <f t="shared" si="11"/>
        <v>公共部分装修</v>
      </c>
      <c r="R36" s="713" t="s">
        <v>17</v>
      </c>
      <c r="S36" s="714">
        <f t="shared" si="12"/>
        <v>100</v>
      </c>
      <c r="T36" s="713" t="s">
        <v>17</v>
      </c>
      <c r="U36" s="714">
        <f t="shared" si="13"/>
        <v>100</v>
      </c>
      <c r="V36" s="713" t="s">
        <v>17</v>
      </c>
      <c r="W36" s="714">
        <f t="shared" si="14"/>
        <v>100</v>
      </c>
      <c r="X36" s="1537"/>
      <c r="Y36" s="3299"/>
      <c r="Z36" s="1538" t="str">
        <f t="shared" si="15"/>
        <v>公共部分装修</v>
      </c>
      <c r="AA36" s="1535">
        <f t="shared" si="3"/>
        <v>1</v>
      </c>
      <c r="AB36" s="1535">
        <f t="shared" si="4"/>
        <v>1</v>
      </c>
      <c r="AC36" s="2146">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9"/>
      <c r="M37" s="2943"/>
      <c r="N37" s="2943"/>
      <c r="O37" s="2943"/>
      <c r="P37" s="3338"/>
      <c r="Q37" s="1534" t="str">
        <f t="shared" si="11"/>
        <v>成新度</v>
      </c>
      <c r="R37" s="713" t="s">
        <v>17</v>
      </c>
      <c r="S37" s="714" t="e">
        <f t="shared" si="12"/>
        <v>#N/A</v>
      </c>
      <c r="T37" s="713" t="s">
        <v>17</v>
      </c>
      <c r="U37" s="714" t="e">
        <f t="shared" si="13"/>
        <v>#N/A</v>
      </c>
      <c r="V37" s="713" t="s">
        <v>17</v>
      </c>
      <c r="W37" s="714" t="e">
        <f t="shared" si="14"/>
        <v>#N/A</v>
      </c>
      <c r="X37" s="1537"/>
      <c r="Y37" s="3299"/>
      <c r="Z37" s="1538" t="str">
        <f t="shared" si="15"/>
        <v>成新度</v>
      </c>
      <c r="AA37" s="1535" t="e">
        <f t="shared" si="3"/>
        <v>#N/A</v>
      </c>
      <c r="AB37" s="1535" t="e">
        <f t="shared" si="4"/>
        <v>#N/A</v>
      </c>
      <c r="AC37" s="2146"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4"/>
      <c r="M38" s="2945"/>
      <c r="N38" s="2945"/>
      <c r="O38" s="2945"/>
      <c r="P38" s="3338"/>
      <c r="Q38" s="1525" t="str">
        <f t="shared" si="11"/>
        <v>写字楼等级</v>
      </c>
      <c r="R38" s="709" t="s">
        <v>17</v>
      </c>
      <c r="S38" s="710">
        <f t="shared" si="12"/>
        <v>100</v>
      </c>
      <c r="T38" s="709" t="s">
        <v>17</v>
      </c>
      <c r="U38" s="710">
        <f t="shared" si="13"/>
        <v>100</v>
      </c>
      <c r="V38" s="709" t="s">
        <v>17</v>
      </c>
      <c r="W38" s="710">
        <f t="shared" si="14"/>
        <v>100</v>
      </c>
      <c r="X38" s="711"/>
      <c r="Y38" s="3299"/>
      <c r="Z38" s="54" t="str">
        <f t="shared" si="15"/>
        <v>写字楼等级</v>
      </c>
      <c r="AA38" s="712">
        <f t="shared" si="3"/>
        <v>1</v>
      </c>
      <c r="AB38" s="712">
        <f t="shared" si="4"/>
        <v>1</v>
      </c>
      <c r="AC38" s="2143">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9"/>
      <c r="M39" s="2943"/>
      <c r="N39" s="2943"/>
      <c r="O39" s="2943"/>
      <c r="P39" s="3338" t="s">
        <v>2386</v>
      </c>
      <c r="Q39" s="1534" t="str">
        <f t="shared" si="11"/>
        <v>物业管理</v>
      </c>
      <c r="R39" s="713" t="s">
        <v>17</v>
      </c>
      <c r="S39" s="714">
        <f t="shared" si="12"/>
        <v>100</v>
      </c>
      <c r="T39" s="713" t="s">
        <v>17</v>
      </c>
      <c r="U39" s="714">
        <f t="shared" si="13"/>
        <v>100</v>
      </c>
      <c r="V39" s="713" t="s">
        <v>17</v>
      </c>
      <c r="W39" s="714">
        <f t="shared" si="14"/>
        <v>100</v>
      </c>
      <c r="X39" s="1537"/>
      <c r="Y39" s="3299" t="s">
        <v>2386</v>
      </c>
      <c r="Z39" s="1538" t="str">
        <f t="shared" si="15"/>
        <v>物业管理</v>
      </c>
      <c r="AA39" s="1535">
        <f t="shared" si="3"/>
        <v>1</v>
      </c>
      <c r="AB39" s="1535">
        <f t="shared" si="4"/>
        <v>1</v>
      </c>
      <c r="AC39" s="2146">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9"/>
      <c r="M40" s="2943"/>
      <c r="N40" s="2943"/>
      <c r="O40" s="2943"/>
      <c r="P40" s="3338"/>
      <c r="Q40" s="1534" t="str">
        <f t="shared" si="11"/>
        <v>市政基础设施</v>
      </c>
      <c r="R40" s="713" t="s">
        <v>17</v>
      </c>
      <c r="S40" s="714">
        <f t="shared" si="12"/>
        <v>100</v>
      </c>
      <c r="T40" s="713" t="s">
        <v>17</v>
      </c>
      <c r="U40" s="714">
        <f t="shared" si="13"/>
        <v>100</v>
      </c>
      <c r="V40" s="713" t="s">
        <v>17</v>
      </c>
      <c r="W40" s="714">
        <f t="shared" si="14"/>
        <v>100</v>
      </c>
      <c r="X40" s="1537"/>
      <c r="Y40" s="3299"/>
      <c r="Z40" s="1538" t="str">
        <f t="shared" si="15"/>
        <v>市政基础设施</v>
      </c>
      <c r="AA40" s="1535">
        <f t="shared" si="3"/>
        <v>1</v>
      </c>
      <c r="AB40" s="1535">
        <f t="shared" si="4"/>
        <v>1</v>
      </c>
      <c r="AC40" s="2146">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9"/>
      <c r="M41" s="2943"/>
      <c r="N41" s="2943"/>
      <c r="O41" s="2943"/>
      <c r="P41" s="3338"/>
      <c r="Q41" s="1534" t="str">
        <f t="shared" si="11"/>
        <v>层高</v>
      </c>
      <c r="R41" s="713" t="s">
        <v>17</v>
      </c>
      <c r="S41" s="714">
        <f t="shared" si="12"/>
        <v>100</v>
      </c>
      <c r="T41" s="713" t="s">
        <v>17</v>
      </c>
      <c r="U41" s="714">
        <f t="shared" si="13"/>
        <v>100</v>
      </c>
      <c r="V41" s="713" t="s">
        <v>17</v>
      </c>
      <c r="W41" s="714">
        <f t="shared" si="14"/>
        <v>100</v>
      </c>
      <c r="X41" s="1537"/>
      <c r="Y41" s="3299"/>
      <c r="Z41" s="1538" t="str">
        <f t="shared" si="15"/>
        <v>层高</v>
      </c>
      <c r="AA41" s="1535">
        <f t="shared" si="3"/>
        <v>1</v>
      </c>
      <c r="AB41" s="1535">
        <f t="shared" si="4"/>
        <v>1</v>
      </c>
      <c r="AC41" s="2146">
        <f t="shared" si="5"/>
        <v>1</v>
      </c>
    </row>
    <row r="42" spans="1:29" s="429" customFormat="1" ht="15">
      <c r="A42" s="426"/>
      <c r="B42" s="1536"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38"/>
      <c r="Q42" s="715" t="str">
        <f t="shared" si="11"/>
        <v>单套建筑面积</v>
      </c>
      <c r="R42" s="716" t="s">
        <v>17</v>
      </c>
      <c r="S42" s="717">
        <f t="shared" si="12"/>
        <v>100</v>
      </c>
      <c r="T42" s="716" t="s">
        <v>17</v>
      </c>
      <c r="U42" s="717">
        <f t="shared" si="13"/>
        <v>100</v>
      </c>
      <c r="V42" s="716" t="s">
        <v>17</v>
      </c>
      <c r="W42" s="717">
        <f t="shared" si="14"/>
        <v>100</v>
      </c>
      <c r="X42" s="718"/>
      <c r="Y42" s="3299"/>
      <c r="Z42" s="719" t="str">
        <f t="shared" si="15"/>
        <v>单套建筑面积</v>
      </c>
      <c r="AA42" s="1535">
        <f t="shared" si="3"/>
        <v>1</v>
      </c>
      <c r="AB42" s="1535">
        <f t="shared" si="4"/>
        <v>1</v>
      </c>
      <c r="AC42" s="2146">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9"/>
      <c r="M43" s="2943"/>
      <c r="N43" s="2943"/>
      <c r="O43" s="2943"/>
      <c r="P43" s="3338"/>
      <c r="Q43" s="1534" t="str">
        <f t="shared" si="11"/>
        <v>内部装修</v>
      </c>
      <c r="R43" s="713" t="s">
        <v>17</v>
      </c>
      <c r="S43" s="714">
        <f t="shared" si="12"/>
        <v>100</v>
      </c>
      <c r="T43" s="713" t="s">
        <v>17</v>
      </c>
      <c r="U43" s="714">
        <f t="shared" si="13"/>
        <v>100</v>
      </c>
      <c r="V43" s="713" t="s">
        <v>17</v>
      </c>
      <c r="W43" s="714">
        <f t="shared" si="14"/>
        <v>100</v>
      </c>
      <c r="X43" s="1537"/>
      <c r="Y43" s="3299"/>
      <c r="Z43" s="1538" t="str">
        <f t="shared" si="15"/>
        <v>内部装修</v>
      </c>
      <c r="AA43" s="1535">
        <f t="shared" si="3"/>
        <v>1</v>
      </c>
      <c r="AB43" s="1535">
        <f t="shared" si="4"/>
        <v>1</v>
      </c>
      <c r="AC43" s="2146">
        <f t="shared" si="5"/>
        <v>1</v>
      </c>
    </row>
    <row r="44" spans="1:29" ht="15">
      <c r="A44" s="430"/>
      <c r="B44" s="380" t="s">
        <v>2397</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9"/>
      <c r="M44" s="2943"/>
      <c r="N44" s="2943"/>
      <c r="O44" s="2943"/>
      <c r="P44" s="3338"/>
      <c r="Q44" s="1534" t="str">
        <f t="shared" si="11"/>
        <v>内部装修维护情况</v>
      </c>
      <c r="R44" s="713" t="s">
        <v>17</v>
      </c>
      <c r="S44" s="714">
        <f t="shared" si="12"/>
        <v>100</v>
      </c>
      <c r="T44" s="713" t="s">
        <v>17</v>
      </c>
      <c r="U44" s="714">
        <f t="shared" si="13"/>
        <v>100</v>
      </c>
      <c r="V44" s="713" t="s">
        <v>17</v>
      </c>
      <c r="W44" s="714">
        <f t="shared" si="14"/>
        <v>100</v>
      </c>
      <c r="X44" s="1537"/>
      <c r="Y44" s="3299"/>
      <c r="Z44" s="1538" t="str">
        <f t="shared" si="15"/>
        <v>内部装修维护情况</v>
      </c>
      <c r="AA44" s="1535">
        <f t="shared" si="3"/>
        <v>1</v>
      </c>
      <c r="AB44" s="1535">
        <f t="shared" si="4"/>
        <v>1</v>
      </c>
      <c r="AC44" s="2146">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38"/>
      <c r="Q45" s="1525">
        <f t="shared" si="11"/>
        <v>111</v>
      </c>
      <c r="R45" s="709" t="s">
        <v>17</v>
      </c>
      <c r="S45" s="710">
        <f t="shared" si="12"/>
        <v>100</v>
      </c>
      <c r="T45" s="709" t="s">
        <v>17</v>
      </c>
      <c r="U45" s="710">
        <f t="shared" si="13"/>
        <v>100</v>
      </c>
      <c r="V45" s="709" t="s">
        <v>17</v>
      </c>
      <c r="W45" s="710">
        <f t="shared" si="14"/>
        <v>100</v>
      </c>
      <c r="X45" s="711"/>
      <c r="Y45" s="3299"/>
      <c r="Z45" s="54">
        <f t="shared" si="15"/>
        <v>111</v>
      </c>
      <c r="AA45" s="712">
        <f t="shared" si="3"/>
        <v>1</v>
      </c>
      <c r="AB45" s="712">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38"/>
      <c r="Q46" s="1534">
        <f t="shared" si="11"/>
        <v>111</v>
      </c>
      <c r="R46" s="713" t="s">
        <v>17</v>
      </c>
      <c r="S46" s="714">
        <f t="shared" si="12"/>
        <v>100</v>
      </c>
      <c r="T46" s="713" t="s">
        <v>17</v>
      </c>
      <c r="U46" s="714">
        <f t="shared" si="13"/>
        <v>100</v>
      </c>
      <c r="V46" s="713" t="s">
        <v>17</v>
      </c>
      <c r="W46" s="714">
        <f t="shared" si="14"/>
        <v>100</v>
      </c>
      <c r="X46" s="1537"/>
      <c r="Y46" s="3299"/>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39"/>
      <c r="Q47" s="1534">
        <f t="shared" si="11"/>
        <v>111</v>
      </c>
      <c r="R47" s="713" t="s">
        <v>17</v>
      </c>
      <c r="S47" s="714">
        <f t="shared" si="12"/>
        <v>100</v>
      </c>
      <c r="T47" s="713" t="s">
        <v>17</v>
      </c>
      <c r="U47" s="714">
        <f t="shared" si="13"/>
        <v>100</v>
      </c>
      <c r="V47" s="713" t="s">
        <v>17</v>
      </c>
      <c r="W47" s="714">
        <f t="shared" si="14"/>
        <v>100</v>
      </c>
      <c r="X47" s="1537"/>
      <c r="Y47" s="3340"/>
      <c r="Z47" s="1538">
        <f t="shared" si="15"/>
        <v>111</v>
      </c>
      <c r="AA47" s="1535">
        <f t="shared" si="3"/>
        <v>1</v>
      </c>
      <c r="AB47" s="1535">
        <f t="shared" si="4"/>
        <v>1</v>
      </c>
      <c r="AC47" s="2146">
        <f t="shared" si="5"/>
        <v>1</v>
      </c>
    </row>
    <row r="48" spans="1:29" ht="15">
      <c r="A48" s="437" t="s">
        <v>2398</v>
      </c>
      <c r="B48" s="438"/>
      <c r="C48" s="1314" t="s">
        <v>1</v>
      </c>
      <c r="D48" s="1315"/>
      <c r="E48" s="1316"/>
      <c r="F48" s="1317"/>
      <c r="G48" s="1318"/>
      <c r="H48" s="1319"/>
      <c r="I48" s="1316"/>
      <c r="J48" s="443"/>
      <c r="K48" s="722"/>
      <c r="L48" s="2951"/>
      <c r="M48" s="2943"/>
      <c r="N48" s="2943"/>
      <c r="O48" s="2943"/>
      <c r="P48" s="3305" t="str">
        <f>A48</f>
        <v>成交单价（元/平方米）</v>
      </c>
      <c r="Q48" s="3281"/>
      <c r="R48" s="3336">
        <f>E48</f>
        <v>0</v>
      </c>
      <c r="S48" s="3336"/>
      <c r="T48" s="3336">
        <f>G48</f>
        <v>0</v>
      </c>
      <c r="U48" s="3336"/>
      <c r="V48" s="3336">
        <f>I48</f>
        <v>0</v>
      </c>
      <c r="W48" s="3336"/>
      <c r="X48" s="404"/>
      <c r="Y48" s="720"/>
      <c r="Z48" s="404"/>
      <c r="AA48" s="404"/>
      <c r="AB48" s="404"/>
      <c r="AC48" s="585"/>
    </row>
    <row r="49" spans="1:29" ht="15.75" thickBot="1">
      <c r="A49" s="444" t="s">
        <v>2490</v>
      </c>
      <c r="B49" s="445"/>
      <c r="C49" s="1320" t="e">
        <f>R50</f>
        <v>#DIV/0!</v>
      </c>
      <c r="D49" s="2536" t="s">
        <v>2881</v>
      </c>
      <c r="E49" s="1321" t="e">
        <f>R49</f>
        <v>#DIV/0!</v>
      </c>
      <c r="F49" s="2537"/>
      <c r="G49" s="1320" t="e">
        <f>T49</f>
        <v>#DIV/0!</v>
      </c>
      <c r="H49" s="2537"/>
      <c r="I49" s="1321" t="e">
        <f>V49</f>
        <v>#DIV/0!</v>
      </c>
      <c r="J49" s="2537"/>
      <c r="K49" s="2539">
        <f>F49+H49+J49</f>
        <v>0</v>
      </c>
      <c r="L49" s="2951"/>
      <c r="M49" s="2943"/>
      <c r="N49" s="2943"/>
      <c r="O49" s="2943"/>
      <c r="P49" s="3305" t="str">
        <f>A49</f>
        <v>比较价值（元/平方米）</v>
      </c>
      <c r="Q49" s="3281"/>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1"/>
      <c r="M50" s="2943"/>
      <c r="N50" s="2943"/>
      <c r="O50" s="2943"/>
      <c r="P50" s="3355" t="str">
        <f>A50</f>
        <v>估价对象XX用房的比较价值（楼面单价，元/平方米）</v>
      </c>
      <c r="Q50" s="3356"/>
      <c r="R50" s="3357" t="e">
        <f>IF(F1="售价",ROUND(IF(D49="简单平均",AVERAGE(R49:V49),R49*F49+T49*H49+V49*J49),0),ROUND(IF(D49="简单平均",AVERAGE(R49:V49),R49*F49+T49*H49+V49*J49),1))</f>
        <v>#DIV/0!</v>
      </c>
      <c r="S50" s="3357"/>
      <c r="T50" s="3357"/>
      <c r="U50" s="3357"/>
      <c r="V50" s="3357"/>
      <c r="W50" s="3357"/>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2369</v>
      </c>
      <c r="B59" s="462"/>
      <c r="C59" s="1344" t="str">
        <f>YEAR(C7)&amp;"-"&amp;MONTH(C7)</f>
        <v>2021-8</v>
      </c>
      <c r="D59" s="1345">
        <f>EDATE(C59,-1)</f>
        <v>44378</v>
      </c>
      <c r="E59" s="1345">
        <f>EDATE(D59,-1)</f>
        <v>44348</v>
      </c>
      <c r="F59" s="1345">
        <f t="shared" ref="F59:O59" si="16">EDATE(E59,-1)</f>
        <v>44317</v>
      </c>
      <c r="G59" s="1345">
        <f t="shared" si="16"/>
        <v>44287</v>
      </c>
      <c r="H59" s="1345">
        <f t="shared" si="16"/>
        <v>44256</v>
      </c>
      <c r="I59" s="1345">
        <f t="shared" si="16"/>
        <v>44228</v>
      </c>
      <c r="J59" s="1345">
        <f t="shared" si="16"/>
        <v>44197</v>
      </c>
      <c r="K59" s="1345">
        <f t="shared" si="16"/>
        <v>44166</v>
      </c>
      <c r="L59" s="1345">
        <f t="shared" si="16"/>
        <v>44136</v>
      </c>
      <c r="M59" s="1345">
        <f t="shared" si="16"/>
        <v>44105</v>
      </c>
      <c r="N59" s="1345">
        <f t="shared" si="16"/>
        <v>44075</v>
      </c>
      <c r="O59" s="1345">
        <f t="shared" si="16"/>
        <v>44044</v>
      </c>
      <c r="P59" s="2986"/>
      <c r="Q59" s="2968"/>
      <c r="R59" s="2968"/>
      <c r="S59" s="2968"/>
      <c r="T59" s="2968"/>
      <c r="U59" s="2968"/>
      <c r="V59" s="2968"/>
      <c r="W59" s="2968"/>
      <c r="X59" s="2968"/>
      <c r="Y59" s="2968"/>
      <c r="Z59" s="2968"/>
      <c r="AA59" s="2968"/>
      <c r="AB59" s="2968"/>
      <c r="AC59" s="2968"/>
    </row>
    <row r="60" spans="1:29" s="112"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2" customFormat="1" ht="15.75" thickBot="1">
      <c r="A61" s="471" t="s">
        <v>2406</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2" customFormat="1" ht="15">
      <c r="A62" s="477" t="s">
        <v>2371</v>
      </c>
      <c r="B62" s="466"/>
      <c r="C62" s="478" t="s">
        <v>2473</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2"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2409</v>
      </c>
      <c r="B64" s="484" t="s">
        <v>2375</v>
      </c>
      <c r="C64" s="485">
        <f>C9</f>
        <v>0</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c r="D69" s="505"/>
      <c r="E69" s="505"/>
      <c r="F69" s="505"/>
      <c r="G69" s="505"/>
      <c r="H69" s="505"/>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2380</v>
      </c>
      <c r="B77" s="484" t="s">
        <v>2518</v>
      </c>
      <c r="C77" s="529" t="s">
        <v>2418</v>
      </c>
      <c r="D77" s="529" t="s">
        <v>2419</v>
      </c>
      <c r="E77" s="529" t="s">
        <v>2420</v>
      </c>
      <c r="F77" s="529" t="s">
        <v>2421</v>
      </c>
      <c r="G77" s="529" t="s">
        <v>2422</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2423</v>
      </c>
      <c r="C79" s="534" t="s">
        <v>2418</v>
      </c>
      <c r="D79" s="534" t="s">
        <v>2419</v>
      </c>
      <c r="E79" s="534" t="s">
        <v>2420</v>
      </c>
      <c r="F79" s="534" t="s">
        <v>2421</v>
      </c>
      <c r="G79" s="534" t="s">
        <v>2422</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2424</v>
      </c>
      <c r="C81" s="534" t="s">
        <v>2418</v>
      </c>
      <c r="D81" s="534" t="s">
        <v>2419</v>
      </c>
      <c r="E81" s="534" t="s">
        <v>2420</v>
      </c>
      <c r="F81" s="534" t="s">
        <v>2421</v>
      </c>
      <c r="G81" s="534" t="s">
        <v>2422</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2510</v>
      </c>
      <c r="C83" s="615" t="s">
        <v>2496</v>
      </c>
      <c r="D83" s="615" t="s">
        <v>2497</v>
      </c>
      <c r="E83" s="615" t="s">
        <v>2498</v>
      </c>
      <c r="F83" s="615" t="s">
        <v>2499</v>
      </c>
      <c r="G83" s="615" t="s">
        <v>2500</v>
      </c>
      <c r="H83" s="495"/>
      <c r="I83" s="495"/>
      <c r="J83" s="495"/>
      <c r="K83" s="495"/>
      <c r="L83" s="495"/>
      <c r="M83" s="1289"/>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2519</v>
      </c>
      <c r="C85" s="534" t="s">
        <v>2418</v>
      </c>
      <c r="D85" s="534" t="s">
        <v>2419</v>
      </c>
      <c r="E85" s="534" t="s">
        <v>2420</v>
      </c>
      <c r="F85" s="534" t="s">
        <v>2421</v>
      </c>
      <c r="G85" s="534" t="s">
        <v>2422</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2" customFormat="1" ht="27.75" thickTop="1">
      <c r="A87" s="535"/>
      <c r="B87" s="494" t="s">
        <v>2520</v>
      </c>
      <c r="C87" s="510"/>
      <c r="D87" s="510"/>
      <c r="E87" s="510"/>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1"/>
      <c r="O88" s="2981"/>
      <c r="P88" s="2989"/>
      <c r="Q88" s="2966"/>
      <c r="R88" s="2886"/>
      <c r="S88" s="2886"/>
      <c r="T88" s="2886"/>
      <c r="U88" s="2886"/>
      <c r="V88" s="2886"/>
      <c r="W88" s="2886"/>
      <c r="X88" s="2886"/>
      <c r="Y88" s="2886"/>
      <c r="Z88" s="2886"/>
      <c r="AA88" s="2886"/>
      <c r="AB88" s="2886"/>
      <c r="AC88" s="2886"/>
    </row>
    <row r="89" spans="1:29" s="112" customFormat="1" ht="15.75" thickTop="1">
      <c r="A89" s="535"/>
      <c r="B89" s="494" t="str">
        <f>B27</f>
        <v>楼层</v>
      </c>
      <c r="C89" s="510"/>
      <c r="D89" s="510"/>
      <c r="E89" s="510"/>
      <c r="F89" s="2111"/>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2"/>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2384</v>
      </c>
      <c r="B101" s="484" t="s">
        <v>2433</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c r="D104" s="551"/>
      <c r="E104" s="551"/>
      <c r="F104" s="551"/>
      <c r="G104" s="551"/>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c r="D105" s="492"/>
      <c r="E105" s="492"/>
      <c r="F105" s="492"/>
      <c r="G105" s="492"/>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2435</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2437</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2521</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2438</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2439</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2522</v>
      </c>
      <c r="C119" s="539"/>
      <c r="D119" s="539"/>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2505</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2441</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估价对象为房地产，为所有。根据《国有土地使用证》[]，估价对象（分摊）出让国有建设用地使用权面积为0平方米，建筑面积为45218.69平方米。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估价对象为房地产,属开发建设的，该项目尚在开发建设中。根据《国有土地使用证》[]，估价对象（分摊）出让国有建设用地使用权面积为0平方米，规划建筑面积为45218.69平方米。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2021年8月31日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31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45218.69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282" t="s">
        <v>2467</v>
      </c>
      <c r="D4" s="3283"/>
      <c r="E4" s="3284" t="s">
        <v>2468</v>
      </c>
      <c r="F4" s="3285"/>
      <c r="G4" s="3282" t="s">
        <v>2469</v>
      </c>
      <c r="H4" s="3283"/>
      <c r="I4" s="3282" t="s">
        <v>2470</v>
      </c>
      <c r="J4" s="3283"/>
      <c r="K4" s="566" t="s">
        <v>2471</v>
      </c>
      <c r="L4" s="1043"/>
      <c r="M4" s="1044"/>
      <c r="N4" s="1044"/>
      <c r="O4" s="1044"/>
      <c r="P4" s="3286" t="s">
        <v>2472</v>
      </c>
      <c r="Q4" s="3287"/>
      <c r="R4" s="3269" t="s">
        <v>2468</v>
      </c>
      <c r="S4" s="3270"/>
      <c r="T4" s="3269" t="s">
        <v>2469</v>
      </c>
      <c r="U4" s="3270"/>
      <c r="V4" s="3294" t="s">
        <v>2470</v>
      </c>
      <c r="W4" s="3294"/>
      <c r="X4" s="1537"/>
      <c r="Y4" s="3269" t="s">
        <v>2472</v>
      </c>
      <c r="Z4" s="3270"/>
      <c r="AA4" s="3264" t="s">
        <v>2468</v>
      </c>
      <c r="AB4" s="3265" t="s">
        <v>2469</v>
      </c>
      <c r="AC4" s="3264" t="s">
        <v>2470</v>
      </c>
    </row>
    <row r="5" spans="1:29" ht="15">
      <c r="A5" s="363"/>
      <c r="B5" s="364"/>
      <c r="C5" s="3275" t="s">
        <v>2363</v>
      </c>
      <c r="D5" s="3276"/>
      <c r="E5" s="3273" t="s">
        <v>2364</v>
      </c>
      <c r="F5" s="3274"/>
      <c r="G5" s="3275" t="s">
        <v>2365</v>
      </c>
      <c r="H5" s="3276"/>
      <c r="I5" s="3275" t="s">
        <v>2366</v>
      </c>
      <c r="J5" s="3276"/>
      <c r="K5" s="566"/>
      <c r="L5" s="1043"/>
      <c r="M5" s="1044"/>
      <c r="N5" s="1044"/>
      <c r="O5" s="1044"/>
      <c r="P5" s="3288"/>
      <c r="Q5" s="3289"/>
      <c r="R5" s="3271"/>
      <c r="S5" s="3272"/>
      <c r="T5" s="3271"/>
      <c r="U5" s="3272"/>
      <c r="V5" s="3294"/>
      <c r="W5" s="3294"/>
      <c r="X5" s="1537"/>
      <c r="Y5" s="3271"/>
      <c r="Z5" s="3272"/>
      <c r="AA5" s="3265"/>
      <c r="AB5" s="3265"/>
      <c r="AC5" s="3265"/>
    </row>
    <row r="6" spans="1:29" ht="15.75" thickBot="1">
      <c r="A6" s="365"/>
      <c r="B6" s="366"/>
      <c r="C6" s="3277" t="s">
        <v>2367</v>
      </c>
      <c r="D6" s="3278"/>
      <c r="E6" s="3279" t="s">
        <v>2367</v>
      </c>
      <c r="F6" s="3280"/>
      <c r="G6" s="3277" t="s">
        <v>2367</v>
      </c>
      <c r="H6" s="3278"/>
      <c r="I6" s="3277" t="s">
        <v>2367</v>
      </c>
      <c r="J6" s="3278"/>
      <c r="K6" s="566" t="s">
        <v>2368</v>
      </c>
      <c r="L6" s="1043"/>
      <c r="M6" s="1044"/>
      <c r="N6" s="1044"/>
      <c r="O6" s="1044"/>
      <c r="P6" s="3290"/>
      <c r="Q6" s="3291"/>
      <c r="R6" s="3271"/>
      <c r="S6" s="3272"/>
      <c r="T6" s="3292"/>
      <c r="U6" s="3293"/>
      <c r="V6" s="3294"/>
      <c r="W6" s="3294"/>
      <c r="X6" s="1537"/>
      <c r="Y6" s="3292"/>
      <c r="Z6" s="3293"/>
      <c r="AA6" s="3266"/>
      <c r="AB6" s="3266"/>
      <c r="AC6" s="3266"/>
    </row>
    <row r="7" spans="1:29" s="112" customFormat="1" ht="15.75" thickBot="1">
      <c r="A7" s="367" t="s">
        <v>2369</v>
      </c>
      <c r="B7" s="368"/>
      <c r="C7" s="369">
        <f>'数据-取费表'!B2</f>
        <v>44439</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67" t="s">
        <v>2370</v>
      </c>
      <c r="Q7" s="3295"/>
      <c r="R7" s="709" t="s">
        <v>17</v>
      </c>
      <c r="S7" s="710">
        <f t="shared" ref="S7:S15" si="0">F7</f>
        <v>0</v>
      </c>
      <c r="T7" s="709" t="s">
        <v>17</v>
      </c>
      <c r="U7" s="710">
        <f t="shared" ref="U7:U15" si="1">H7</f>
        <v>0</v>
      </c>
      <c r="V7" s="709" t="s">
        <v>17</v>
      </c>
      <c r="W7" s="710">
        <f t="shared" ref="W7:W15" si="2">J7</f>
        <v>0</v>
      </c>
      <c r="X7" s="711"/>
      <c r="Y7" s="3267" t="s">
        <v>2370</v>
      </c>
      <c r="Z7" s="3268"/>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67" t="s">
        <v>2373</v>
      </c>
      <c r="Q8" s="3268"/>
      <c r="R8" s="709" t="s">
        <v>17</v>
      </c>
      <c r="S8" s="710">
        <f t="shared" si="0"/>
        <v>0</v>
      </c>
      <c r="T8" s="709" t="s">
        <v>17</v>
      </c>
      <c r="U8" s="710">
        <f t="shared" si="1"/>
        <v>0</v>
      </c>
      <c r="V8" s="709" t="s">
        <v>17</v>
      </c>
      <c r="W8" s="710">
        <f t="shared" si="2"/>
        <v>0</v>
      </c>
      <c r="X8" s="711"/>
      <c r="Y8" s="3267" t="s">
        <v>2373</v>
      </c>
      <c r="Z8" s="3268"/>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281" t="s">
        <v>2376</v>
      </c>
      <c r="Q9" s="1525" t="str">
        <f t="shared" ref="Q9:Q15" si="6">B9</f>
        <v>用途</v>
      </c>
      <c r="R9" s="709" t="s">
        <v>17</v>
      </c>
      <c r="S9" s="710">
        <f t="shared" si="0"/>
        <v>100</v>
      </c>
      <c r="T9" s="709" t="s">
        <v>17</v>
      </c>
      <c r="U9" s="710">
        <f t="shared" si="1"/>
        <v>100</v>
      </c>
      <c r="V9" s="709" t="s">
        <v>17</v>
      </c>
      <c r="W9" s="710">
        <f t="shared" si="2"/>
        <v>100</v>
      </c>
      <c r="X9" s="711"/>
      <c r="Y9" s="3237"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281"/>
      <c r="Q10" s="1525"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281"/>
      <c r="Q11" s="1525" t="str">
        <f t="shared" si="6"/>
        <v>容积率</v>
      </c>
      <c r="R11" s="709" t="s">
        <v>17</v>
      </c>
      <c r="S11" s="710" t="e">
        <f t="shared" si="0"/>
        <v>#N/A</v>
      </c>
      <c r="T11" s="709" t="s">
        <v>17</v>
      </c>
      <c r="U11" s="710" t="e">
        <f t="shared" si="1"/>
        <v>#N/A</v>
      </c>
      <c r="V11" s="709" t="s">
        <v>17</v>
      </c>
      <c r="W11" s="710" t="e">
        <f t="shared" si="2"/>
        <v>#N/A</v>
      </c>
      <c r="X11" s="711"/>
      <c r="Y11" s="3237"/>
      <c r="Z11" s="54" t="str">
        <f t="shared" si="7"/>
        <v>容积率</v>
      </c>
      <c r="AA11" s="712" t="e">
        <f t="shared" si="3"/>
        <v>#N/A</v>
      </c>
      <c r="AB11" s="712" t="e">
        <f t="shared" si="4"/>
        <v>#N/A</v>
      </c>
      <c r="AC11" s="712" t="e">
        <f t="shared" si="5"/>
        <v>#N/A</v>
      </c>
    </row>
    <row r="12" spans="1:29" s="112"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281"/>
      <c r="Q12" s="1525">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281"/>
      <c r="Q13" s="1525">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281"/>
      <c r="Q14" s="1525">
        <f t="shared" si="6"/>
        <v>111</v>
      </c>
      <c r="R14" s="709" t="s">
        <v>17</v>
      </c>
      <c r="S14" s="710">
        <f t="shared" si="0"/>
        <v>100</v>
      </c>
      <c r="T14" s="709" t="s">
        <v>17</v>
      </c>
      <c r="U14" s="710">
        <f t="shared" si="1"/>
        <v>100</v>
      </c>
      <c r="V14" s="709" t="s">
        <v>17</v>
      </c>
      <c r="W14" s="710">
        <f t="shared" si="2"/>
        <v>100</v>
      </c>
      <c r="X14" s="711"/>
      <c r="Y14" s="3237"/>
      <c r="Z14" s="54">
        <f t="shared" si="7"/>
        <v>111</v>
      </c>
      <c r="AA14" s="712">
        <f t="shared" si="3"/>
        <v>1</v>
      </c>
      <c r="AB14" s="712">
        <f t="shared" si="4"/>
        <v>1</v>
      </c>
      <c r="AC14" s="712">
        <f t="shared" si="5"/>
        <v>1</v>
      </c>
    </row>
    <row r="15" spans="1:29" ht="57">
      <c r="A15" s="398" t="s">
        <v>2380</v>
      </c>
      <c r="B15" s="64" t="s">
        <v>2524</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296" t="s">
        <v>2381</v>
      </c>
      <c r="Q15" s="1534" t="str">
        <f t="shared" si="6"/>
        <v>产业集聚程度</v>
      </c>
      <c r="R15" s="713" t="s">
        <v>17</v>
      </c>
      <c r="S15" s="714">
        <f t="shared" si="0"/>
        <v>100</v>
      </c>
      <c r="T15" s="713" t="s">
        <v>17</v>
      </c>
      <c r="U15" s="714">
        <f t="shared" si="1"/>
        <v>100</v>
      </c>
      <c r="V15" s="713" t="s">
        <v>17</v>
      </c>
      <c r="W15" s="714">
        <f t="shared" si="2"/>
        <v>100</v>
      </c>
      <c r="X15" s="1537"/>
      <c r="Y15" s="3296" t="s">
        <v>2381</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3"/>
      <c r="M16" s="1044"/>
      <c r="N16" s="1044"/>
      <c r="O16" s="1052"/>
      <c r="P16" s="3297"/>
      <c r="Q16" s="1534"/>
      <c r="R16" s="713"/>
      <c r="S16" s="714"/>
      <c r="T16" s="713"/>
      <c r="U16" s="714"/>
      <c r="V16" s="713"/>
      <c r="W16" s="714"/>
      <c r="X16" s="1537"/>
      <c r="Y16" s="3297"/>
      <c r="Z16" s="1538"/>
      <c r="AA16" s="1535">
        <v>1</v>
      </c>
      <c r="AB16" s="1535">
        <v>1</v>
      </c>
      <c r="AC16" s="1535">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297"/>
      <c r="Q17" s="1534" t="str">
        <f>B17</f>
        <v>交通便捷度</v>
      </c>
      <c r="R17" s="713" t="s">
        <v>17</v>
      </c>
      <c r="S17" s="714">
        <f>F17</f>
        <v>100</v>
      </c>
      <c r="T17" s="713" t="s">
        <v>17</v>
      </c>
      <c r="U17" s="714">
        <f>H17</f>
        <v>100</v>
      </c>
      <c r="V17" s="713" t="s">
        <v>17</v>
      </c>
      <c r="W17" s="714">
        <f>J17</f>
        <v>100</v>
      </c>
      <c r="X17" s="1537"/>
      <c r="Y17" s="3297"/>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3"/>
      <c r="M18" s="1044"/>
      <c r="N18" s="1044"/>
      <c r="O18" s="1052"/>
      <c r="P18" s="3297"/>
      <c r="Q18" s="1534"/>
      <c r="R18" s="713"/>
      <c r="S18" s="714"/>
      <c r="T18" s="713"/>
      <c r="U18" s="714"/>
      <c r="V18" s="713"/>
      <c r="W18" s="714"/>
      <c r="X18" s="1537"/>
      <c r="Y18" s="3297"/>
      <c r="Z18" s="1538"/>
      <c r="AA18" s="1535">
        <v>1</v>
      </c>
      <c r="AB18" s="1535">
        <v>1</v>
      </c>
      <c r="AC18" s="1535">
        <v>1</v>
      </c>
    </row>
    <row r="19" spans="1:29" ht="42.75">
      <c r="A19" s="386"/>
      <c r="B19" s="409" t="s">
        <v>2509</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297"/>
      <c r="Q19" s="1534" t="str">
        <f>B19</f>
        <v>公共配套设施</v>
      </c>
      <c r="R19" s="713" t="s">
        <v>17</v>
      </c>
      <c r="S19" s="714">
        <f>F19</f>
        <v>100</v>
      </c>
      <c r="T19" s="713" t="s">
        <v>17</v>
      </c>
      <c r="U19" s="714">
        <f>H19</f>
        <v>100</v>
      </c>
      <c r="V19" s="713" t="s">
        <v>17</v>
      </c>
      <c r="W19" s="714">
        <f>J19</f>
        <v>100</v>
      </c>
      <c r="X19" s="1537"/>
      <c r="Y19" s="3297"/>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3"/>
      <c r="M20" s="1044"/>
      <c r="N20" s="1044"/>
      <c r="O20" s="1052"/>
      <c r="P20" s="3297"/>
      <c r="Q20" s="1534"/>
      <c r="R20" s="713"/>
      <c r="S20" s="714"/>
      <c r="T20" s="713"/>
      <c r="U20" s="714"/>
      <c r="V20" s="713"/>
      <c r="W20" s="714"/>
      <c r="X20" s="1537"/>
      <c r="Y20" s="3297"/>
      <c r="Z20" s="1538"/>
      <c r="AA20" s="1535">
        <v>1</v>
      </c>
      <c r="AB20" s="1535">
        <v>1</v>
      </c>
      <c r="AC20" s="1535">
        <v>1</v>
      </c>
    </row>
    <row r="21" spans="1:29" ht="28.5">
      <c r="A21" s="386"/>
      <c r="B21" s="1291" t="s">
        <v>2510</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297"/>
      <c r="Q21" s="1534" t="str">
        <f>B21</f>
        <v>基础设施水平</v>
      </c>
      <c r="R21" s="713" t="s">
        <v>17</v>
      </c>
      <c r="S21" s="714">
        <f>F21</f>
        <v>100</v>
      </c>
      <c r="T21" s="713" t="s">
        <v>17</v>
      </c>
      <c r="U21" s="714">
        <f>H21</f>
        <v>100</v>
      </c>
      <c r="V21" s="713" t="s">
        <v>17</v>
      </c>
      <c r="W21" s="714">
        <f>J21</f>
        <v>100</v>
      </c>
      <c r="X21" s="1537"/>
      <c r="Y21" s="3297"/>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3"/>
      <c r="M22" s="1044"/>
      <c r="N22" s="1044"/>
      <c r="O22" s="1052"/>
      <c r="P22" s="3297"/>
      <c r="Q22" s="1534"/>
      <c r="R22" s="713"/>
      <c r="S22" s="714"/>
      <c r="T22" s="713"/>
      <c r="U22" s="714"/>
      <c r="V22" s="713"/>
      <c r="W22" s="714"/>
      <c r="X22" s="1537"/>
      <c r="Y22" s="3297"/>
      <c r="Z22" s="1538"/>
      <c r="AA22" s="1535">
        <v>1</v>
      </c>
      <c r="AB22" s="1535">
        <v>1</v>
      </c>
      <c r="AC22" s="1535">
        <v>1</v>
      </c>
    </row>
    <row r="23" spans="1:29" ht="71.25">
      <c r="A23" s="386"/>
      <c r="B23" s="409" t="s">
        <v>2511</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297"/>
      <c r="Q23" s="1534" t="str">
        <f>B23</f>
        <v>环境质量</v>
      </c>
      <c r="R23" s="713" t="s">
        <v>17</v>
      </c>
      <c r="S23" s="714">
        <f>F23</f>
        <v>100</v>
      </c>
      <c r="T23" s="713" t="s">
        <v>17</v>
      </c>
      <c r="U23" s="714">
        <f>H23</f>
        <v>100</v>
      </c>
      <c r="V23" s="713" t="s">
        <v>17</v>
      </c>
      <c r="W23" s="714">
        <f>J23</f>
        <v>100</v>
      </c>
      <c r="X23" s="1537"/>
      <c r="Y23" s="3297"/>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3"/>
      <c r="M24" s="1044"/>
      <c r="N24" s="1044"/>
      <c r="O24" s="1052"/>
      <c r="P24" s="3297"/>
      <c r="Q24" s="1534"/>
      <c r="R24" s="713"/>
      <c r="S24" s="714"/>
      <c r="T24" s="713"/>
      <c r="U24" s="714"/>
      <c r="V24" s="713"/>
      <c r="W24" s="714"/>
      <c r="X24" s="1537"/>
      <c r="Y24" s="3297"/>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297"/>
      <c r="Q25" s="1534">
        <f>B25</f>
        <v>111</v>
      </c>
      <c r="R25" s="713" t="s">
        <v>17</v>
      </c>
      <c r="S25" s="714">
        <f>F25</f>
        <v>100</v>
      </c>
      <c r="T25" s="713" t="s">
        <v>17</v>
      </c>
      <c r="U25" s="714">
        <f>H25</f>
        <v>100</v>
      </c>
      <c r="V25" s="713" t="s">
        <v>17</v>
      </c>
      <c r="W25" s="714">
        <f>J25</f>
        <v>100</v>
      </c>
      <c r="X25" s="1537"/>
      <c r="Y25" s="3297"/>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297"/>
      <c r="Q26" s="1534">
        <f t="shared" ref="Q26:Q40" si="11">B26</f>
        <v>111</v>
      </c>
      <c r="R26" s="713" t="s">
        <v>17</v>
      </c>
      <c r="S26" s="714">
        <f>F26</f>
        <v>100</v>
      </c>
      <c r="T26" s="713" t="s">
        <v>17</v>
      </c>
      <c r="U26" s="714">
        <f>H26</f>
        <v>100</v>
      </c>
      <c r="V26" s="713" t="s">
        <v>17</v>
      </c>
      <c r="W26" s="714">
        <f>J26</f>
        <v>100</v>
      </c>
      <c r="X26" s="1537"/>
      <c r="Y26" s="3297"/>
      <c r="Z26" s="1538">
        <f>Q26</f>
        <v>111</v>
      </c>
      <c r="AA26" s="1535">
        <f t="shared" si="3"/>
        <v>1</v>
      </c>
      <c r="AB26" s="1535">
        <f t="shared" si="4"/>
        <v>1</v>
      </c>
      <c r="AC26" s="1535">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297"/>
      <c r="Q27" s="1525">
        <f t="shared" si="11"/>
        <v>111</v>
      </c>
      <c r="R27" s="709" t="s">
        <v>17</v>
      </c>
      <c r="S27" s="710">
        <f>F27</f>
        <v>100</v>
      </c>
      <c r="T27" s="709" t="s">
        <v>17</v>
      </c>
      <c r="U27" s="710">
        <f>H27</f>
        <v>100</v>
      </c>
      <c r="V27" s="709" t="s">
        <v>17</v>
      </c>
      <c r="W27" s="710">
        <f>J27</f>
        <v>100</v>
      </c>
      <c r="X27" s="711"/>
      <c r="Y27" s="3297"/>
      <c r="Z27" s="54">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297"/>
      <c r="Q28" s="1534">
        <f t="shared" si="11"/>
        <v>111</v>
      </c>
      <c r="R28" s="713" t="s">
        <v>17</v>
      </c>
      <c r="S28" s="714">
        <f t="shared" ref="S28:S40" si="12">F28</f>
        <v>100</v>
      </c>
      <c r="T28" s="713" t="s">
        <v>17</v>
      </c>
      <c r="U28" s="714">
        <f t="shared" ref="U28:U40" si="13">H28</f>
        <v>100</v>
      </c>
      <c r="V28" s="713" t="s">
        <v>17</v>
      </c>
      <c r="W28" s="714">
        <f t="shared" ref="W28:W40" si="14">J28</f>
        <v>100</v>
      </c>
      <c r="X28" s="1537"/>
      <c r="Y28" s="3297"/>
      <c r="Z28" s="1538">
        <f t="shared" ref="Z28:Z40" si="15">Q28</f>
        <v>111</v>
      </c>
      <c r="AA28" s="1535">
        <f t="shared" si="3"/>
        <v>1</v>
      </c>
      <c r="AB28" s="1535">
        <f t="shared" si="4"/>
        <v>1</v>
      </c>
      <c r="AC28" s="1535">
        <f t="shared" si="5"/>
        <v>1</v>
      </c>
    </row>
    <row r="29" spans="1:29" ht="28.5">
      <c r="A29" s="424" t="s">
        <v>2384</v>
      </c>
      <c r="B29" s="66" t="s">
        <v>2514</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298" t="s">
        <v>2386</v>
      </c>
      <c r="Q29" s="1534" t="str">
        <f t="shared" si="11"/>
        <v>建筑类型</v>
      </c>
      <c r="R29" s="713" t="s">
        <v>17</v>
      </c>
      <c r="S29" s="714">
        <f t="shared" si="12"/>
        <v>100</v>
      </c>
      <c r="T29" s="713" t="s">
        <v>17</v>
      </c>
      <c r="U29" s="714">
        <f t="shared" si="13"/>
        <v>100</v>
      </c>
      <c r="V29" s="713" t="s">
        <v>17</v>
      </c>
      <c r="W29" s="714">
        <f t="shared" si="14"/>
        <v>100</v>
      </c>
      <c r="X29" s="1537"/>
      <c r="Y29" s="3299" t="s">
        <v>2386</v>
      </c>
      <c r="Z29" s="1538" t="str">
        <f t="shared" si="15"/>
        <v>建筑类型</v>
      </c>
      <c r="AA29" s="1535">
        <f t="shared" si="3"/>
        <v>1</v>
      </c>
      <c r="AB29" s="1535">
        <f t="shared" si="4"/>
        <v>1</v>
      </c>
      <c r="AC29" s="1535">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299"/>
      <c r="Q30" s="715" t="str">
        <f t="shared" si="11"/>
        <v>项目建筑规模</v>
      </c>
      <c r="R30" s="716" t="s">
        <v>17</v>
      </c>
      <c r="S30" s="717" t="e">
        <f t="shared" si="12"/>
        <v>#N/A</v>
      </c>
      <c r="T30" s="716" t="s">
        <v>17</v>
      </c>
      <c r="U30" s="717" t="e">
        <f t="shared" si="13"/>
        <v>#N/A</v>
      </c>
      <c r="V30" s="716" t="s">
        <v>17</v>
      </c>
      <c r="W30" s="717" t="e">
        <f t="shared" si="14"/>
        <v>#N/A</v>
      </c>
      <c r="X30" s="718"/>
      <c r="Y30" s="3299"/>
      <c r="Z30" s="719" t="str">
        <f t="shared" si="15"/>
        <v>项目建筑规模</v>
      </c>
      <c r="AA30" s="1535" t="e">
        <f t="shared" si="3"/>
        <v>#N/A</v>
      </c>
      <c r="AB30" s="1535" t="e">
        <f t="shared" si="4"/>
        <v>#N/A</v>
      </c>
      <c r="AC30" s="1535"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299"/>
      <c r="Q31" s="1534" t="str">
        <f t="shared" si="11"/>
        <v>建筑结构</v>
      </c>
      <c r="R31" s="713" t="s">
        <v>17</v>
      </c>
      <c r="S31" s="714">
        <f t="shared" si="12"/>
        <v>100</v>
      </c>
      <c r="T31" s="713" t="s">
        <v>17</v>
      </c>
      <c r="U31" s="714">
        <f t="shared" si="13"/>
        <v>100</v>
      </c>
      <c r="V31" s="713" t="s">
        <v>17</v>
      </c>
      <c r="W31" s="714">
        <f t="shared" si="14"/>
        <v>100</v>
      </c>
      <c r="X31" s="1537"/>
      <c r="Y31" s="3299"/>
      <c r="Z31" s="1538" t="str">
        <f t="shared" si="15"/>
        <v>建筑结构</v>
      </c>
      <c r="AA31" s="1535">
        <f t="shared" si="3"/>
        <v>1</v>
      </c>
      <c r="AB31" s="1535">
        <f t="shared" si="4"/>
        <v>1</v>
      </c>
      <c r="AC31" s="1535">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299"/>
      <c r="Q32" s="1534" t="str">
        <f t="shared" si="11"/>
        <v>公共部分装修</v>
      </c>
      <c r="R32" s="713" t="s">
        <v>17</v>
      </c>
      <c r="S32" s="714">
        <f t="shared" si="12"/>
        <v>100</v>
      </c>
      <c r="T32" s="713" t="s">
        <v>17</v>
      </c>
      <c r="U32" s="714">
        <f t="shared" si="13"/>
        <v>100</v>
      </c>
      <c r="V32" s="713" t="s">
        <v>17</v>
      </c>
      <c r="W32" s="714">
        <f t="shared" si="14"/>
        <v>100</v>
      </c>
      <c r="X32" s="1537"/>
      <c r="Y32" s="3299"/>
      <c r="Z32" s="1538" t="str">
        <f t="shared" si="15"/>
        <v>公共部分装修</v>
      </c>
      <c r="AA32" s="1535">
        <f t="shared" si="3"/>
        <v>1</v>
      </c>
      <c r="AB32" s="1535">
        <f t="shared" si="4"/>
        <v>1</v>
      </c>
      <c r="AC32" s="1535">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299"/>
      <c r="Q33" s="1534" t="str">
        <f t="shared" si="11"/>
        <v>成新度</v>
      </c>
      <c r="R33" s="713" t="s">
        <v>17</v>
      </c>
      <c r="S33" s="714" t="e">
        <f t="shared" si="12"/>
        <v>#N/A</v>
      </c>
      <c r="T33" s="713" t="s">
        <v>17</v>
      </c>
      <c r="U33" s="714" t="e">
        <f t="shared" si="13"/>
        <v>#N/A</v>
      </c>
      <c r="V33" s="713" t="s">
        <v>17</v>
      </c>
      <c r="W33" s="714" t="e">
        <f t="shared" si="14"/>
        <v>#N/A</v>
      </c>
      <c r="X33" s="1537"/>
      <c r="Y33" s="3299"/>
      <c r="Z33" s="1538" t="str">
        <f t="shared" si="15"/>
        <v>成新度</v>
      </c>
      <c r="AA33" s="1535" t="e">
        <f t="shared" si="3"/>
        <v>#N/A</v>
      </c>
      <c r="AB33" s="1535" t="e">
        <f t="shared" si="4"/>
        <v>#N/A</v>
      </c>
      <c r="AC33" s="1535"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299"/>
      <c r="Q34" s="1525" t="str">
        <f t="shared" si="11"/>
        <v>物业管理</v>
      </c>
      <c r="R34" s="709" t="s">
        <v>17</v>
      </c>
      <c r="S34" s="710">
        <f t="shared" si="12"/>
        <v>100</v>
      </c>
      <c r="T34" s="709" t="s">
        <v>17</v>
      </c>
      <c r="U34" s="710">
        <f t="shared" si="13"/>
        <v>100</v>
      </c>
      <c r="V34" s="709" t="s">
        <v>17</v>
      </c>
      <c r="W34" s="710">
        <f t="shared" si="14"/>
        <v>100</v>
      </c>
      <c r="X34" s="711"/>
      <c r="Y34" s="3299"/>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299" t="s">
        <v>2386</v>
      </c>
      <c r="Q35" s="1534" t="str">
        <f t="shared" si="11"/>
        <v>市政基础设施</v>
      </c>
      <c r="R35" s="713" t="s">
        <v>17</v>
      </c>
      <c r="S35" s="714">
        <f t="shared" si="12"/>
        <v>100</v>
      </c>
      <c r="T35" s="713" t="s">
        <v>17</v>
      </c>
      <c r="U35" s="714">
        <f t="shared" si="13"/>
        <v>100</v>
      </c>
      <c r="V35" s="713" t="s">
        <v>17</v>
      </c>
      <c r="W35" s="714">
        <f t="shared" si="14"/>
        <v>100</v>
      </c>
      <c r="X35" s="1537"/>
      <c r="Y35" s="3299" t="s">
        <v>2386</v>
      </c>
      <c r="Z35" s="1538" t="str">
        <f t="shared" si="15"/>
        <v>市政基础设施</v>
      </c>
      <c r="AA35" s="1535">
        <f t="shared" si="3"/>
        <v>1</v>
      </c>
      <c r="AB35" s="1535">
        <f t="shared" si="4"/>
        <v>1</v>
      </c>
      <c r="AC35" s="1535">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299"/>
      <c r="Q36" s="1534" t="str">
        <f t="shared" si="11"/>
        <v>内部装修</v>
      </c>
      <c r="R36" s="713" t="s">
        <v>17</v>
      </c>
      <c r="S36" s="714">
        <f t="shared" si="12"/>
        <v>100</v>
      </c>
      <c r="T36" s="713" t="s">
        <v>17</v>
      </c>
      <c r="U36" s="714">
        <f t="shared" si="13"/>
        <v>100</v>
      </c>
      <c r="V36" s="713" t="s">
        <v>17</v>
      </c>
      <c r="W36" s="714">
        <f t="shared" si="14"/>
        <v>100</v>
      </c>
      <c r="X36" s="1537"/>
      <c r="Y36" s="3299"/>
      <c r="Z36" s="1538" t="str">
        <f t="shared" si="15"/>
        <v>内部装修</v>
      </c>
      <c r="AA36" s="1535">
        <f t="shared" si="3"/>
        <v>1</v>
      </c>
      <c r="AB36" s="1535">
        <f t="shared" si="4"/>
        <v>1</v>
      </c>
      <c r="AC36" s="1535">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299"/>
      <c r="Q37" s="1534" t="str">
        <f t="shared" si="11"/>
        <v>内部装修状况</v>
      </c>
      <c r="R37" s="713" t="s">
        <v>17</v>
      </c>
      <c r="S37" s="714">
        <f t="shared" si="12"/>
        <v>100</v>
      </c>
      <c r="T37" s="713" t="s">
        <v>17</v>
      </c>
      <c r="U37" s="714">
        <f t="shared" si="13"/>
        <v>100</v>
      </c>
      <c r="V37" s="713" t="s">
        <v>17</v>
      </c>
      <c r="W37" s="714">
        <f t="shared" si="14"/>
        <v>100</v>
      </c>
      <c r="X37" s="1537"/>
      <c r="Y37" s="3299"/>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299"/>
      <c r="Q38" s="715">
        <f t="shared" si="11"/>
        <v>111</v>
      </c>
      <c r="R38" s="716" t="s">
        <v>17</v>
      </c>
      <c r="S38" s="717">
        <f t="shared" si="12"/>
        <v>100</v>
      </c>
      <c r="T38" s="716" t="s">
        <v>17</v>
      </c>
      <c r="U38" s="717">
        <f t="shared" si="13"/>
        <v>100</v>
      </c>
      <c r="V38" s="716" t="s">
        <v>17</v>
      </c>
      <c r="W38" s="717">
        <f t="shared" si="14"/>
        <v>100</v>
      </c>
      <c r="X38" s="718"/>
      <c r="Y38" s="3299"/>
      <c r="Z38" s="719">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299"/>
      <c r="Q39" s="1534">
        <f t="shared" si="11"/>
        <v>111</v>
      </c>
      <c r="R39" s="713" t="s">
        <v>17</v>
      </c>
      <c r="S39" s="714">
        <f t="shared" si="12"/>
        <v>100</v>
      </c>
      <c r="T39" s="713" t="s">
        <v>17</v>
      </c>
      <c r="U39" s="714">
        <f t="shared" si="13"/>
        <v>100</v>
      </c>
      <c r="V39" s="713" t="s">
        <v>17</v>
      </c>
      <c r="W39" s="714">
        <f t="shared" si="14"/>
        <v>100</v>
      </c>
      <c r="X39" s="1537"/>
      <c r="Y39" s="3299"/>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40"/>
      <c r="Q40" s="1534">
        <f t="shared" si="11"/>
        <v>111</v>
      </c>
      <c r="R40" s="713" t="s">
        <v>17</v>
      </c>
      <c r="S40" s="714">
        <f t="shared" si="12"/>
        <v>100</v>
      </c>
      <c r="T40" s="713" t="s">
        <v>17</v>
      </c>
      <c r="U40" s="714">
        <f t="shared" si="13"/>
        <v>100</v>
      </c>
      <c r="V40" s="713" t="s">
        <v>17</v>
      </c>
      <c r="W40" s="714">
        <f t="shared" si="14"/>
        <v>100</v>
      </c>
      <c r="X40" s="1537"/>
      <c r="Y40" s="3340"/>
      <c r="Z40" s="1538">
        <f t="shared" si="15"/>
        <v>111</v>
      </c>
      <c r="AA40" s="1535">
        <f t="shared" si="3"/>
        <v>1</v>
      </c>
      <c r="AB40" s="1535">
        <f t="shared" si="4"/>
        <v>1</v>
      </c>
      <c r="AC40" s="1535">
        <f t="shared" si="5"/>
        <v>1</v>
      </c>
    </row>
    <row r="41" spans="1:29" ht="15">
      <c r="A41" s="437" t="s">
        <v>2398</v>
      </c>
      <c r="B41" s="438"/>
      <c r="C41" s="1314" t="s">
        <v>1</v>
      </c>
      <c r="D41" s="1315"/>
      <c r="E41" s="1316"/>
      <c r="F41" s="1317"/>
      <c r="G41" s="1318"/>
      <c r="H41" s="1319"/>
      <c r="I41" s="1316"/>
      <c r="J41" s="1319"/>
      <c r="K41" s="722"/>
      <c r="L41" s="1056"/>
      <c r="M41" s="1057"/>
      <c r="N41" s="1044"/>
      <c r="O41" s="1057"/>
      <c r="P41" s="3281" t="str">
        <f>A41</f>
        <v>成交单价（元/平方米）</v>
      </c>
      <c r="Q41" s="3281"/>
      <c r="R41" s="3336">
        <f>E41</f>
        <v>0</v>
      </c>
      <c r="S41" s="3336"/>
      <c r="T41" s="3336">
        <f>G41</f>
        <v>0</v>
      </c>
      <c r="U41" s="3336"/>
      <c r="V41" s="3336">
        <f>I41</f>
        <v>0</v>
      </c>
      <c r="W41" s="3336"/>
      <c r="X41" s="698"/>
      <c r="Y41" s="720"/>
      <c r="Z41" s="698"/>
      <c r="AA41" s="698"/>
      <c r="AB41" s="698"/>
      <c r="AC41" s="698"/>
    </row>
    <row r="42" spans="1:29" ht="15.75" thickBot="1">
      <c r="A42" s="444" t="s">
        <v>2490</v>
      </c>
      <c r="B42" s="445"/>
      <c r="C42" s="1320" t="e">
        <f>R43</f>
        <v>#DIV/0!</v>
      </c>
      <c r="D42" s="2536" t="s">
        <v>2881</v>
      </c>
      <c r="E42" s="1321" t="e">
        <f>R42</f>
        <v>#DIV/0!</v>
      </c>
      <c r="F42" s="2537"/>
      <c r="G42" s="1320" t="e">
        <f>T42</f>
        <v>#DIV/0!</v>
      </c>
      <c r="H42" s="2537"/>
      <c r="I42" s="1321" t="e">
        <f>V42</f>
        <v>#DIV/0!</v>
      </c>
      <c r="J42" s="2537"/>
      <c r="K42" s="2539">
        <f>F42+H42+J42</f>
        <v>0</v>
      </c>
      <c r="L42" s="1056"/>
      <c r="M42" s="1057"/>
      <c r="N42" s="1044"/>
      <c r="O42" s="1057"/>
      <c r="P42" s="3281" t="str">
        <f>A42</f>
        <v>比较价值（元/平方米）</v>
      </c>
      <c r="Q42" s="3281"/>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6"/>
      <c r="M43" s="1057"/>
      <c r="N43" s="1057"/>
      <c r="O43" s="1057"/>
      <c r="P43" s="3301" t="str">
        <f>A43</f>
        <v>估价对象XX用房的比较价值（楼面单价，元/平方米）</v>
      </c>
      <c r="Q43" s="3302"/>
      <c r="R43" s="3335" t="e">
        <f>IF(F1="售价",ROUND(IF(D42="简单平均",AVERAGE(R42:V42),R42*F42+T42*H42+V42*J42),0),ROUND(IF(D42="简单平均",AVERAGE(R42:V42),R42*F42+T42*H42+V42*J42),1))</f>
        <v>#DIV/0!</v>
      </c>
      <c r="S43" s="3335"/>
      <c r="T43" s="3335"/>
      <c r="U43" s="3335"/>
      <c r="V43" s="3335"/>
      <c r="W43" s="3335"/>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4" t="str">
        <f>YEAR(C7)&amp;"-"&amp;MONTH(C7)</f>
        <v>2021-8</v>
      </c>
      <c r="D52" s="1345">
        <f>EDATE(C52,-1)</f>
        <v>44378</v>
      </c>
      <c r="E52" s="1345">
        <f t="shared" ref="E52:O52" si="16">EDATE(D52,-1)</f>
        <v>44348</v>
      </c>
      <c r="F52" s="1345">
        <f t="shared" si="16"/>
        <v>44317</v>
      </c>
      <c r="G52" s="1345">
        <f t="shared" si="16"/>
        <v>44287</v>
      </c>
      <c r="H52" s="1345">
        <f t="shared" si="16"/>
        <v>44256</v>
      </c>
      <c r="I52" s="1345">
        <f t="shared" si="16"/>
        <v>44228</v>
      </c>
      <c r="J52" s="1345">
        <f t="shared" si="16"/>
        <v>44197</v>
      </c>
      <c r="K52" s="1345">
        <f t="shared" si="16"/>
        <v>44166</v>
      </c>
      <c r="L52" s="1345">
        <f t="shared" si="16"/>
        <v>44136</v>
      </c>
      <c r="M52" s="1345">
        <f t="shared" si="16"/>
        <v>44105</v>
      </c>
      <c r="N52" s="1345">
        <f t="shared" si="16"/>
        <v>44075</v>
      </c>
      <c r="O52" s="1345">
        <f t="shared" si="16"/>
        <v>44044</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7"/>
      <c r="O54" s="2998"/>
      <c r="P54" s="460"/>
      <c r="Q54" s="460"/>
    </row>
    <row r="55" spans="1:17" s="112" customFormat="1" ht="15">
      <c r="A55" s="477" t="s">
        <v>2371</v>
      </c>
      <c r="B55" s="466"/>
      <c r="C55" s="478" t="s">
        <v>2473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112"/>
      <c r="B87" s="525"/>
      <c r="C87" s="526"/>
      <c r="D87" s="526"/>
      <c r="E87" s="526"/>
      <c r="F87" s="526"/>
      <c r="G87" s="547"/>
      <c r="H87" s="547"/>
      <c r="I87" s="547"/>
      <c r="J87" s="547"/>
      <c r="K87" s="547"/>
      <c r="L87" s="547"/>
      <c r="M87" s="548"/>
      <c r="N87" s="1064"/>
      <c r="O87" s="1064"/>
      <c r="P87" s="44"/>
      <c r="Q87" s="460"/>
    </row>
    <row r="88" spans="1:17">
      <c r="A88" s="483" t="s">
        <v>2384</v>
      </c>
      <c r="B88" s="484" t="s">
        <v>2433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2437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2441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112"/>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61"/>
      <c r="M3" s="2962"/>
      <c r="N3" s="2962"/>
      <c r="O3" s="2962"/>
      <c r="P3" s="1325"/>
      <c r="Q3" s="707"/>
      <c r="R3" s="707"/>
      <c r="S3" s="707"/>
      <c r="T3" s="707"/>
      <c r="U3" s="707"/>
      <c r="V3" s="707"/>
      <c r="W3" s="707"/>
      <c r="X3" s="707"/>
      <c r="Y3" s="707"/>
      <c r="Z3" s="707"/>
      <c r="AA3" s="707"/>
      <c r="AB3" s="724"/>
      <c r="AC3" s="721"/>
    </row>
    <row r="4" spans="1:29" ht="15">
      <c r="A4" s="360" t="s">
        <v>2466</v>
      </c>
      <c r="B4" s="361"/>
      <c r="C4" s="3282" t="s">
        <v>2467</v>
      </c>
      <c r="D4" s="3283"/>
      <c r="E4" s="3284" t="s">
        <v>2468</v>
      </c>
      <c r="F4" s="3285"/>
      <c r="G4" s="3282" t="s">
        <v>2469</v>
      </c>
      <c r="H4" s="3283"/>
      <c r="I4" s="3282" t="s">
        <v>2470</v>
      </c>
      <c r="J4" s="3283"/>
      <c r="K4" s="566" t="s">
        <v>2471</v>
      </c>
      <c r="L4" s="2942"/>
      <c r="M4" s="2943"/>
      <c r="N4" s="2943"/>
      <c r="O4" s="2943"/>
      <c r="P4" s="3286" t="s">
        <v>2472</v>
      </c>
      <c r="Q4" s="3287"/>
      <c r="R4" s="3269" t="s">
        <v>2468</v>
      </c>
      <c r="S4" s="3270"/>
      <c r="T4" s="3269" t="s">
        <v>2469</v>
      </c>
      <c r="U4" s="3270"/>
      <c r="V4" s="3294" t="s">
        <v>2470</v>
      </c>
      <c r="W4" s="3294"/>
      <c r="X4" s="1537"/>
      <c r="Y4" s="3269" t="s">
        <v>2472</v>
      </c>
      <c r="Z4" s="3270"/>
      <c r="AA4" s="3264" t="s">
        <v>2468</v>
      </c>
      <c r="AB4" s="3265" t="s">
        <v>2469</v>
      </c>
      <c r="AC4" s="3264" t="s">
        <v>2470</v>
      </c>
    </row>
    <row r="5" spans="1:29" ht="15">
      <c r="A5" s="363"/>
      <c r="B5" s="364"/>
      <c r="C5" s="3275" t="s">
        <v>2363</v>
      </c>
      <c r="D5" s="3276"/>
      <c r="E5" s="3273" t="s">
        <v>2364</v>
      </c>
      <c r="F5" s="3274"/>
      <c r="G5" s="3275" t="s">
        <v>2365</v>
      </c>
      <c r="H5" s="3276"/>
      <c r="I5" s="3275" t="s">
        <v>2366</v>
      </c>
      <c r="J5" s="3276"/>
      <c r="K5" s="566"/>
      <c r="L5" s="2942"/>
      <c r="M5" s="2943"/>
      <c r="N5" s="2943"/>
      <c r="O5" s="2943"/>
      <c r="P5" s="3288"/>
      <c r="Q5" s="3289"/>
      <c r="R5" s="3271"/>
      <c r="S5" s="3272"/>
      <c r="T5" s="3271"/>
      <c r="U5" s="3272"/>
      <c r="V5" s="3294"/>
      <c r="W5" s="3294"/>
      <c r="X5" s="1537"/>
      <c r="Y5" s="3271"/>
      <c r="Z5" s="3272"/>
      <c r="AA5" s="3265"/>
      <c r="AB5" s="3265"/>
      <c r="AC5" s="3265"/>
    </row>
    <row r="6" spans="1:29" ht="15.75" thickBot="1">
      <c r="A6" s="365"/>
      <c r="B6" s="366"/>
      <c r="C6" s="3277" t="s">
        <v>2367</v>
      </c>
      <c r="D6" s="3278"/>
      <c r="E6" s="3279" t="s">
        <v>2367</v>
      </c>
      <c r="F6" s="3280"/>
      <c r="G6" s="3277" t="s">
        <v>2367</v>
      </c>
      <c r="H6" s="3278"/>
      <c r="I6" s="3277" t="s">
        <v>2367</v>
      </c>
      <c r="J6" s="3278"/>
      <c r="K6" s="566" t="s">
        <v>2368</v>
      </c>
      <c r="L6" s="2942"/>
      <c r="M6" s="2943"/>
      <c r="N6" s="2943"/>
      <c r="O6" s="2943"/>
      <c r="P6" s="3290"/>
      <c r="Q6" s="3291"/>
      <c r="R6" s="3271"/>
      <c r="S6" s="3272"/>
      <c r="T6" s="3292"/>
      <c r="U6" s="3293"/>
      <c r="V6" s="3294"/>
      <c r="W6" s="3294"/>
      <c r="X6" s="1537"/>
      <c r="Y6" s="3292"/>
      <c r="Z6" s="3293"/>
      <c r="AA6" s="3266"/>
      <c r="AB6" s="3266"/>
      <c r="AC6" s="3266"/>
    </row>
    <row r="7" spans="1:29" s="112" customFormat="1" ht="15.75" thickBot="1">
      <c r="A7" s="367" t="s">
        <v>2369</v>
      </c>
      <c r="B7" s="368"/>
      <c r="C7" s="369">
        <f>'数据-取费表'!B2</f>
        <v>44439</v>
      </c>
      <c r="D7" s="370">
        <v>100</v>
      </c>
      <c r="E7" s="371"/>
      <c r="F7" s="372">
        <f>SUMIF(48:48,YEAR(E7)&amp;"-"&amp;MONTH(E7),49:49)</f>
        <v>0</v>
      </c>
      <c r="G7" s="371"/>
      <c r="H7" s="370">
        <f>SUMIF(48:48,YEAR(G7)&amp;"-"&amp;MONTH(G7),49:49)</f>
        <v>0</v>
      </c>
      <c r="I7" s="371"/>
      <c r="J7" s="370">
        <f>SUMIF(48:48,YEAR(I7)&amp;"-"&amp;MONTH(I7),49:49)</f>
        <v>0</v>
      </c>
      <c r="K7" s="567"/>
      <c r="L7" s="2944"/>
      <c r="M7" s="2945"/>
      <c r="N7" s="2945"/>
      <c r="O7" s="2945"/>
      <c r="P7" s="3267" t="s">
        <v>2370</v>
      </c>
      <c r="Q7" s="3295"/>
      <c r="R7" s="709" t="s">
        <v>17</v>
      </c>
      <c r="S7" s="710">
        <f t="shared" ref="S7:S14" si="0">F7</f>
        <v>0</v>
      </c>
      <c r="T7" s="709" t="s">
        <v>17</v>
      </c>
      <c r="U7" s="710">
        <f t="shared" ref="U7:U14" si="1">H7</f>
        <v>0</v>
      </c>
      <c r="V7" s="709" t="s">
        <v>17</v>
      </c>
      <c r="W7" s="710">
        <f t="shared" ref="W7:W14" si="2">J7</f>
        <v>0</v>
      </c>
      <c r="X7" s="711"/>
      <c r="Y7" s="3267" t="s">
        <v>2370</v>
      </c>
      <c r="Z7" s="3268"/>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267" t="s">
        <v>2373</v>
      </c>
      <c r="Q8" s="3268"/>
      <c r="R8" s="709" t="s">
        <v>17</v>
      </c>
      <c r="S8" s="710">
        <f t="shared" si="0"/>
        <v>0</v>
      </c>
      <c r="T8" s="709" t="s">
        <v>17</v>
      </c>
      <c r="U8" s="710">
        <f t="shared" si="1"/>
        <v>0</v>
      </c>
      <c r="V8" s="709" t="s">
        <v>17</v>
      </c>
      <c r="W8" s="710">
        <f t="shared" si="2"/>
        <v>0</v>
      </c>
      <c r="X8" s="711"/>
      <c r="Y8" s="3267" t="s">
        <v>2373</v>
      </c>
      <c r="Z8" s="3268"/>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281" t="s">
        <v>2376</v>
      </c>
      <c r="Q9" s="1525" t="str">
        <f t="shared" ref="Q9:Q14" si="6">B9</f>
        <v>用途</v>
      </c>
      <c r="R9" s="709" t="s">
        <v>17</v>
      </c>
      <c r="S9" s="710">
        <f t="shared" si="0"/>
        <v>100</v>
      </c>
      <c r="T9" s="709" t="s">
        <v>17</v>
      </c>
      <c r="U9" s="710">
        <f t="shared" si="1"/>
        <v>100</v>
      </c>
      <c r="V9" s="709" t="s">
        <v>17</v>
      </c>
      <c r="W9" s="710">
        <f t="shared" si="2"/>
        <v>100</v>
      </c>
      <c r="X9" s="711"/>
      <c r="Y9" s="3237"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281"/>
      <c r="Q10" s="1525"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281"/>
      <c r="Q11" s="1525">
        <f t="shared" si="6"/>
        <v>111</v>
      </c>
      <c r="R11" s="709" t="s">
        <v>17</v>
      </c>
      <c r="S11" s="710">
        <f t="shared" si="0"/>
        <v>100</v>
      </c>
      <c r="T11" s="709" t="s">
        <v>17</v>
      </c>
      <c r="U11" s="710">
        <f t="shared" si="1"/>
        <v>100</v>
      </c>
      <c r="V11" s="709" t="s">
        <v>17</v>
      </c>
      <c r="W11" s="710">
        <f t="shared" si="2"/>
        <v>100</v>
      </c>
      <c r="X11" s="711"/>
      <c r="Y11" s="3237"/>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281"/>
      <c r="Q12" s="1525">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281"/>
      <c r="Q13" s="1525">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85.5">
      <c r="A14" s="360" t="s">
        <v>2380</v>
      </c>
      <c r="B14" s="584" t="s">
        <v>2530</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296" t="s">
        <v>2381</v>
      </c>
      <c r="Q14" s="1534" t="str">
        <f t="shared" si="6"/>
        <v>交通便捷度</v>
      </c>
      <c r="R14" s="713" t="s">
        <v>17</v>
      </c>
      <c r="S14" s="714">
        <f t="shared" si="0"/>
        <v>100</v>
      </c>
      <c r="T14" s="713" t="s">
        <v>17</v>
      </c>
      <c r="U14" s="714">
        <f t="shared" si="1"/>
        <v>100</v>
      </c>
      <c r="V14" s="713" t="s">
        <v>17</v>
      </c>
      <c r="W14" s="714">
        <f t="shared" si="2"/>
        <v>100</v>
      </c>
      <c r="X14" s="1537"/>
      <c r="Y14" s="3296" t="s">
        <v>2381</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9"/>
      <c r="M15" s="2943"/>
      <c r="N15" s="2943"/>
      <c r="O15" s="2943"/>
      <c r="P15" s="3297"/>
      <c r="Q15" s="1534"/>
      <c r="R15" s="713"/>
      <c r="S15" s="714"/>
      <c r="T15" s="713"/>
      <c r="U15" s="714"/>
      <c r="V15" s="713"/>
      <c r="W15" s="714"/>
      <c r="X15" s="1537"/>
      <c r="Y15" s="3297"/>
      <c r="Z15" s="1538"/>
      <c r="AA15" s="1535">
        <v>1</v>
      </c>
      <c r="AB15" s="1535">
        <v>1</v>
      </c>
      <c r="AC15" s="1535">
        <v>1</v>
      </c>
    </row>
    <row r="16" spans="1:29" ht="42.75">
      <c r="A16" s="363"/>
      <c r="B16" s="586" t="s">
        <v>2509</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297"/>
      <c r="Q16" s="1534" t="str">
        <f>B16</f>
        <v>公共配套设施</v>
      </c>
      <c r="R16" s="713" t="s">
        <v>17</v>
      </c>
      <c r="S16" s="714">
        <f>F16</f>
        <v>100</v>
      </c>
      <c r="T16" s="713" t="s">
        <v>17</v>
      </c>
      <c r="U16" s="714">
        <f>H16</f>
        <v>100</v>
      </c>
      <c r="V16" s="713" t="s">
        <v>17</v>
      </c>
      <c r="W16" s="714">
        <f>J16</f>
        <v>100</v>
      </c>
      <c r="X16" s="1537"/>
      <c r="Y16" s="3297"/>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9"/>
      <c r="M17" s="2943"/>
      <c r="N17" s="2943"/>
      <c r="O17" s="2943"/>
      <c r="P17" s="3297"/>
      <c r="Q17" s="1534"/>
      <c r="R17" s="713"/>
      <c r="S17" s="714"/>
      <c r="T17" s="713"/>
      <c r="U17" s="714"/>
      <c r="V17" s="713"/>
      <c r="W17" s="714"/>
      <c r="X17" s="1537"/>
      <c r="Y17" s="3297"/>
      <c r="Z17" s="1538"/>
      <c r="AA17" s="1535">
        <v>1</v>
      </c>
      <c r="AB17" s="1535">
        <v>1</v>
      </c>
      <c r="AC17" s="1535">
        <v>1</v>
      </c>
    </row>
    <row r="18" spans="1:29" ht="28.5">
      <c r="A18" s="363"/>
      <c r="B18" s="588" t="s">
        <v>2510</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297"/>
      <c r="Q18" s="1534" t="str">
        <f>B18</f>
        <v>基础设施水平</v>
      </c>
      <c r="R18" s="713" t="s">
        <v>17</v>
      </c>
      <c r="S18" s="714">
        <f>F18</f>
        <v>100</v>
      </c>
      <c r="T18" s="713" t="s">
        <v>17</v>
      </c>
      <c r="U18" s="714">
        <f>H18</f>
        <v>100</v>
      </c>
      <c r="V18" s="713" t="s">
        <v>17</v>
      </c>
      <c r="W18" s="714">
        <f>J18</f>
        <v>100</v>
      </c>
      <c r="X18" s="1537"/>
      <c r="Y18" s="3297"/>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0"/>
      <c r="L19" s="2949"/>
      <c r="M19" s="2943"/>
      <c r="N19" s="2943"/>
      <c r="O19" s="2943"/>
      <c r="P19" s="3297"/>
      <c r="Q19" s="1534"/>
      <c r="R19" s="713"/>
      <c r="S19" s="714"/>
      <c r="T19" s="713"/>
      <c r="U19" s="714"/>
      <c r="V19" s="713"/>
      <c r="W19" s="714"/>
      <c r="X19" s="1537"/>
      <c r="Y19" s="3297"/>
      <c r="Z19" s="1538"/>
      <c r="AA19" s="1535">
        <v>1</v>
      </c>
      <c r="AB19" s="1535">
        <v>1</v>
      </c>
      <c r="AC19" s="1535">
        <v>1</v>
      </c>
    </row>
    <row r="20" spans="1:29" ht="57">
      <c r="A20" s="363"/>
      <c r="B20" s="586" t="s">
        <v>2531</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297"/>
      <c r="Q20" s="1534" t="str">
        <f>B20</f>
        <v>自然及人文环境</v>
      </c>
      <c r="R20" s="713" t="s">
        <v>17</v>
      </c>
      <c r="S20" s="714">
        <f>F20</f>
        <v>100</v>
      </c>
      <c r="T20" s="713" t="s">
        <v>17</v>
      </c>
      <c r="U20" s="714">
        <f>H20</f>
        <v>100</v>
      </c>
      <c r="V20" s="713" t="s">
        <v>17</v>
      </c>
      <c r="W20" s="714">
        <f>J20</f>
        <v>100</v>
      </c>
      <c r="X20" s="1537"/>
      <c r="Y20" s="3297"/>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9"/>
      <c r="M21" s="2943"/>
      <c r="N21" s="2943"/>
      <c r="O21" s="2943"/>
      <c r="P21" s="3297"/>
      <c r="Q21" s="1534"/>
      <c r="R21" s="713"/>
      <c r="S21" s="714"/>
      <c r="T21" s="713"/>
      <c r="U21" s="714"/>
      <c r="V21" s="713"/>
      <c r="W21" s="714"/>
      <c r="X21" s="1537"/>
      <c r="Y21" s="3297"/>
      <c r="Z21" s="1538"/>
      <c r="AA21" s="1535">
        <v>1</v>
      </c>
      <c r="AB21" s="1535">
        <v>1</v>
      </c>
      <c r="AC21" s="1535">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297"/>
      <c r="Q22" s="1534" t="str">
        <f>B22</f>
        <v>楼层</v>
      </c>
      <c r="R22" s="713" t="s">
        <v>17</v>
      </c>
      <c r="S22" s="714">
        <f>F22</f>
        <v>100</v>
      </c>
      <c r="T22" s="713" t="s">
        <v>17</v>
      </c>
      <c r="U22" s="714">
        <f>H22</f>
        <v>100</v>
      </c>
      <c r="V22" s="713" t="s">
        <v>17</v>
      </c>
      <c r="W22" s="714">
        <f>J22</f>
        <v>100</v>
      </c>
      <c r="X22" s="1537"/>
      <c r="Y22" s="3297"/>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297"/>
      <c r="Q23" s="1534">
        <f>B23</f>
        <v>111</v>
      </c>
      <c r="R23" s="713" t="s">
        <v>17</v>
      </c>
      <c r="S23" s="714">
        <f>F23</f>
        <v>100</v>
      </c>
      <c r="T23" s="713" t="s">
        <v>17</v>
      </c>
      <c r="U23" s="714">
        <f>H23</f>
        <v>100</v>
      </c>
      <c r="V23" s="713" t="s">
        <v>17</v>
      </c>
      <c r="W23" s="714">
        <f>J23</f>
        <v>100</v>
      </c>
      <c r="X23" s="1537"/>
      <c r="Y23" s="3297"/>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297"/>
      <c r="Q24" s="1534">
        <f t="shared" ref="Q24:Q36" si="11">B24</f>
        <v>111</v>
      </c>
      <c r="R24" s="713" t="s">
        <v>17</v>
      </c>
      <c r="S24" s="714">
        <f>F24</f>
        <v>100</v>
      </c>
      <c r="T24" s="713" t="s">
        <v>17</v>
      </c>
      <c r="U24" s="714">
        <f>H24</f>
        <v>100</v>
      </c>
      <c r="V24" s="713" t="s">
        <v>17</v>
      </c>
      <c r="W24" s="714">
        <f>J24</f>
        <v>100</v>
      </c>
      <c r="X24" s="1537"/>
      <c r="Y24" s="3297"/>
      <c r="Z24" s="1538">
        <f>Q24</f>
        <v>111</v>
      </c>
      <c r="AA24" s="1535">
        <f t="shared" si="3"/>
        <v>1</v>
      </c>
      <c r="AB24" s="1535">
        <f t="shared" si="4"/>
        <v>1</v>
      </c>
      <c r="AC24" s="153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297"/>
      <c r="Q25" s="1525">
        <f t="shared" si="11"/>
        <v>111</v>
      </c>
      <c r="R25" s="709" t="s">
        <v>17</v>
      </c>
      <c r="S25" s="710">
        <f>F25</f>
        <v>100</v>
      </c>
      <c r="T25" s="709" t="s">
        <v>17</v>
      </c>
      <c r="U25" s="710">
        <f>H25</f>
        <v>100</v>
      </c>
      <c r="V25" s="709" t="s">
        <v>17</v>
      </c>
      <c r="W25" s="710">
        <f>J25</f>
        <v>100</v>
      </c>
      <c r="X25" s="711"/>
      <c r="Y25" s="3297"/>
      <c r="Z25" s="54">
        <f>Q25</f>
        <v>111</v>
      </c>
      <c r="AA25" s="1535">
        <f>D25/F25</f>
        <v>1</v>
      </c>
      <c r="AB25" s="1535">
        <f>D25/H25</f>
        <v>1</v>
      </c>
      <c r="AC25" s="1535">
        <f>D25/J25</f>
        <v>1</v>
      </c>
    </row>
    <row r="26" spans="1:29" ht="28.5">
      <c r="A26" s="607" t="s">
        <v>2384</v>
      </c>
      <c r="B26" s="65" t="s">
        <v>2533</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298"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299" t="s">
        <v>2386</v>
      </c>
      <c r="Z26" s="1538" t="str">
        <f t="shared" ref="Z26:Z36" si="15">Q26</f>
        <v>配套类型</v>
      </c>
      <c r="AA26" s="1535">
        <f t="shared" si="3"/>
        <v>1</v>
      </c>
      <c r="AB26" s="1535">
        <f t="shared" si="4"/>
        <v>1</v>
      </c>
      <c r="AC26" s="1535">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299"/>
      <c r="Q27" s="715" t="str">
        <f t="shared" si="11"/>
        <v>项目停车位配比</v>
      </c>
      <c r="R27" s="716" t="s">
        <v>17</v>
      </c>
      <c r="S27" s="717">
        <f t="shared" si="12"/>
        <v>100</v>
      </c>
      <c r="T27" s="716" t="s">
        <v>17</v>
      </c>
      <c r="U27" s="717">
        <f t="shared" si="13"/>
        <v>100</v>
      </c>
      <c r="V27" s="716" t="s">
        <v>17</v>
      </c>
      <c r="W27" s="717">
        <f t="shared" si="14"/>
        <v>100</v>
      </c>
      <c r="X27" s="718"/>
      <c r="Y27" s="3299"/>
      <c r="Z27" s="719" t="str">
        <f t="shared" si="15"/>
        <v>项目停车位配比</v>
      </c>
      <c r="AA27" s="1535">
        <f t="shared" si="3"/>
        <v>1</v>
      </c>
      <c r="AB27" s="1535">
        <f t="shared" si="4"/>
        <v>1</v>
      </c>
      <c r="AC27" s="1535">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299"/>
      <c r="Q28" s="1534" t="str">
        <f t="shared" si="11"/>
        <v>公共部分装修</v>
      </c>
      <c r="R28" s="713" t="s">
        <v>17</v>
      </c>
      <c r="S28" s="714">
        <f t="shared" si="12"/>
        <v>100</v>
      </c>
      <c r="T28" s="713" t="s">
        <v>17</v>
      </c>
      <c r="U28" s="714">
        <f t="shared" si="13"/>
        <v>100</v>
      </c>
      <c r="V28" s="713" t="s">
        <v>17</v>
      </c>
      <c r="W28" s="714">
        <f t="shared" si="14"/>
        <v>100</v>
      </c>
      <c r="X28" s="1537"/>
      <c r="Y28" s="3299"/>
      <c r="Z28" s="1538" t="str">
        <f t="shared" si="15"/>
        <v>公共部分装修</v>
      </c>
      <c r="AA28" s="1535">
        <f t="shared" si="3"/>
        <v>1</v>
      </c>
      <c r="AB28" s="1535">
        <f t="shared" si="4"/>
        <v>1</v>
      </c>
      <c r="AC28" s="1535">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299"/>
      <c r="Q29" s="1534" t="str">
        <f t="shared" si="11"/>
        <v>成新率</v>
      </c>
      <c r="R29" s="713" t="s">
        <v>17</v>
      </c>
      <c r="S29" s="714" t="e">
        <f t="shared" si="12"/>
        <v>#N/A</v>
      </c>
      <c r="T29" s="713" t="s">
        <v>17</v>
      </c>
      <c r="U29" s="714" t="e">
        <f t="shared" si="13"/>
        <v>#N/A</v>
      </c>
      <c r="V29" s="713" t="s">
        <v>17</v>
      </c>
      <c r="W29" s="714" t="e">
        <f t="shared" si="14"/>
        <v>#N/A</v>
      </c>
      <c r="X29" s="1537"/>
      <c r="Y29" s="3299"/>
      <c r="Z29" s="1538" t="str">
        <f t="shared" si="15"/>
        <v>成新率</v>
      </c>
      <c r="AA29" s="1535" t="e">
        <f t="shared" si="3"/>
        <v>#N/A</v>
      </c>
      <c r="AB29" s="1535" t="e">
        <f t="shared" si="4"/>
        <v>#N/A</v>
      </c>
      <c r="AC29" s="1535"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299"/>
      <c r="Q30" s="1534" t="str">
        <f t="shared" si="11"/>
        <v>物业等级</v>
      </c>
      <c r="R30" s="713" t="s">
        <v>17</v>
      </c>
      <c r="S30" s="714">
        <f t="shared" si="12"/>
        <v>100</v>
      </c>
      <c r="T30" s="713" t="s">
        <v>17</v>
      </c>
      <c r="U30" s="714">
        <f t="shared" si="13"/>
        <v>100</v>
      </c>
      <c r="V30" s="713" t="s">
        <v>17</v>
      </c>
      <c r="W30" s="714">
        <f t="shared" si="14"/>
        <v>100</v>
      </c>
      <c r="X30" s="1537"/>
      <c r="Y30" s="3299"/>
      <c r="Z30" s="1538" t="str">
        <f t="shared" si="15"/>
        <v>物业等级</v>
      </c>
      <c r="AA30" s="1535">
        <f t="shared" si="3"/>
        <v>1</v>
      </c>
      <c r="AB30" s="1535">
        <f t="shared" si="4"/>
        <v>1</v>
      </c>
      <c r="AC30" s="1535">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299"/>
      <c r="Q31" s="1525" t="str">
        <f t="shared" si="11"/>
        <v>停车位面积</v>
      </c>
      <c r="R31" s="709" t="s">
        <v>17</v>
      </c>
      <c r="S31" s="710" t="e">
        <f t="shared" si="12"/>
        <v>#N/A</v>
      </c>
      <c r="T31" s="709" t="s">
        <v>17</v>
      </c>
      <c r="U31" s="710" t="e">
        <f t="shared" si="13"/>
        <v>#N/A</v>
      </c>
      <c r="V31" s="709" t="s">
        <v>17</v>
      </c>
      <c r="W31" s="710" t="e">
        <f t="shared" si="14"/>
        <v>#N/A</v>
      </c>
      <c r="X31" s="711"/>
      <c r="Y31" s="3299"/>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299" t="s">
        <v>2386</v>
      </c>
      <c r="Q32" s="1534" t="str">
        <f t="shared" si="11"/>
        <v>车位类型</v>
      </c>
      <c r="R32" s="713" t="s">
        <v>17</v>
      </c>
      <c r="S32" s="714">
        <f t="shared" si="12"/>
        <v>100</v>
      </c>
      <c r="T32" s="713" t="s">
        <v>17</v>
      </c>
      <c r="U32" s="714">
        <f t="shared" si="13"/>
        <v>100</v>
      </c>
      <c r="V32" s="713" t="s">
        <v>17</v>
      </c>
      <c r="W32" s="714">
        <f t="shared" si="14"/>
        <v>100</v>
      </c>
      <c r="X32" s="1537"/>
      <c r="Y32" s="3299" t="s">
        <v>2386</v>
      </c>
      <c r="Z32" s="1538" t="str">
        <f t="shared" si="15"/>
        <v>车位类型</v>
      </c>
      <c r="AA32" s="1535">
        <f t="shared" si="3"/>
        <v>1</v>
      </c>
      <c r="AB32" s="1535">
        <f t="shared" si="4"/>
        <v>1</v>
      </c>
      <c r="AC32" s="1535">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299"/>
      <c r="Q33" s="1534" t="str">
        <f t="shared" si="11"/>
        <v>是否直接入户</v>
      </c>
      <c r="R33" s="713" t="s">
        <v>17</v>
      </c>
      <c r="S33" s="714">
        <f t="shared" si="12"/>
        <v>100</v>
      </c>
      <c r="T33" s="713" t="s">
        <v>17</v>
      </c>
      <c r="U33" s="714">
        <f t="shared" si="13"/>
        <v>100</v>
      </c>
      <c r="V33" s="713" t="s">
        <v>17</v>
      </c>
      <c r="W33" s="714">
        <f t="shared" si="14"/>
        <v>100</v>
      </c>
      <c r="X33" s="1537"/>
      <c r="Y33" s="3299"/>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299"/>
      <c r="Q34" s="1534">
        <f t="shared" si="11"/>
        <v>111</v>
      </c>
      <c r="R34" s="713" t="s">
        <v>17</v>
      </c>
      <c r="S34" s="714">
        <f t="shared" si="12"/>
        <v>100</v>
      </c>
      <c r="T34" s="713" t="s">
        <v>17</v>
      </c>
      <c r="U34" s="714">
        <f t="shared" si="13"/>
        <v>100</v>
      </c>
      <c r="V34" s="713" t="s">
        <v>17</v>
      </c>
      <c r="W34" s="714">
        <f t="shared" si="14"/>
        <v>100</v>
      </c>
      <c r="X34" s="1537"/>
      <c r="Y34" s="3299"/>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299"/>
      <c r="Q35" s="715">
        <f t="shared" si="11"/>
        <v>111</v>
      </c>
      <c r="R35" s="716" t="s">
        <v>17</v>
      </c>
      <c r="S35" s="717">
        <f t="shared" si="12"/>
        <v>100</v>
      </c>
      <c r="T35" s="716" t="s">
        <v>17</v>
      </c>
      <c r="U35" s="717">
        <f t="shared" si="13"/>
        <v>100</v>
      </c>
      <c r="V35" s="716" t="s">
        <v>17</v>
      </c>
      <c r="W35" s="717">
        <f t="shared" si="14"/>
        <v>100</v>
      </c>
      <c r="X35" s="718"/>
      <c r="Y35" s="3299"/>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299"/>
      <c r="Q36" s="1534">
        <f t="shared" si="11"/>
        <v>111</v>
      </c>
      <c r="R36" s="713" t="s">
        <v>17</v>
      </c>
      <c r="S36" s="714">
        <f t="shared" si="12"/>
        <v>100</v>
      </c>
      <c r="T36" s="713" t="s">
        <v>17</v>
      </c>
      <c r="U36" s="714">
        <f t="shared" si="13"/>
        <v>100</v>
      </c>
      <c r="V36" s="713" t="s">
        <v>17</v>
      </c>
      <c r="W36" s="714">
        <f t="shared" si="14"/>
        <v>100</v>
      </c>
      <c r="X36" s="1537"/>
      <c r="Y36" s="3299"/>
      <c r="Z36" s="1538">
        <f t="shared" si="15"/>
        <v>111</v>
      </c>
      <c r="AA36" s="1535">
        <f t="shared" si="3"/>
        <v>1</v>
      </c>
      <c r="AB36" s="1535">
        <f t="shared" si="4"/>
        <v>1</v>
      </c>
      <c r="AC36" s="1535">
        <f t="shared" si="5"/>
        <v>1</v>
      </c>
    </row>
    <row r="37" spans="1:29" ht="15">
      <c r="A37" s="437" t="s">
        <v>2541</v>
      </c>
      <c r="B37" s="2157" t="s">
        <v>2542</v>
      </c>
      <c r="C37" s="1314" t="s">
        <v>1</v>
      </c>
      <c r="D37" s="1315"/>
      <c r="E37" s="1316"/>
      <c r="F37" s="1317"/>
      <c r="G37" s="1318"/>
      <c r="H37" s="1319"/>
      <c r="I37" s="1316"/>
      <c r="J37" s="1319"/>
      <c r="K37" s="575"/>
      <c r="L37" s="2951"/>
      <c r="M37" s="2952"/>
      <c r="N37" s="2943"/>
      <c r="O37" s="2952"/>
      <c r="P37" s="3281" t="str">
        <f>A37</f>
        <v>成交单价</v>
      </c>
      <c r="Q37" s="3281"/>
      <c r="R37" s="3336">
        <f>E37</f>
        <v>0</v>
      </c>
      <c r="S37" s="3336"/>
      <c r="T37" s="3336">
        <f>G37</f>
        <v>0</v>
      </c>
      <c r="U37" s="3336"/>
      <c r="V37" s="3336">
        <f>I37</f>
        <v>0</v>
      </c>
      <c r="W37" s="3336"/>
      <c r="X37" s="698"/>
      <c r="Y37" s="720"/>
      <c r="Z37" s="698"/>
      <c r="AA37" s="698"/>
      <c r="AB37" s="698"/>
      <c r="AC37" s="698"/>
    </row>
    <row r="38" spans="1:29" ht="15.75" thickBot="1">
      <c r="A38" s="444" t="s">
        <v>2543</v>
      </c>
      <c r="B38" s="445" t="str">
        <f>B37</f>
        <v>元/车位</v>
      </c>
      <c r="C38" s="1320" t="e">
        <f>R39</f>
        <v>#DIV/0!</v>
      </c>
      <c r="D38" s="2536" t="s">
        <v>2881</v>
      </c>
      <c r="E38" s="1321" t="e">
        <f>R38</f>
        <v>#DIV/0!</v>
      </c>
      <c r="F38" s="2537"/>
      <c r="G38" s="1320" t="e">
        <f>T38</f>
        <v>#DIV/0!</v>
      </c>
      <c r="H38" s="2537"/>
      <c r="I38" s="1321" t="e">
        <f>V38</f>
        <v>#DIV/0!</v>
      </c>
      <c r="J38" s="2537"/>
      <c r="K38" s="2539">
        <f>F38+H38+J38</f>
        <v>0</v>
      </c>
      <c r="L38" s="2951"/>
      <c r="M38" s="2952"/>
      <c r="N38" s="2952"/>
      <c r="O38" s="2952"/>
      <c r="P38" s="3281" t="str">
        <f>A38</f>
        <v>比较价值（元/平方米）</v>
      </c>
      <c r="Q38" s="3281"/>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1"/>
      <c r="M39" s="2952"/>
      <c r="N39" s="2952"/>
      <c r="O39" s="2952"/>
      <c r="P39" s="3301" t="str">
        <f>A39</f>
        <v>估价对象XX用房的比较价值（楼面单价，元/平方米）</v>
      </c>
      <c r="Q39" s="3302"/>
      <c r="R39" s="3358" t="e">
        <f>IF(F1="售价",ROUND(IF(D38="简单平均",AVERAGE(R38:W38),R38*F38+T38*H38+V38*J38),0),ROUND(IF(D38="简单平均",AVERAGE(R38:V38),R38*F38+T38*H38+V38*J38),1))</f>
        <v>#DIV/0!</v>
      </c>
      <c r="S39" s="3358"/>
      <c r="T39" s="3358"/>
      <c r="U39" s="3358"/>
      <c r="V39" s="3358"/>
      <c r="W39" s="3358"/>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7"/>
      <c r="C47" s="1070"/>
      <c r="D47" s="1070"/>
      <c r="E47" s="1070"/>
      <c r="F47" s="1327"/>
      <c r="G47" s="1327"/>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2549</v>
      </c>
      <c r="B48" s="462"/>
      <c r="C48" s="1344" t="str">
        <f>YEAR(C7)&amp;"-"&amp;MONTH(C7)</f>
        <v>2021-8</v>
      </c>
      <c r="D48" s="1345">
        <f>EDATE(C48,-1)</f>
        <v>44378</v>
      </c>
      <c r="E48" s="1345">
        <f t="shared" ref="E48:O48" si="16">EDATE(D48,-1)</f>
        <v>44348</v>
      </c>
      <c r="F48" s="1345">
        <f t="shared" si="16"/>
        <v>44317</v>
      </c>
      <c r="G48" s="1345">
        <f t="shared" si="16"/>
        <v>44287</v>
      </c>
      <c r="H48" s="1345">
        <f t="shared" si="16"/>
        <v>44256</v>
      </c>
      <c r="I48" s="1345">
        <f t="shared" si="16"/>
        <v>44228</v>
      </c>
      <c r="J48" s="1345">
        <f t="shared" si="16"/>
        <v>44197</v>
      </c>
      <c r="K48" s="1345">
        <f t="shared" si="16"/>
        <v>44166</v>
      </c>
      <c r="L48" s="1345">
        <f t="shared" si="16"/>
        <v>44136</v>
      </c>
      <c r="M48" s="1345">
        <f t="shared" si="16"/>
        <v>44105</v>
      </c>
      <c r="N48" s="1345">
        <f t="shared" si="16"/>
        <v>44075</v>
      </c>
      <c r="O48" s="1345">
        <f t="shared" si="16"/>
        <v>44044</v>
      </c>
      <c r="P48" s="2986"/>
      <c r="Q48" s="2968"/>
      <c r="R48" s="2968"/>
      <c r="S48" s="2968"/>
      <c r="T48" s="2968"/>
      <c r="U48" s="2968"/>
      <c r="V48" s="2968"/>
      <c r="W48" s="2968"/>
      <c r="X48" s="2968"/>
      <c r="Y48" s="2968"/>
      <c r="Z48" s="2968"/>
      <c r="AA48" s="2968"/>
      <c r="AB48" s="2968"/>
      <c r="AC48" s="2968"/>
    </row>
    <row r="49" spans="1:29" s="112" customFormat="1" ht="15">
      <c r="A49" s="465"/>
      <c r="B49" s="466"/>
      <c r="C49" s="1337">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2" customFormat="1" ht="15.75" thickBot="1">
      <c r="A50" s="471" t="s">
        <v>2406</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2" customFormat="1" ht="15">
      <c r="A51" s="477" t="s">
        <v>2371</v>
      </c>
      <c r="B51" s="466"/>
      <c r="C51" s="478" t="s">
        <v>2473</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2"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2409</v>
      </c>
      <c r="B53" s="484" t="s">
        <v>2375</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2424</v>
      </c>
      <c r="C65" s="534" t="s">
        <v>2418</v>
      </c>
      <c r="D65" s="534" t="s">
        <v>2419</v>
      </c>
      <c r="E65" s="534" t="s">
        <v>2420</v>
      </c>
      <c r="F65" s="534" t="s">
        <v>2421</v>
      </c>
      <c r="G65" s="534" t="s">
        <v>2422</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2510</v>
      </c>
      <c r="C67" s="615" t="s">
        <v>2496</v>
      </c>
      <c r="D67" s="615" t="s">
        <v>2497</v>
      </c>
      <c r="E67" s="615" t="s">
        <v>2498</v>
      </c>
      <c r="F67" s="615" t="s">
        <v>2499</v>
      </c>
      <c r="G67" s="615" t="s">
        <v>2500</v>
      </c>
      <c r="H67" s="495"/>
      <c r="I67" s="495"/>
      <c r="J67" s="495"/>
      <c r="K67" s="495"/>
      <c r="L67" s="495"/>
      <c r="M67" s="1289"/>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2430</v>
      </c>
      <c r="C69" s="534" t="s">
        <v>2418</v>
      </c>
      <c r="D69" s="534" t="s">
        <v>2419</v>
      </c>
      <c r="E69" s="534" t="s">
        <v>2420</v>
      </c>
      <c r="F69" s="534" t="s">
        <v>2421</v>
      </c>
      <c r="G69" s="534" t="s">
        <v>2422</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2550</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2"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2"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2"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2"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2384</v>
      </c>
      <c r="B79" s="484" t="s">
        <v>2551</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2552</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2437</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2554</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2556</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2557</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82" t="s">
        <v>2467</v>
      </c>
      <c r="D4" s="3283"/>
      <c r="E4" s="3284" t="s">
        <v>2468</v>
      </c>
      <c r="F4" s="3285"/>
      <c r="G4" s="3282" t="s">
        <v>2469</v>
      </c>
      <c r="H4" s="3283"/>
      <c r="I4" s="3282" t="s">
        <v>2470</v>
      </c>
      <c r="J4" s="3283"/>
      <c r="K4" s="566" t="s">
        <v>2471</v>
      </c>
      <c r="L4" s="2942"/>
      <c r="M4" s="2943"/>
      <c r="N4" s="2943"/>
      <c r="O4" s="2943"/>
      <c r="P4" s="3286" t="s">
        <v>2472</v>
      </c>
      <c r="Q4" s="3287"/>
      <c r="R4" s="3269" t="s">
        <v>2468</v>
      </c>
      <c r="S4" s="3270"/>
      <c r="T4" s="3269" t="s">
        <v>2469</v>
      </c>
      <c r="U4" s="3270"/>
      <c r="V4" s="3294" t="s">
        <v>2470</v>
      </c>
      <c r="W4" s="3294"/>
      <c r="X4" s="1537"/>
      <c r="Y4" s="3269" t="s">
        <v>2472</v>
      </c>
      <c r="Z4" s="3270"/>
      <c r="AA4" s="3264" t="s">
        <v>2468</v>
      </c>
      <c r="AB4" s="3265" t="s">
        <v>2469</v>
      </c>
      <c r="AC4" s="3264" t="s">
        <v>2470</v>
      </c>
    </row>
    <row r="5" spans="1:29" ht="15">
      <c r="A5" s="363"/>
      <c r="B5" s="364"/>
      <c r="C5" s="3275" t="s">
        <v>2363</v>
      </c>
      <c r="D5" s="3276"/>
      <c r="E5" s="3273" t="s">
        <v>2364</v>
      </c>
      <c r="F5" s="3274"/>
      <c r="G5" s="3275" t="s">
        <v>2365</v>
      </c>
      <c r="H5" s="3276"/>
      <c r="I5" s="3275" t="s">
        <v>2366</v>
      </c>
      <c r="J5" s="3276"/>
      <c r="K5" s="566"/>
      <c r="L5" s="2942"/>
      <c r="M5" s="2943"/>
      <c r="N5" s="2943"/>
      <c r="O5" s="2943"/>
      <c r="P5" s="3288"/>
      <c r="Q5" s="3289"/>
      <c r="R5" s="3271"/>
      <c r="S5" s="3272"/>
      <c r="T5" s="3271"/>
      <c r="U5" s="3272"/>
      <c r="V5" s="3294"/>
      <c r="W5" s="3294"/>
      <c r="X5" s="1537"/>
      <c r="Y5" s="3271"/>
      <c r="Z5" s="3272"/>
      <c r="AA5" s="3265"/>
      <c r="AB5" s="3265"/>
      <c r="AC5" s="3265"/>
    </row>
    <row r="6" spans="1:29" ht="15.75" thickBot="1">
      <c r="A6" s="365"/>
      <c r="B6" s="366"/>
      <c r="C6" s="3277" t="s">
        <v>2367</v>
      </c>
      <c r="D6" s="3278"/>
      <c r="E6" s="3279" t="s">
        <v>2367</v>
      </c>
      <c r="F6" s="3280"/>
      <c r="G6" s="3277" t="s">
        <v>2367</v>
      </c>
      <c r="H6" s="3278"/>
      <c r="I6" s="3277" t="s">
        <v>2367</v>
      </c>
      <c r="J6" s="3278"/>
      <c r="K6" s="566" t="s">
        <v>2368</v>
      </c>
      <c r="L6" s="2942"/>
      <c r="M6" s="2943"/>
      <c r="N6" s="2943"/>
      <c r="O6" s="2943"/>
      <c r="P6" s="3290"/>
      <c r="Q6" s="3291"/>
      <c r="R6" s="3271"/>
      <c r="S6" s="3272"/>
      <c r="T6" s="3292"/>
      <c r="U6" s="3293"/>
      <c r="V6" s="3294"/>
      <c r="W6" s="3294"/>
      <c r="X6" s="1537"/>
      <c r="Y6" s="3292"/>
      <c r="Z6" s="3293"/>
      <c r="AA6" s="3266"/>
      <c r="AB6" s="3266"/>
      <c r="AC6" s="3266"/>
    </row>
    <row r="7" spans="1:29" s="112" customFormat="1" ht="15.75" thickBot="1">
      <c r="A7" s="367" t="s">
        <v>2369</v>
      </c>
      <c r="B7" s="368"/>
      <c r="C7" s="369">
        <f>'数据-取费表'!B2</f>
        <v>44439</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267" t="s">
        <v>2370</v>
      </c>
      <c r="Q7" s="3295"/>
      <c r="R7" s="709" t="s">
        <v>17</v>
      </c>
      <c r="S7" s="710">
        <f t="shared" ref="S7:S14" si="0">F7</f>
        <v>0</v>
      </c>
      <c r="T7" s="709" t="s">
        <v>17</v>
      </c>
      <c r="U7" s="710">
        <f t="shared" ref="U7:U14" si="1">H7</f>
        <v>0</v>
      </c>
      <c r="V7" s="709" t="s">
        <v>17</v>
      </c>
      <c r="W7" s="710">
        <f t="shared" ref="W7:W14" si="2">J7</f>
        <v>0</v>
      </c>
      <c r="X7" s="711"/>
      <c r="Y7" s="3267" t="s">
        <v>2370</v>
      </c>
      <c r="Z7" s="3268"/>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267" t="s">
        <v>2373</v>
      </c>
      <c r="Q8" s="3268"/>
      <c r="R8" s="709" t="s">
        <v>17</v>
      </c>
      <c r="S8" s="710">
        <f t="shared" si="0"/>
        <v>0</v>
      </c>
      <c r="T8" s="709" t="s">
        <v>17</v>
      </c>
      <c r="U8" s="710">
        <f t="shared" si="1"/>
        <v>0</v>
      </c>
      <c r="V8" s="709" t="s">
        <v>17</v>
      </c>
      <c r="W8" s="710">
        <f t="shared" si="2"/>
        <v>0</v>
      </c>
      <c r="X8" s="711"/>
      <c r="Y8" s="3267" t="s">
        <v>2373</v>
      </c>
      <c r="Z8" s="3268"/>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281" t="s">
        <v>2376</v>
      </c>
      <c r="Q9" s="1525" t="str">
        <f t="shared" ref="Q9:Q14" si="6">B9</f>
        <v>用途</v>
      </c>
      <c r="R9" s="709" t="s">
        <v>17</v>
      </c>
      <c r="S9" s="710">
        <f t="shared" si="0"/>
        <v>100</v>
      </c>
      <c r="T9" s="709" t="s">
        <v>17</v>
      </c>
      <c r="U9" s="710">
        <f t="shared" si="1"/>
        <v>100</v>
      </c>
      <c r="V9" s="709" t="s">
        <v>17</v>
      </c>
      <c r="W9" s="710">
        <f t="shared" si="2"/>
        <v>100</v>
      </c>
      <c r="X9" s="711"/>
      <c r="Y9" s="3237"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281"/>
      <c r="Q10" s="1525" t="str">
        <f t="shared" si="6"/>
        <v>土地使用年限（年）</v>
      </c>
      <c r="R10" s="709" t="s">
        <v>17</v>
      </c>
      <c r="S10" s="710">
        <f t="shared" si="0"/>
        <v>100</v>
      </c>
      <c r="T10" s="709" t="s">
        <v>17</v>
      </c>
      <c r="U10" s="710">
        <f t="shared" si="1"/>
        <v>100</v>
      </c>
      <c r="V10" s="709" t="s">
        <v>17</v>
      </c>
      <c r="W10" s="710">
        <f t="shared" si="2"/>
        <v>100</v>
      </c>
      <c r="X10" s="711"/>
      <c r="Y10" s="3237"/>
      <c r="Z10" s="54"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281"/>
      <c r="Q11" s="1525">
        <f t="shared" si="6"/>
        <v>111</v>
      </c>
      <c r="R11" s="709" t="s">
        <v>17</v>
      </c>
      <c r="S11" s="710">
        <f t="shared" si="0"/>
        <v>100</v>
      </c>
      <c r="T11" s="709" t="s">
        <v>17</v>
      </c>
      <c r="U11" s="710">
        <f t="shared" si="1"/>
        <v>100</v>
      </c>
      <c r="V11" s="709" t="s">
        <v>17</v>
      </c>
      <c r="W11" s="710">
        <f t="shared" si="2"/>
        <v>100</v>
      </c>
      <c r="X11" s="711"/>
      <c r="Y11" s="3237"/>
      <c r="Z11" s="54">
        <f t="shared" si="7"/>
        <v>111</v>
      </c>
      <c r="AA11" s="712">
        <f t="shared" si="3"/>
        <v>1</v>
      </c>
      <c r="AB11" s="712">
        <f t="shared" si="4"/>
        <v>1</v>
      </c>
      <c r="AC11" s="712">
        <f t="shared" si="5"/>
        <v>1</v>
      </c>
    </row>
    <row r="12" spans="1:29" s="112"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281"/>
      <c r="Q12" s="1525">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281"/>
      <c r="Q13" s="1525">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85.5">
      <c r="A14" s="398" t="s">
        <v>2380</v>
      </c>
      <c r="B14" s="64" t="s">
        <v>2530</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296" t="s">
        <v>2381</v>
      </c>
      <c r="Q14" s="1534" t="str">
        <f t="shared" si="6"/>
        <v>交通便捷度</v>
      </c>
      <c r="R14" s="713" t="s">
        <v>17</v>
      </c>
      <c r="S14" s="714">
        <f t="shared" si="0"/>
        <v>100</v>
      </c>
      <c r="T14" s="713" t="s">
        <v>17</v>
      </c>
      <c r="U14" s="714">
        <f t="shared" si="1"/>
        <v>100</v>
      </c>
      <c r="V14" s="713" t="s">
        <v>17</v>
      </c>
      <c r="W14" s="714">
        <f t="shared" si="2"/>
        <v>100</v>
      </c>
      <c r="X14" s="1537"/>
      <c r="Y14" s="3296" t="s">
        <v>2381</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9"/>
      <c r="M15" s="2943"/>
      <c r="N15" s="2943"/>
      <c r="O15" s="3001"/>
      <c r="P15" s="3297"/>
      <c r="Q15" s="1534"/>
      <c r="R15" s="713"/>
      <c r="S15" s="714"/>
      <c r="T15" s="713"/>
      <c r="U15" s="714"/>
      <c r="V15" s="713"/>
      <c r="W15" s="714"/>
      <c r="X15" s="1537"/>
      <c r="Y15" s="3297"/>
      <c r="Z15" s="1538"/>
      <c r="AA15" s="1535">
        <v>1</v>
      </c>
      <c r="AB15" s="1535">
        <v>1</v>
      </c>
      <c r="AC15" s="1535">
        <v>1</v>
      </c>
    </row>
    <row r="16" spans="1:29" ht="42.75">
      <c r="A16" s="386"/>
      <c r="B16" s="409" t="s">
        <v>2509</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297"/>
      <c r="Q16" s="1534" t="str">
        <f>B16</f>
        <v>公共配套设施</v>
      </c>
      <c r="R16" s="713" t="s">
        <v>17</v>
      </c>
      <c r="S16" s="714">
        <f>F16</f>
        <v>100</v>
      </c>
      <c r="T16" s="713" t="s">
        <v>17</v>
      </c>
      <c r="U16" s="714">
        <f>H16</f>
        <v>100</v>
      </c>
      <c r="V16" s="713" t="s">
        <v>17</v>
      </c>
      <c r="W16" s="714">
        <f>J16</f>
        <v>100</v>
      </c>
      <c r="X16" s="1537"/>
      <c r="Y16" s="3297"/>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9"/>
      <c r="M17" s="2943"/>
      <c r="N17" s="2943"/>
      <c r="O17" s="3001"/>
      <c r="P17" s="3297"/>
      <c r="Q17" s="1534"/>
      <c r="R17" s="713"/>
      <c r="S17" s="714"/>
      <c r="T17" s="713"/>
      <c r="U17" s="714"/>
      <c r="V17" s="713"/>
      <c r="W17" s="714"/>
      <c r="X17" s="1537"/>
      <c r="Y17" s="3297"/>
      <c r="Z17" s="1538"/>
      <c r="AA17" s="1535">
        <v>1</v>
      </c>
      <c r="AB17" s="1535">
        <v>1</v>
      </c>
      <c r="AC17" s="1535">
        <v>1</v>
      </c>
    </row>
    <row r="18" spans="1:29" ht="28.5">
      <c r="A18" s="386"/>
      <c r="B18" s="1291" t="s">
        <v>2510</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297"/>
      <c r="Q18" s="1534" t="str">
        <f>B18</f>
        <v>基础设施水平</v>
      </c>
      <c r="R18" s="713" t="s">
        <v>17</v>
      </c>
      <c r="S18" s="714">
        <f>F18</f>
        <v>100</v>
      </c>
      <c r="T18" s="713" t="s">
        <v>17</v>
      </c>
      <c r="U18" s="714">
        <f>H18</f>
        <v>100</v>
      </c>
      <c r="V18" s="713" t="s">
        <v>17</v>
      </c>
      <c r="W18" s="714">
        <f>J18</f>
        <v>100</v>
      </c>
      <c r="X18" s="1537"/>
      <c r="Y18" s="3297"/>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9"/>
      <c r="M19" s="2943"/>
      <c r="N19" s="2943"/>
      <c r="O19" s="3001"/>
      <c r="P19" s="3297"/>
      <c r="Q19" s="1534"/>
      <c r="R19" s="713"/>
      <c r="S19" s="714"/>
      <c r="T19" s="713"/>
      <c r="U19" s="714"/>
      <c r="V19" s="713"/>
      <c r="W19" s="714"/>
      <c r="X19" s="1537"/>
      <c r="Y19" s="3297"/>
      <c r="Z19" s="1538"/>
      <c r="AA19" s="1535">
        <v>1</v>
      </c>
      <c r="AB19" s="1535">
        <v>1</v>
      </c>
      <c r="AC19" s="1535">
        <v>1</v>
      </c>
    </row>
    <row r="20" spans="1:29" ht="57">
      <c r="A20" s="386"/>
      <c r="B20" s="409" t="s">
        <v>2531</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297"/>
      <c r="Q20" s="1534" t="str">
        <f>B20</f>
        <v>自然及人文环境</v>
      </c>
      <c r="R20" s="713" t="s">
        <v>17</v>
      </c>
      <c r="S20" s="714">
        <f>F20</f>
        <v>100</v>
      </c>
      <c r="T20" s="713" t="s">
        <v>17</v>
      </c>
      <c r="U20" s="714">
        <f>H20</f>
        <v>100</v>
      </c>
      <c r="V20" s="713" t="s">
        <v>17</v>
      </c>
      <c r="W20" s="714">
        <f>J20</f>
        <v>100</v>
      </c>
      <c r="X20" s="1537"/>
      <c r="Y20" s="3297"/>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9"/>
      <c r="M21" s="2943"/>
      <c r="N21" s="2943"/>
      <c r="O21" s="3001"/>
      <c r="P21" s="3297"/>
      <c r="Q21" s="1534"/>
      <c r="R21" s="713"/>
      <c r="S21" s="714"/>
      <c r="T21" s="713"/>
      <c r="U21" s="714"/>
      <c r="V21" s="713"/>
      <c r="W21" s="714"/>
      <c r="X21" s="1537"/>
      <c r="Y21" s="3297"/>
      <c r="Z21" s="1538"/>
      <c r="AA21" s="1535">
        <v>1</v>
      </c>
      <c r="AB21" s="1535">
        <v>1</v>
      </c>
      <c r="AC21" s="1535">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297"/>
      <c r="Q22" s="1534" t="str">
        <f>B22</f>
        <v>楼层</v>
      </c>
      <c r="R22" s="713" t="s">
        <v>17</v>
      </c>
      <c r="S22" s="714">
        <f>F22</f>
        <v>100</v>
      </c>
      <c r="T22" s="713" t="s">
        <v>17</v>
      </c>
      <c r="U22" s="714">
        <f>H22</f>
        <v>100</v>
      </c>
      <c r="V22" s="713" t="s">
        <v>17</v>
      </c>
      <c r="W22" s="714">
        <f>J22</f>
        <v>100</v>
      </c>
      <c r="X22" s="1537"/>
      <c r="Y22" s="3297"/>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297"/>
      <c r="Q23" s="1534">
        <f>B23</f>
        <v>111</v>
      </c>
      <c r="R23" s="713" t="s">
        <v>17</v>
      </c>
      <c r="S23" s="714">
        <f>F23</f>
        <v>100</v>
      </c>
      <c r="T23" s="713" t="s">
        <v>17</v>
      </c>
      <c r="U23" s="714">
        <f>H23</f>
        <v>100</v>
      </c>
      <c r="V23" s="713" t="s">
        <v>17</v>
      </c>
      <c r="W23" s="714">
        <f>J23</f>
        <v>100</v>
      </c>
      <c r="X23" s="1537"/>
      <c r="Y23" s="3297"/>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297"/>
      <c r="Q24" s="1534">
        <f t="shared" ref="Q24:Q34" si="11">B24</f>
        <v>111</v>
      </c>
      <c r="R24" s="713" t="s">
        <v>17</v>
      </c>
      <c r="S24" s="714">
        <f>F24</f>
        <v>100</v>
      </c>
      <c r="T24" s="713" t="s">
        <v>17</v>
      </c>
      <c r="U24" s="714">
        <f>H24</f>
        <v>100</v>
      </c>
      <c r="V24" s="713" t="s">
        <v>17</v>
      </c>
      <c r="W24" s="714">
        <f>J24</f>
        <v>100</v>
      </c>
      <c r="X24" s="1537"/>
      <c r="Y24" s="3297"/>
      <c r="Z24" s="1538">
        <f>Q24</f>
        <v>111</v>
      </c>
      <c r="AA24" s="1535">
        <f t="shared" si="3"/>
        <v>1</v>
      </c>
      <c r="AB24" s="1535">
        <f t="shared" si="4"/>
        <v>1</v>
      </c>
      <c r="AC24" s="1535">
        <f t="shared" si="5"/>
        <v>1</v>
      </c>
    </row>
    <row r="25" spans="1:29" s="112"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4"/>
      <c r="M25" s="2945"/>
      <c r="N25" s="2945"/>
      <c r="O25" s="2999"/>
      <c r="P25" s="3297"/>
      <c r="Q25" s="1525">
        <f t="shared" si="11"/>
        <v>111</v>
      </c>
      <c r="R25" s="709" t="s">
        <v>17</v>
      </c>
      <c r="S25" s="710">
        <f>F25</f>
        <v>100</v>
      </c>
      <c r="T25" s="709" t="s">
        <v>17</v>
      </c>
      <c r="U25" s="710">
        <f>H25</f>
        <v>100</v>
      </c>
      <c r="V25" s="709" t="s">
        <v>17</v>
      </c>
      <c r="W25" s="710">
        <f>J25</f>
        <v>100</v>
      </c>
      <c r="X25" s="711"/>
      <c r="Y25" s="3297"/>
      <c r="Z25" s="54">
        <f>Q25</f>
        <v>111</v>
      </c>
      <c r="AA25" s="1535">
        <f>D25/F25</f>
        <v>1</v>
      </c>
      <c r="AB25" s="1535">
        <f>D25/H25</f>
        <v>1</v>
      </c>
      <c r="AC25" s="1535">
        <f>D25/J25</f>
        <v>1</v>
      </c>
    </row>
    <row r="26" spans="1:29" ht="28.5">
      <c r="A26" s="424" t="s">
        <v>2384</v>
      </c>
      <c r="B26" s="66" t="s">
        <v>2535</v>
      </c>
      <c r="C26" s="2151"/>
      <c r="D26" s="425">
        <v>100</v>
      </c>
      <c r="E26" s="2151"/>
      <c r="F26" s="622">
        <f>SUMIF(77:77,E26,78:78)-SUMIF(77:77,C26,78:78)+100</f>
        <v>100</v>
      </c>
      <c r="G26" s="2151"/>
      <c r="H26" s="425">
        <f>SUMIF(77:77,G26,78:78)-SUMIF(77:77,C26,78:78)+100</f>
        <v>100</v>
      </c>
      <c r="I26" s="2151"/>
      <c r="J26" s="425">
        <f>SUMIF(77:77,I26,78:78)-SUMIF(77:77,C26,78:78)+100</f>
        <v>100</v>
      </c>
      <c r="K26" s="568"/>
      <c r="L26" s="2949"/>
      <c r="M26" s="2943"/>
      <c r="N26" s="2943"/>
      <c r="O26" s="3001"/>
      <c r="P26" s="3298"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299" t="s">
        <v>2386</v>
      </c>
      <c r="Z26" s="1538" t="str">
        <f t="shared" ref="Z26:Z34" si="15">Q26</f>
        <v>公共部分装修</v>
      </c>
      <c r="AA26" s="1535">
        <f t="shared" si="3"/>
        <v>1</v>
      </c>
      <c r="AB26" s="1535">
        <f t="shared" si="4"/>
        <v>1</v>
      </c>
      <c r="AC26" s="1535">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299"/>
      <c r="Q27" s="715" t="str">
        <f t="shared" si="11"/>
        <v>成新率</v>
      </c>
      <c r="R27" s="716" t="s">
        <v>17</v>
      </c>
      <c r="S27" s="717" t="e">
        <f t="shared" si="12"/>
        <v>#N/A</v>
      </c>
      <c r="T27" s="716" t="s">
        <v>17</v>
      </c>
      <c r="U27" s="717" t="e">
        <f t="shared" si="13"/>
        <v>#N/A</v>
      </c>
      <c r="V27" s="716" t="s">
        <v>17</v>
      </c>
      <c r="W27" s="717" t="e">
        <f t="shared" si="14"/>
        <v>#N/A</v>
      </c>
      <c r="X27" s="718"/>
      <c r="Y27" s="3299"/>
      <c r="Z27" s="719" t="str">
        <f t="shared" si="15"/>
        <v>成新率</v>
      </c>
      <c r="AA27" s="1535" t="e">
        <f t="shared" si="3"/>
        <v>#N/A</v>
      </c>
      <c r="AB27" s="1535" t="e">
        <f t="shared" si="4"/>
        <v>#N/A</v>
      </c>
      <c r="AC27" s="1535"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299"/>
      <c r="Q28" s="1534" t="str">
        <f t="shared" si="11"/>
        <v>物业等级</v>
      </c>
      <c r="R28" s="713" t="s">
        <v>17</v>
      </c>
      <c r="S28" s="714">
        <f t="shared" si="12"/>
        <v>100</v>
      </c>
      <c r="T28" s="713" t="s">
        <v>17</v>
      </c>
      <c r="U28" s="714">
        <f t="shared" si="13"/>
        <v>100</v>
      </c>
      <c r="V28" s="713" t="s">
        <v>17</v>
      </c>
      <c r="W28" s="714">
        <f t="shared" si="14"/>
        <v>100</v>
      </c>
      <c r="X28" s="1537"/>
      <c r="Y28" s="3299"/>
      <c r="Z28" s="1538" t="str">
        <f t="shared" si="15"/>
        <v>物业等级</v>
      </c>
      <c r="AA28" s="1535">
        <f t="shared" si="3"/>
        <v>1</v>
      </c>
      <c r="AB28" s="1535">
        <f t="shared" si="4"/>
        <v>1</v>
      </c>
      <c r="AC28" s="1535">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299"/>
      <c r="Q29" s="1534" t="str">
        <f t="shared" si="11"/>
        <v>有无电梯</v>
      </c>
      <c r="R29" s="713" t="s">
        <v>17</v>
      </c>
      <c r="S29" s="714">
        <f t="shared" si="12"/>
        <v>100</v>
      </c>
      <c r="T29" s="713" t="s">
        <v>17</v>
      </c>
      <c r="U29" s="714">
        <f t="shared" si="13"/>
        <v>100</v>
      </c>
      <c r="V29" s="713" t="s">
        <v>17</v>
      </c>
      <c r="W29" s="714">
        <f t="shared" si="14"/>
        <v>100</v>
      </c>
      <c r="X29" s="1537"/>
      <c r="Y29" s="3299"/>
      <c r="Z29" s="1538" t="str">
        <f t="shared" si="15"/>
        <v>有无电梯</v>
      </c>
      <c r="AA29" s="1535">
        <f t="shared" si="3"/>
        <v>1</v>
      </c>
      <c r="AB29" s="1535">
        <f t="shared" si="4"/>
        <v>1</v>
      </c>
      <c r="AC29" s="1535">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299"/>
      <c r="Q30" s="1534" t="str">
        <f t="shared" si="11"/>
        <v>建筑面积</v>
      </c>
      <c r="R30" s="713" t="s">
        <v>17</v>
      </c>
      <c r="S30" s="714" t="e">
        <f t="shared" si="12"/>
        <v>#N/A</v>
      </c>
      <c r="T30" s="713" t="s">
        <v>17</v>
      </c>
      <c r="U30" s="714" t="e">
        <f t="shared" si="13"/>
        <v>#N/A</v>
      </c>
      <c r="V30" s="713" t="s">
        <v>17</v>
      </c>
      <c r="W30" s="714" t="e">
        <f t="shared" si="14"/>
        <v>#N/A</v>
      </c>
      <c r="X30" s="1537"/>
      <c r="Y30" s="3299"/>
      <c r="Z30" s="1538" t="str">
        <f t="shared" si="15"/>
        <v>建筑面积</v>
      </c>
      <c r="AA30" s="1535" t="e">
        <f t="shared" si="3"/>
        <v>#N/A</v>
      </c>
      <c r="AB30" s="1535" t="e">
        <f t="shared" si="4"/>
        <v>#N/A</v>
      </c>
      <c r="AC30" s="1535"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299"/>
      <c r="Q31" s="1525" t="str">
        <f t="shared" si="11"/>
        <v>是否封闭</v>
      </c>
      <c r="R31" s="709" t="s">
        <v>17</v>
      </c>
      <c r="S31" s="710">
        <f t="shared" si="12"/>
        <v>100</v>
      </c>
      <c r="T31" s="709" t="s">
        <v>17</v>
      </c>
      <c r="U31" s="710">
        <f t="shared" si="13"/>
        <v>100</v>
      </c>
      <c r="V31" s="709" t="s">
        <v>17</v>
      </c>
      <c r="W31" s="710">
        <f t="shared" si="14"/>
        <v>100</v>
      </c>
      <c r="X31" s="711"/>
      <c r="Y31" s="3299"/>
      <c r="Z31" s="54"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299" t="s">
        <v>2386</v>
      </c>
      <c r="Q32" s="1534">
        <f t="shared" si="11"/>
        <v>111</v>
      </c>
      <c r="R32" s="713" t="s">
        <v>17</v>
      </c>
      <c r="S32" s="714">
        <f t="shared" si="12"/>
        <v>100</v>
      </c>
      <c r="T32" s="713" t="s">
        <v>17</v>
      </c>
      <c r="U32" s="714">
        <f t="shared" si="13"/>
        <v>100</v>
      </c>
      <c r="V32" s="713" t="s">
        <v>17</v>
      </c>
      <c r="W32" s="714">
        <f t="shared" si="14"/>
        <v>100</v>
      </c>
      <c r="X32" s="1537"/>
      <c r="Y32" s="3299" t="s">
        <v>2386</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299"/>
      <c r="Q33" s="1534">
        <f t="shared" si="11"/>
        <v>111</v>
      </c>
      <c r="R33" s="713" t="s">
        <v>17</v>
      </c>
      <c r="S33" s="714">
        <f t="shared" si="12"/>
        <v>100</v>
      </c>
      <c r="T33" s="713" t="s">
        <v>17</v>
      </c>
      <c r="U33" s="714">
        <f t="shared" si="13"/>
        <v>100</v>
      </c>
      <c r="V33" s="713" t="s">
        <v>17</v>
      </c>
      <c r="W33" s="714">
        <f t="shared" si="14"/>
        <v>100</v>
      </c>
      <c r="X33" s="1537"/>
      <c r="Y33" s="3299"/>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299"/>
      <c r="Q34" s="1534">
        <f t="shared" si="11"/>
        <v>111</v>
      </c>
      <c r="R34" s="713" t="s">
        <v>17</v>
      </c>
      <c r="S34" s="714">
        <f t="shared" si="12"/>
        <v>100</v>
      </c>
      <c r="T34" s="713" t="s">
        <v>17</v>
      </c>
      <c r="U34" s="714">
        <f t="shared" si="13"/>
        <v>100</v>
      </c>
      <c r="V34" s="713" t="s">
        <v>17</v>
      </c>
      <c r="W34" s="714">
        <f t="shared" si="14"/>
        <v>100</v>
      </c>
      <c r="X34" s="1537"/>
      <c r="Y34" s="3299"/>
      <c r="Z34" s="1538">
        <f t="shared" si="15"/>
        <v>111</v>
      </c>
      <c r="AA34" s="1535">
        <f t="shared" si="3"/>
        <v>1</v>
      </c>
      <c r="AB34" s="1535">
        <f t="shared" si="4"/>
        <v>1</v>
      </c>
      <c r="AC34" s="1535">
        <f t="shared" si="5"/>
        <v>1</v>
      </c>
    </row>
    <row r="35" spans="1:30" ht="15">
      <c r="A35" s="437" t="s">
        <v>2398</v>
      </c>
      <c r="B35" s="438"/>
      <c r="C35" s="1314" t="s">
        <v>1</v>
      </c>
      <c r="D35" s="1315"/>
      <c r="E35" s="1316"/>
      <c r="F35" s="1317"/>
      <c r="G35" s="1318"/>
      <c r="H35" s="1319"/>
      <c r="I35" s="1316"/>
      <c r="J35" s="1319"/>
      <c r="K35" s="722"/>
      <c r="L35" s="2951"/>
      <c r="M35" s="2952"/>
      <c r="N35" s="2943"/>
      <c r="O35" s="2952"/>
      <c r="P35" s="3281" t="str">
        <f>A35</f>
        <v>成交单价（元/平方米）</v>
      </c>
      <c r="Q35" s="3281"/>
      <c r="R35" s="3336">
        <f>E35</f>
        <v>0</v>
      </c>
      <c r="S35" s="3336"/>
      <c r="T35" s="3336">
        <f>G35</f>
        <v>0</v>
      </c>
      <c r="U35" s="3336"/>
      <c r="V35" s="3336">
        <f>I35</f>
        <v>0</v>
      </c>
      <c r="W35" s="3336"/>
      <c r="X35" s="698"/>
      <c r="Y35" s="720"/>
      <c r="Z35" s="698"/>
      <c r="AA35" s="698"/>
      <c r="AB35" s="698"/>
      <c r="AC35" s="698"/>
    </row>
    <row r="36" spans="1:30" ht="15.75" thickBot="1">
      <c r="A36" s="444" t="s">
        <v>2490</v>
      </c>
      <c r="B36" s="445"/>
      <c r="C36" s="1320" t="e">
        <f>R37</f>
        <v>#DIV/0!</v>
      </c>
      <c r="D36" s="2536" t="s">
        <v>2881</v>
      </c>
      <c r="E36" s="1321" t="e">
        <f>R36</f>
        <v>#DIV/0!</v>
      </c>
      <c r="F36" s="2537"/>
      <c r="G36" s="1320" t="e">
        <f>T36</f>
        <v>#DIV/0!</v>
      </c>
      <c r="H36" s="2537"/>
      <c r="I36" s="1321" t="e">
        <f>V36</f>
        <v>#DIV/0!</v>
      </c>
      <c r="J36" s="2537"/>
      <c r="K36" s="2539">
        <f>F36+H36+J36</f>
        <v>0</v>
      </c>
      <c r="L36" s="2951"/>
      <c r="M36" s="2952"/>
      <c r="N36" s="2943"/>
      <c r="O36" s="2952"/>
      <c r="P36" s="3281" t="str">
        <f>A36</f>
        <v>比较价值（元/平方米）</v>
      </c>
      <c r="Q36" s="3281"/>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1"/>
      <c r="M37" s="2952"/>
      <c r="N37" s="2952"/>
      <c r="O37" s="2952"/>
      <c r="P37" s="3301" t="str">
        <f>A37</f>
        <v>估价对象XX用房的比较价值（楼面单价，元/平方米）</v>
      </c>
      <c r="Q37" s="3302"/>
      <c r="R37" s="3358" t="e">
        <f>IF(F1="售价",ROUND(IF(D36="简单平均",AVERAGE(R36:W36),R36*F36+T36*H36+V36*J36),0),ROUND(IF(D36="简单平均",AVERAGE(R36:V36),R36*F36+T36*H36+V36*J36),1))</f>
        <v>#DIV/0!</v>
      </c>
      <c r="S37" s="3358"/>
      <c r="T37" s="3358"/>
      <c r="U37" s="3358"/>
      <c r="V37" s="3358"/>
      <c r="W37" s="3358"/>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2369</v>
      </c>
      <c r="B46" s="462"/>
      <c r="C46" s="1344" t="str">
        <f>YEAR(C7)&amp;"-"&amp;MONTH(C7)</f>
        <v>2021-8</v>
      </c>
      <c r="D46" s="1345">
        <f>EDATE(C46,-1)</f>
        <v>44378</v>
      </c>
      <c r="E46" s="1345">
        <f t="shared" ref="E46:O46" si="16">EDATE(D46,-1)</f>
        <v>44348</v>
      </c>
      <c r="F46" s="1345">
        <f t="shared" si="16"/>
        <v>44317</v>
      </c>
      <c r="G46" s="1345">
        <f t="shared" si="16"/>
        <v>44287</v>
      </c>
      <c r="H46" s="1345">
        <f t="shared" si="16"/>
        <v>44256</v>
      </c>
      <c r="I46" s="1345">
        <f t="shared" si="16"/>
        <v>44228</v>
      </c>
      <c r="J46" s="1345">
        <f t="shared" si="16"/>
        <v>44197</v>
      </c>
      <c r="K46" s="1345">
        <f t="shared" si="16"/>
        <v>44166</v>
      </c>
      <c r="L46" s="1345">
        <f t="shared" si="16"/>
        <v>44136</v>
      </c>
      <c r="M46" s="1345">
        <f t="shared" si="16"/>
        <v>44105</v>
      </c>
      <c r="N46" s="1345">
        <f t="shared" si="16"/>
        <v>44075</v>
      </c>
      <c r="O46" s="1345">
        <f t="shared" si="16"/>
        <v>44044</v>
      </c>
      <c r="P46" s="3003"/>
      <c r="Q46" s="2968"/>
      <c r="R46" s="2968"/>
      <c r="S46" s="2968"/>
      <c r="T46" s="2968"/>
      <c r="U46" s="2968"/>
      <c r="V46" s="2968"/>
      <c r="W46" s="2968"/>
      <c r="X46" s="2968"/>
      <c r="Y46" s="2968"/>
      <c r="Z46" s="2968"/>
      <c r="AA46" s="2968"/>
      <c r="AB46" s="2968"/>
      <c r="AC46" s="2968"/>
      <c r="AD46" s="2968"/>
    </row>
    <row r="47" spans="1:30" s="112"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2" customFormat="1" ht="15.75" thickBot="1">
      <c r="A48" s="471" t="s">
        <v>2406</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2" customFormat="1" ht="15">
      <c r="A49" s="477" t="s">
        <v>2371</v>
      </c>
      <c r="B49" s="466"/>
      <c r="C49" s="478" t="s">
        <v>2473</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2"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2409</v>
      </c>
      <c r="B51" s="484" t="s">
        <v>2375</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2561</v>
      </c>
      <c r="C63" s="534" t="s">
        <v>2418</v>
      </c>
      <c r="D63" s="534" t="s">
        <v>2419</v>
      </c>
      <c r="E63" s="534" t="s">
        <v>2420</v>
      </c>
      <c r="F63" s="534" t="s">
        <v>2421</v>
      </c>
      <c r="G63" s="534" t="s">
        <v>2422</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2510</v>
      </c>
      <c r="C65" s="615" t="s">
        <v>2496</v>
      </c>
      <c r="D65" s="615" t="s">
        <v>2497</v>
      </c>
      <c r="E65" s="615" t="s">
        <v>2498</v>
      </c>
      <c r="F65" s="615" t="s">
        <v>2499</v>
      </c>
      <c r="G65" s="615" t="s">
        <v>2500</v>
      </c>
      <c r="H65" s="495"/>
      <c r="I65" s="495"/>
      <c r="J65" s="495"/>
      <c r="K65" s="495"/>
      <c r="L65" s="495"/>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2430</v>
      </c>
      <c r="C67" s="534" t="s">
        <v>2418</v>
      </c>
      <c r="D67" s="534" t="s">
        <v>2419</v>
      </c>
      <c r="E67" s="534" t="s">
        <v>2420</v>
      </c>
      <c r="F67" s="534" t="s">
        <v>2421</v>
      </c>
      <c r="G67" s="534" t="s">
        <v>2422</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2550</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2"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2"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2"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2"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2384</v>
      </c>
      <c r="B77" s="484" t="s">
        <v>2437</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2554</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2562</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2564</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2466</v>
      </c>
      <c r="B4" s="361"/>
      <c r="C4" s="3282" t="s">
        <v>2467</v>
      </c>
      <c r="D4" s="3283"/>
      <c r="E4" s="3284" t="s">
        <v>2468</v>
      </c>
      <c r="F4" s="3285"/>
      <c r="G4" s="3282" t="s">
        <v>2469</v>
      </c>
      <c r="H4" s="3283"/>
      <c r="I4" s="3282" t="s">
        <v>2470</v>
      </c>
      <c r="J4" s="3283"/>
      <c r="K4" s="566" t="s">
        <v>2471</v>
      </c>
      <c r="L4" s="2942"/>
      <c r="M4" s="2943"/>
      <c r="N4" s="2943"/>
      <c r="O4" s="2943"/>
      <c r="P4" s="3286" t="s">
        <v>2472</v>
      </c>
      <c r="Q4" s="3287"/>
      <c r="R4" s="3269" t="s">
        <v>2468</v>
      </c>
      <c r="S4" s="3270"/>
      <c r="T4" s="3269" t="s">
        <v>2469</v>
      </c>
      <c r="U4" s="3270"/>
      <c r="V4" s="3294" t="s">
        <v>2470</v>
      </c>
      <c r="W4" s="3294"/>
      <c r="X4" s="1537"/>
      <c r="Y4" s="3269" t="s">
        <v>2472</v>
      </c>
      <c r="Z4" s="3270"/>
      <c r="AA4" s="3264" t="s">
        <v>2468</v>
      </c>
      <c r="AB4" s="3265" t="s">
        <v>2469</v>
      </c>
      <c r="AC4" s="3264" t="s">
        <v>2470</v>
      </c>
    </row>
    <row r="5" spans="1:29" ht="15">
      <c r="A5" s="363"/>
      <c r="B5" s="364"/>
      <c r="C5" s="3275" t="s">
        <v>2363</v>
      </c>
      <c r="D5" s="3276"/>
      <c r="E5" s="3273" t="s">
        <v>2364</v>
      </c>
      <c r="F5" s="3274"/>
      <c r="G5" s="3275" t="s">
        <v>2365</v>
      </c>
      <c r="H5" s="3276"/>
      <c r="I5" s="3275" t="s">
        <v>2366</v>
      </c>
      <c r="J5" s="3276"/>
      <c r="K5" s="566"/>
      <c r="L5" s="2942"/>
      <c r="M5" s="2943"/>
      <c r="N5" s="2943"/>
      <c r="O5" s="2943"/>
      <c r="P5" s="3288"/>
      <c r="Q5" s="3289"/>
      <c r="R5" s="3271"/>
      <c r="S5" s="3272"/>
      <c r="T5" s="3271"/>
      <c r="U5" s="3272"/>
      <c r="V5" s="3294"/>
      <c r="W5" s="3294"/>
      <c r="X5" s="1537"/>
      <c r="Y5" s="3271"/>
      <c r="Z5" s="3272"/>
      <c r="AA5" s="3265"/>
      <c r="AB5" s="3265"/>
      <c r="AC5" s="3265"/>
    </row>
    <row r="6" spans="1:29" ht="15.75" thickBot="1">
      <c r="A6" s="365"/>
      <c r="B6" s="366"/>
      <c r="C6" s="3359" t="s">
        <v>2618</v>
      </c>
      <c r="D6" s="3360"/>
      <c r="E6" s="3361" t="s">
        <v>2618</v>
      </c>
      <c r="F6" s="3362"/>
      <c r="G6" s="3359" t="s">
        <v>2618</v>
      </c>
      <c r="H6" s="3360"/>
      <c r="I6" s="3359" t="s">
        <v>2618</v>
      </c>
      <c r="J6" s="3360"/>
      <c r="K6" s="566" t="s">
        <v>2368</v>
      </c>
      <c r="L6" s="2942"/>
      <c r="M6" s="2943"/>
      <c r="N6" s="2943"/>
      <c r="O6" s="2943"/>
      <c r="P6" s="3290"/>
      <c r="Q6" s="3291"/>
      <c r="R6" s="3271"/>
      <c r="S6" s="3272"/>
      <c r="T6" s="3292"/>
      <c r="U6" s="3293"/>
      <c r="V6" s="3294"/>
      <c r="W6" s="3294"/>
      <c r="X6" s="1537"/>
      <c r="Y6" s="3292"/>
      <c r="Z6" s="3293"/>
      <c r="AA6" s="3266"/>
      <c r="AB6" s="3266"/>
      <c r="AC6" s="3266"/>
    </row>
    <row r="7" spans="1:29" s="112" customFormat="1" ht="15.75" thickBot="1">
      <c r="A7" s="367" t="s">
        <v>2369</v>
      </c>
      <c r="B7" s="368"/>
      <c r="C7" s="369">
        <f>'数据-取费表'!B2</f>
        <v>44439</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267" t="s">
        <v>2370</v>
      </c>
      <c r="Q7" s="3295"/>
      <c r="R7" s="709" t="s">
        <v>17</v>
      </c>
      <c r="S7" s="710">
        <f t="shared" ref="S7:S15" si="0">F7</f>
        <v>0</v>
      </c>
      <c r="T7" s="709" t="s">
        <v>17</v>
      </c>
      <c r="U7" s="710">
        <f t="shared" ref="U7:U15" si="1">H7</f>
        <v>0</v>
      </c>
      <c r="V7" s="709" t="s">
        <v>17</v>
      </c>
      <c r="W7" s="710">
        <f t="shared" ref="W7:W15" si="2">J7</f>
        <v>0</v>
      </c>
      <c r="X7" s="711"/>
      <c r="Y7" s="3267" t="s">
        <v>2370</v>
      </c>
      <c r="Z7" s="3268"/>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267" t="s">
        <v>2373</v>
      </c>
      <c r="Q8" s="3268"/>
      <c r="R8" s="709" t="s">
        <v>17</v>
      </c>
      <c r="S8" s="710">
        <f t="shared" si="0"/>
        <v>0</v>
      </c>
      <c r="T8" s="709" t="s">
        <v>17</v>
      </c>
      <c r="U8" s="710">
        <f t="shared" si="1"/>
        <v>0</v>
      </c>
      <c r="V8" s="709" t="s">
        <v>17</v>
      </c>
      <c r="W8" s="710">
        <f t="shared" si="2"/>
        <v>0</v>
      </c>
      <c r="X8" s="711"/>
      <c r="Y8" s="3267" t="s">
        <v>2373</v>
      </c>
      <c r="Z8" s="3268"/>
      <c r="AA8" s="712" t="e">
        <f t="shared" ref="AA8:AA40" si="3">D8/F8</f>
        <v>#DIV/0!</v>
      </c>
      <c r="AB8" s="712" t="e">
        <f t="shared" ref="AB8:AB40" si="4">D8/H8</f>
        <v>#DIV/0!</v>
      </c>
      <c r="AC8" s="712" t="e">
        <f t="shared" ref="AC8:AC40" si="5">D8/J8</f>
        <v>#DIV/0!</v>
      </c>
    </row>
    <row r="9" spans="1:29" s="112" customFormat="1">
      <c r="A9" s="374" t="s">
        <v>2374</v>
      </c>
      <c r="B9" s="66" t="s">
        <v>2375</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281" t="s">
        <v>2376</v>
      </c>
      <c r="Q9" s="1525" t="str">
        <f t="shared" ref="Q9:Q15" si="6">B9</f>
        <v>用途</v>
      </c>
      <c r="R9" s="709" t="s">
        <v>17</v>
      </c>
      <c r="S9" s="710">
        <f t="shared" si="0"/>
        <v>100</v>
      </c>
      <c r="T9" s="709" t="s">
        <v>17</v>
      </c>
      <c r="U9" s="710">
        <f t="shared" si="1"/>
        <v>100</v>
      </c>
      <c r="V9" s="709" t="s">
        <v>17</v>
      </c>
      <c r="W9" s="710">
        <f t="shared" si="2"/>
        <v>100</v>
      </c>
      <c r="X9" s="711"/>
      <c r="Y9" s="3237"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137</v>
      </c>
      <c r="G10" s="390"/>
      <c r="H10" s="131">
        <f>ROUND(100/'数据-取费表'!G16,0)</f>
        <v>137</v>
      </c>
      <c r="I10" s="390"/>
      <c r="J10" s="131">
        <f>ROUND(100/'数据-取费表'!G16,0)</f>
        <v>137</v>
      </c>
      <c r="K10" s="627"/>
      <c r="L10" s="2946"/>
      <c r="M10" s="2947"/>
      <c r="N10" s="2947"/>
      <c r="O10" s="3000"/>
      <c r="P10" s="3281"/>
      <c r="Q10" s="1525" t="str">
        <f t="shared" si="6"/>
        <v>土地使用年限（年）</v>
      </c>
      <c r="R10" s="709" t="s">
        <v>17</v>
      </c>
      <c r="S10" s="710">
        <f t="shared" si="0"/>
        <v>137</v>
      </c>
      <c r="T10" s="709" t="s">
        <v>17</v>
      </c>
      <c r="U10" s="710">
        <f t="shared" si="1"/>
        <v>137</v>
      </c>
      <c r="V10" s="709" t="s">
        <v>17</v>
      </c>
      <c r="W10" s="710">
        <f t="shared" si="2"/>
        <v>137</v>
      </c>
      <c r="X10" s="711"/>
      <c r="Y10" s="3237"/>
      <c r="Z10" s="54" t="str">
        <f t="shared" si="7"/>
        <v>土地使用年限（年）</v>
      </c>
      <c r="AA10" s="712">
        <f t="shared" si="3"/>
        <v>0.72992700729927007</v>
      </c>
      <c r="AB10" s="712">
        <f t="shared" si="4"/>
        <v>0.72992700729927007</v>
      </c>
      <c r="AC10" s="712">
        <f t="shared" si="5"/>
        <v>0.72992700729927007</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281"/>
      <c r="Q11" s="1525" t="str">
        <f t="shared" si="6"/>
        <v>容积率</v>
      </c>
      <c r="R11" s="709" t="s">
        <v>17</v>
      </c>
      <c r="S11" s="710" t="e">
        <f t="shared" si="0"/>
        <v>#N/A</v>
      </c>
      <c r="T11" s="709" t="s">
        <v>17</v>
      </c>
      <c r="U11" s="710" t="e">
        <f t="shared" si="1"/>
        <v>#N/A</v>
      </c>
      <c r="V11" s="709" t="s">
        <v>17</v>
      </c>
      <c r="W11" s="710" t="e">
        <f t="shared" si="2"/>
        <v>#N/A</v>
      </c>
      <c r="X11" s="711"/>
      <c r="Y11" s="3237"/>
      <c r="Z11" s="54" t="str">
        <f t="shared" si="7"/>
        <v>容积率</v>
      </c>
      <c r="AA11" s="712" t="e">
        <f t="shared" si="3"/>
        <v>#N/A</v>
      </c>
      <c r="AB11" s="712" t="e">
        <f t="shared" si="4"/>
        <v>#N/A</v>
      </c>
      <c r="AC11" s="712" t="e">
        <f t="shared" si="5"/>
        <v>#N/A</v>
      </c>
    </row>
    <row r="12" spans="1:29" s="112"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281"/>
      <c r="Q12" s="1525">
        <f t="shared" si="6"/>
        <v>111</v>
      </c>
      <c r="R12" s="709" t="s">
        <v>17</v>
      </c>
      <c r="S12" s="710">
        <f t="shared" si="0"/>
        <v>100</v>
      </c>
      <c r="T12" s="709" t="s">
        <v>17</v>
      </c>
      <c r="U12" s="710">
        <f t="shared" si="1"/>
        <v>100</v>
      </c>
      <c r="V12" s="709" t="s">
        <v>17</v>
      </c>
      <c r="W12" s="710">
        <f t="shared" si="2"/>
        <v>100</v>
      </c>
      <c r="X12" s="711"/>
      <c r="Y12" s="3237"/>
      <c r="Z12" s="54">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281"/>
      <c r="Q13" s="1525">
        <f t="shared" si="6"/>
        <v>111</v>
      </c>
      <c r="R13" s="709" t="s">
        <v>17</v>
      </c>
      <c r="S13" s="710">
        <f t="shared" si="0"/>
        <v>100</v>
      </c>
      <c r="T13" s="709" t="s">
        <v>17</v>
      </c>
      <c r="U13" s="710">
        <f t="shared" si="1"/>
        <v>100</v>
      </c>
      <c r="V13" s="709" t="s">
        <v>17</v>
      </c>
      <c r="W13" s="710">
        <f t="shared" si="2"/>
        <v>100</v>
      </c>
      <c r="X13" s="711"/>
      <c r="Y13" s="3237"/>
      <c r="Z13" s="54">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281"/>
      <c r="Q14" s="1525">
        <f t="shared" si="6"/>
        <v>111</v>
      </c>
      <c r="R14" s="709" t="s">
        <v>17</v>
      </c>
      <c r="S14" s="710">
        <f t="shared" si="0"/>
        <v>100</v>
      </c>
      <c r="T14" s="709" t="s">
        <v>17</v>
      </c>
      <c r="U14" s="710">
        <f t="shared" si="1"/>
        <v>100</v>
      </c>
      <c r="V14" s="709" t="s">
        <v>17</v>
      </c>
      <c r="W14" s="710">
        <f t="shared" si="2"/>
        <v>100</v>
      </c>
      <c r="X14" s="711"/>
      <c r="Y14" s="3237"/>
      <c r="Z14" s="54">
        <f t="shared" si="7"/>
        <v>111</v>
      </c>
      <c r="AA14" s="712">
        <f t="shared" si="3"/>
        <v>1</v>
      </c>
      <c r="AB14" s="712">
        <f t="shared" si="4"/>
        <v>1</v>
      </c>
      <c r="AC14" s="712">
        <f t="shared" si="5"/>
        <v>1</v>
      </c>
    </row>
    <row r="15" spans="1:29" ht="57">
      <c r="A15" s="398" t="s">
        <v>2380</v>
      </c>
      <c r="B15" s="584" t="s">
        <v>2619</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296" t="s">
        <v>2381</v>
      </c>
      <c r="Q15" s="1534" t="str">
        <f t="shared" si="6"/>
        <v>产业集聚程度</v>
      </c>
      <c r="R15" s="713" t="s">
        <v>17</v>
      </c>
      <c r="S15" s="714">
        <f t="shared" si="0"/>
        <v>100</v>
      </c>
      <c r="T15" s="713" t="s">
        <v>17</v>
      </c>
      <c r="U15" s="714">
        <f t="shared" si="1"/>
        <v>100</v>
      </c>
      <c r="V15" s="713" t="s">
        <v>17</v>
      </c>
      <c r="W15" s="714">
        <f t="shared" si="2"/>
        <v>100</v>
      </c>
      <c r="X15" s="1537"/>
      <c r="Y15" s="3296" t="s">
        <v>2381</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9"/>
      <c r="M16" s="2943"/>
      <c r="N16" s="2943"/>
      <c r="O16" s="3001"/>
      <c r="P16" s="3297"/>
      <c r="Q16" s="1534"/>
      <c r="R16" s="713"/>
      <c r="S16" s="714"/>
      <c r="T16" s="713"/>
      <c r="U16" s="714"/>
      <c r="V16" s="713"/>
      <c r="W16" s="714"/>
      <c r="X16" s="1537"/>
      <c r="Y16" s="3297"/>
      <c r="Z16" s="1538"/>
      <c r="AA16" s="1535">
        <v>1</v>
      </c>
      <c r="AB16" s="1535">
        <v>1</v>
      </c>
      <c r="AC16" s="1535">
        <v>1</v>
      </c>
    </row>
    <row r="17" spans="1:29" ht="85.5">
      <c r="A17" s="386"/>
      <c r="B17" s="586" t="s">
        <v>2530</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297"/>
      <c r="Q17" s="1534" t="str">
        <f>B17</f>
        <v>交通便捷度</v>
      </c>
      <c r="R17" s="713" t="s">
        <v>17</v>
      </c>
      <c r="S17" s="714">
        <f>F17</f>
        <v>100</v>
      </c>
      <c r="T17" s="713" t="s">
        <v>17</v>
      </c>
      <c r="U17" s="714">
        <f>H17</f>
        <v>100</v>
      </c>
      <c r="V17" s="713" t="s">
        <v>17</v>
      </c>
      <c r="W17" s="714">
        <f>J17</f>
        <v>100</v>
      </c>
      <c r="X17" s="1537"/>
      <c r="Y17" s="3297"/>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9"/>
      <c r="M18" s="2943"/>
      <c r="N18" s="2943"/>
      <c r="O18" s="3001"/>
      <c r="P18" s="3297"/>
      <c r="Q18" s="1534"/>
      <c r="R18" s="713"/>
      <c r="S18" s="714"/>
      <c r="T18" s="713"/>
      <c r="U18" s="714"/>
      <c r="V18" s="713"/>
      <c r="W18" s="714"/>
      <c r="X18" s="1537"/>
      <c r="Y18" s="3297"/>
      <c r="Z18" s="1538"/>
      <c r="AA18" s="1535">
        <v>1</v>
      </c>
      <c r="AB18" s="1535">
        <v>1</v>
      </c>
      <c r="AC18" s="1535">
        <v>1</v>
      </c>
    </row>
    <row r="19" spans="1:29" ht="15">
      <c r="A19" s="386"/>
      <c r="B19" s="586" t="s">
        <v>2569</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297"/>
      <c r="Q19" s="1534" t="str">
        <f t="shared" ref="Q19:Q33" si="8">B19</f>
        <v>区域土地利用方向</v>
      </c>
      <c r="R19" s="713" t="s">
        <v>17</v>
      </c>
      <c r="S19" s="714">
        <f>F19</f>
        <v>100</v>
      </c>
      <c r="T19" s="713" t="s">
        <v>17</v>
      </c>
      <c r="U19" s="714">
        <f>H19</f>
        <v>100</v>
      </c>
      <c r="V19" s="713" t="s">
        <v>17</v>
      </c>
      <c r="W19" s="714">
        <f>J19</f>
        <v>100</v>
      </c>
      <c r="X19" s="1537"/>
      <c r="Y19" s="3297"/>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50"/>
      <c r="L20" s="2949"/>
      <c r="M20" s="2943"/>
      <c r="N20" s="2943"/>
      <c r="O20" s="3001"/>
      <c r="P20" s="3297"/>
      <c r="Q20" s="1534"/>
      <c r="R20" s="713"/>
      <c r="S20" s="714"/>
      <c r="T20" s="713"/>
      <c r="U20" s="714"/>
      <c r="V20" s="713"/>
      <c r="W20" s="714"/>
      <c r="X20" s="1537"/>
      <c r="Y20" s="3297"/>
      <c r="Z20" s="1538"/>
      <c r="AA20" s="1535"/>
      <c r="AB20" s="1535"/>
      <c r="AC20" s="1535"/>
    </row>
    <row r="21" spans="1:29" ht="71.25">
      <c r="A21" s="363"/>
      <c r="B21" s="586" t="s">
        <v>2620</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297"/>
      <c r="Q21" s="1534" t="str">
        <f t="shared" si="8"/>
        <v>环境状况</v>
      </c>
      <c r="R21" s="713" t="s">
        <v>17</v>
      </c>
      <c r="S21" s="714">
        <f>F21</f>
        <v>100</v>
      </c>
      <c r="T21" s="713" t="s">
        <v>17</v>
      </c>
      <c r="U21" s="714">
        <f>H21</f>
        <v>100</v>
      </c>
      <c r="V21" s="713" t="s">
        <v>17</v>
      </c>
      <c r="W21" s="714">
        <f>J21</f>
        <v>100</v>
      </c>
      <c r="X21" s="1537"/>
      <c r="Y21" s="3297"/>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9"/>
      <c r="M22" s="2943"/>
      <c r="N22" s="2943"/>
      <c r="O22" s="3001"/>
      <c r="P22" s="3297"/>
      <c r="Q22" s="1534"/>
      <c r="R22" s="713"/>
      <c r="S22" s="714"/>
      <c r="T22" s="713"/>
      <c r="U22" s="714"/>
      <c r="V22" s="713"/>
      <c r="W22" s="714"/>
      <c r="X22" s="1537"/>
      <c r="Y22" s="3297"/>
      <c r="Z22" s="1538"/>
      <c r="AA22" s="1535">
        <v>1</v>
      </c>
      <c r="AB22" s="1535">
        <v>1</v>
      </c>
      <c r="AC22" s="1535">
        <v>1</v>
      </c>
    </row>
    <row r="23" spans="1:29" s="112" customFormat="1" ht="42.75">
      <c r="A23" s="604"/>
      <c r="B23" s="588" t="s">
        <v>2475</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297"/>
      <c r="Q23" s="1525" t="str">
        <f t="shared" si="8"/>
        <v>公共配套设施</v>
      </c>
      <c r="R23" s="709" t="s">
        <v>17</v>
      </c>
      <c r="S23" s="710">
        <f>F23</f>
        <v>100</v>
      </c>
      <c r="T23" s="709" t="s">
        <v>17</v>
      </c>
      <c r="U23" s="710">
        <f>H23</f>
        <v>100</v>
      </c>
      <c r="V23" s="709" t="s">
        <v>17</v>
      </c>
      <c r="W23" s="710">
        <f>J23</f>
        <v>100</v>
      </c>
      <c r="X23" s="711"/>
      <c r="Y23" s="3297"/>
      <c r="Z23" s="54" t="str">
        <f>Q23</f>
        <v>公共配套设施</v>
      </c>
      <c r="AA23" s="1535">
        <f>D23/F23</f>
        <v>1</v>
      </c>
      <c r="AB23" s="1535">
        <f>D23/H23</f>
        <v>1</v>
      </c>
      <c r="AC23" s="1535">
        <f>D23/J23</f>
        <v>1</v>
      </c>
    </row>
    <row r="24" spans="1:29" s="112" customFormat="1" ht="15">
      <c r="A24" s="604"/>
      <c r="B24" s="587"/>
      <c r="C24" s="2162"/>
      <c r="D24" s="406"/>
      <c r="E24" s="2088"/>
      <c r="F24" s="406"/>
      <c r="G24" s="2088"/>
      <c r="H24" s="406"/>
      <c r="I24" s="405"/>
      <c r="J24" s="406"/>
      <c r="K24" s="627"/>
      <c r="L24" s="2944"/>
      <c r="M24" s="2945"/>
      <c r="N24" s="2945"/>
      <c r="O24" s="2999"/>
      <c r="P24" s="3297"/>
      <c r="Q24" s="1525"/>
      <c r="R24" s="709"/>
      <c r="S24" s="710"/>
      <c r="T24" s="709"/>
      <c r="U24" s="710"/>
      <c r="V24" s="709"/>
      <c r="W24" s="710"/>
      <c r="X24" s="711"/>
      <c r="Y24" s="3297"/>
      <c r="Z24" s="54"/>
      <c r="AA24" s="712">
        <v>1</v>
      </c>
      <c r="AB24" s="712">
        <v>1</v>
      </c>
      <c r="AC24" s="712">
        <v>1</v>
      </c>
    </row>
    <row r="25" spans="1:29" s="112" customFormat="1" ht="28.5">
      <c r="A25" s="604"/>
      <c r="B25" s="588" t="s">
        <v>2476</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297"/>
      <c r="Q25" s="1525" t="str">
        <f t="shared" ref="Q25" si="9">B25</f>
        <v>基础设施水平</v>
      </c>
      <c r="R25" s="709" t="s">
        <v>17</v>
      </c>
      <c r="S25" s="710">
        <f>F25</f>
        <v>100</v>
      </c>
      <c r="T25" s="709" t="s">
        <v>17</v>
      </c>
      <c r="U25" s="710">
        <f>H25</f>
        <v>100</v>
      </c>
      <c r="V25" s="709" t="s">
        <v>17</v>
      </c>
      <c r="W25" s="710">
        <f>J25</f>
        <v>100</v>
      </c>
      <c r="X25" s="711"/>
      <c r="Y25" s="3297"/>
      <c r="Z25" s="54" t="str">
        <f>Q25</f>
        <v>基础设施水平</v>
      </c>
      <c r="AA25" s="1535">
        <f>D25/F25</f>
        <v>1</v>
      </c>
      <c r="AB25" s="1535">
        <f>D25/H25</f>
        <v>1</v>
      </c>
      <c r="AC25" s="1535">
        <f>D25/J25</f>
        <v>1</v>
      </c>
    </row>
    <row r="26" spans="1:29" s="112" customFormat="1" ht="15">
      <c r="A26" s="604"/>
      <c r="B26" s="587"/>
      <c r="C26" s="2162"/>
      <c r="D26" s="406"/>
      <c r="E26" s="2163"/>
      <c r="F26" s="406"/>
      <c r="G26" s="2163"/>
      <c r="H26" s="406"/>
      <c r="I26" s="2163"/>
      <c r="J26" s="406"/>
      <c r="K26" s="627"/>
      <c r="L26" s="2944"/>
      <c r="M26" s="2945"/>
      <c r="N26" s="2945"/>
      <c r="O26" s="2999"/>
      <c r="P26" s="3297"/>
      <c r="Q26" s="1525"/>
      <c r="R26" s="709"/>
      <c r="S26" s="710"/>
      <c r="T26" s="709"/>
      <c r="U26" s="710"/>
      <c r="V26" s="709"/>
      <c r="W26" s="710"/>
      <c r="X26" s="711"/>
      <c r="Y26" s="3297"/>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297"/>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97"/>
      <c r="Z27" s="1538" t="str">
        <f t="shared" ref="Z27:Z40" si="13">Q27</f>
        <v>临街状况</v>
      </c>
      <c r="AA27" s="1535">
        <f t="shared" si="3"/>
        <v>1</v>
      </c>
      <c r="AB27" s="1535">
        <f t="shared" si="4"/>
        <v>1</v>
      </c>
      <c r="AC27" s="1535">
        <f t="shared" si="5"/>
        <v>1</v>
      </c>
    </row>
    <row r="28" spans="1:29" ht="27">
      <c r="A28" s="386"/>
      <c r="B28" s="588" t="s">
        <v>2512</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297"/>
      <c r="Q28" s="1534" t="str">
        <f t="shared" si="8"/>
        <v>毗邻道路的类型与等级</v>
      </c>
      <c r="R28" s="713" t="s">
        <v>17</v>
      </c>
      <c r="S28" s="714">
        <f t="shared" si="10"/>
        <v>100</v>
      </c>
      <c r="T28" s="713" t="s">
        <v>17</v>
      </c>
      <c r="U28" s="714">
        <f t="shared" si="11"/>
        <v>100</v>
      </c>
      <c r="V28" s="713" t="s">
        <v>17</v>
      </c>
      <c r="W28" s="714">
        <f t="shared" si="12"/>
        <v>100</v>
      </c>
      <c r="X28" s="1537"/>
      <c r="Y28" s="3297"/>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9"/>
      <c r="M29" s="2943"/>
      <c r="N29" s="2943"/>
      <c r="O29" s="3001"/>
      <c r="P29" s="3297"/>
      <c r="Q29" s="1534"/>
      <c r="R29" s="713"/>
      <c r="S29" s="714"/>
      <c r="T29" s="713"/>
      <c r="U29" s="714"/>
      <c r="V29" s="713"/>
      <c r="W29" s="714"/>
      <c r="X29" s="1537"/>
      <c r="Y29" s="3297"/>
      <c r="Z29" s="1538"/>
      <c r="AA29" s="1535">
        <v>1</v>
      </c>
      <c r="AB29" s="1535">
        <v>1</v>
      </c>
      <c r="AC29" s="1535">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297"/>
      <c r="Q30" s="1534" t="str">
        <f t="shared" si="8"/>
        <v>土地级别</v>
      </c>
      <c r="R30" s="713" t="s">
        <v>17</v>
      </c>
      <c r="S30" s="714">
        <f t="shared" si="10"/>
        <v>100</v>
      </c>
      <c r="T30" s="713" t="s">
        <v>17</v>
      </c>
      <c r="U30" s="714">
        <f t="shared" si="11"/>
        <v>100</v>
      </c>
      <c r="V30" s="713" t="s">
        <v>17</v>
      </c>
      <c r="W30" s="714">
        <f t="shared" si="12"/>
        <v>100</v>
      </c>
      <c r="X30" s="1537"/>
      <c r="Y30" s="3297"/>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297"/>
      <c r="Q31" s="1534">
        <f t="shared" si="8"/>
        <v>111</v>
      </c>
      <c r="R31" s="713" t="s">
        <v>17</v>
      </c>
      <c r="S31" s="714">
        <f t="shared" si="10"/>
        <v>100</v>
      </c>
      <c r="T31" s="713" t="s">
        <v>17</v>
      </c>
      <c r="U31" s="714">
        <f t="shared" si="11"/>
        <v>100</v>
      </c>
      <c r="V31" s="713" t="s">
        <v>17</v>
      </c>
      <c r="W31" s="714">
        <f t="shared" si="12"/>
        <v>100</v>
      </c>
      <c r="X31" s="1537"/>
      <c r="Y31" s="3297"/>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298" t="s">
        <v>2386</v>
      </c>
      <c r="Q32" s="1534">
        <f t="shared" si="8"/>
        <v>111</v>
      </c>
      <c r="R32" s="713" t="s">
        <v>17</v>
      </c>
      <c r="S32" s="714">
        <f t="shared" si="10"/>
        <v>100</v>
      </c>
      <c r="T32" s="713" t="s">
        <v>17</v>
      </c>
      <c r="U32" s="714">
        <f t="shared" si="11"/>
        <v>100</v>
      </c>
      <c r="V32" s="713" t="s">
        <v>17</v>
      </c>
      <c r="W32" s="714">
        <f t="shared" si="12"/>
        <v>100</v>
      </c>
      <c r="X32" s="1537"/>
      <c r="Y32" s="3299" t="s">
        <v>2386</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299"/>
      <c r="Q33" s="1534">
        <f t="shared" si="8"/>
        <v>111</v>
      </c>
      <c r="R33" s="716" t="s">
        <v>17</v>
      </c>
      <c r="S33" s="717">
        <f t="shared" si="10"/>
        <v>100</v>
      </c>
      <c r="T33" s="716" t="s">
        <v>17</v>
      </c>
      <c r="U33" s="717">
        <f t="shared" si="11"/>
        <v>100</v>
      </c>
      <c r="V33" s="716" t="s">
        <v>17</v>
      </c>
      <c r="W33" s="717">
        <f t="shared" si="12"/>
        <v>100</v>
      </c>
      <c r="X33" s="718"/>
      <c r="Y33" s="3299"/>
      <c r="Z33" s="719">
        <f t="shared" si="13"/>
        <v>111</v>
      </c>
      <c r="AA33" s="1535">
        <f t="shared" si="3"/>
        <v>1</v>
      </c>
      <c r="AB33" s="1535">
        <f t="shared" si="4"/>
        <v>1</v>
      </c>
      <c r="AC33" s="1535">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299"/>
      <c r="Q34" s="1534" t="str">
        <f>B34</f>
        <v>宗地面积</v>
      </c>
      <c r="R34" s="713" t="s">
        <v>17</v>
      </c>
      <c r="S34" s="714" t="e">
        <f t="shared" si="10"/>
        <v>#N/A</v>
      </c>
      <c r="T34" s="713" t="s">
        <v>17</v>
      </c>
      <c r="U34" s="714" t="e">
        <f t="shared" si="11"/>
        <v>#N/A</v>
      </c>
      <c r="V34" s="713" t="s">
        <v>17</v>
      </c>
      <c r="W34" s="714" t="e">
        <f t="shared" si="12"/>
        <v>#N/A</v>
      </c>
      <c r="X34" s="1537"/>
      <c r="Y34" s="3299"/>
      <c r="Z34" s="1538" t="str">
        <f t="shared" si="13"/>
        <v>宗地面积</v>
      </c>
      <c r="AA34" s="1535" t="e">
        <f t="shared" si="3"/>
        <v>#N/A</v>
      </c>
      <c r="AB34" s="1535" t="e">
        <f t="shared" si="4"/>
        <v>#N/A</v>
      </c>
      <c r="AC34" s="1535" t="e">
        <f t="shared" si="5"/>
        <v>#N/A</v>
      </c>
    </row>
    <row r="35" spans="1:31" ht="15">
      <c r="A35" s="430"/>
      <c r="B35" s="380" t="s">
        <v>2573</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9"/>
      <c r="M35" s="2943"/>
      <c r="N35" s="2943"/>
      <c r="O35" s="3001"/>
      <c r="P35" s="3299"/>
      <c r="Q35" s="1534" t="str">
        <f t="shared" ref="Q35:Q40" si="14">B35</f>
        <v>宗地形状</v>
      </c>
      <c r="R35" s="713" t="s">
        <v>17</v>
      </c>
      <c r="S35" s="714">
        <f t="shared" si="10"/>
        <v>100</v>
      </c>
      <c r="T35" s="713" t="s">
        <v>17</v>
      </c>
      <c r="U35" s="714">
        <f t="shared" si="11"/>
        <v>100</v>
      </c>
      <c r="V35" s="713" t="s">
        <v>17</v>
      </c>
      <c r="W35" s="714">
        <f t="shared" si="12"/>
        <v>100</v>
      </c>
      <c r="X35" s="1537"/>
      <c r="Y35" s="3299"/>
      <c r="Z35" s="1538" t="str">
        <f t="shared" si="13"/>
        <v>宗地形状</v>
      </c>
      <c r="AA35" s="1535">
        <f t="shared" si="3"/>
        <v>1</v>
      </c>
      <c r="AB35" s="1535">
        <f t="shared" si="4"/>
        <v>1</v>
      </c>
      <c r="AC35" s="1535">
        <f t="shared" si="5"/>
        <v>1</v>
      </c>
    </row>
    <row r="36" spans="1:31" s="112" customFormat="1" ht="15">
      <c r="A36" s="431"/>
      <c r="B36" s="380" t="s">
        <v>2575</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299"/>
      <c r="Q36" s="1534" t="str">
        <f t="shared" si="14"/>
        <v>宗地开发程度</v>
      </c>
      <c r="R36" s="709" t="s">
        <v>17</v>
      </c>
      <c r="S36" s="710">
        <f t="shared" si="10"/>
        <v>100</v>
      </c>
      <c r="T36" s="709" t="s">
        <v>17</v>
      </c>
      <c r="U36" s="710">
        <f t="shared" si="11"/>
        <v>100</v>
      </c>
      <c r="V36" s="709" t="s">
        <v>17</v>
      </c>
      <c r="W36" s="710">
        <f t="shared" si="12"/>
        <v>100</v>
      </c>
      <c r="X36" s="711"/>
      <c r="Y36" s="3299"/>
      <c r="Z36" s="54" t="str">
        <f t="shared" si="13"/>
        <v>宗地开发程度</v>
      </c>
      <c r="AA36" s="712">
        <f t="shared" si="3"/>
        <v>1</v>
      </c>
      <c r="AB36" s="712">
        <f t="shared" si="4"/>
        <v>1</v>
      </c>
      <c r="AC36" s="712">
        <f t="shared" si="5"/>
        <v>1</v>
      </c>
    </row>
    <row r="37" spans="1:31" ht="15">
      <c r="A37" s="430"/>
      <c r="B37" s="380" t="s">
        <v>2576</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9"/>
      <c r="M37" s="2943"/>
      <c r="N37" s="2943"/>
      <c r="O37" s="3001"/>
      <c r="P37" s="3299" t="s">
        <v>2386</v>
      </c>
      <c r="Q37" s="1534" t="str">
        <f t="shared" si="14"/>
        <v>工程地质条件</v>
      </c>
      <c r="R37" s="713" t="s">
        <v>17</v>
      </c>
      <c r="S37" s="714">
        <f t="shared" si="10"/>
        <v>100</v>
      </c>
      <c r="T37" s="713" t="s">
        <v>17</v>
      </c>
      <c r="U37" s="714">
        <f t="shared" si="11"/>
        <v>100</v>
      </c>
      <c r="V37" s="713" t="s">
        <v>17</v>
      </c>
      <c r="W37" s="714">
        <f t="shared" si="12"/>
        <v>100</v>
      </c>
      <c r="X37" s="1537"/>
      <c r="Y37" s="3299" t="s">
        <v>2386</v>
      </c>
      <c r="Z37" s="1538" t="str">
        <f t="shared" si="13"/>
        <v>工程地质条件</v>
      </c>
      <c r="AA37" s="1535">
        <f t="shared" si="3"/>
        <v>1</v>
      </c>
      <c r="AB37" s="1535">
        <f t="shared" si="4"/>
        <v>1</v>
      </c>
      <c r="AC37" s="1535">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299"/>
      <c r="Q38" s="1534">
        <f t="shared" si="14"/>
        <v>111</v>
      </c>
      <c r="R38" s="713" t="s">
        <v>17</v>
      </c>
      <c r="S38" s="714">
        <f t="shared" si="10"/>
        <v>100</v>
      </c>
      <c r="T38" s="713" t="s">
        <v>17</v>
      </c>
      <c r="U38" s="714">
        <f t="shared" si="11"/>
        <v>100</v>
      </c>
      <c r="V38" s="713" t="s">
        <v>17</v>
      </c>
      <c r="W38" s="714">
        <f t="shared" si="12"/>
        <v>100</v>
      </c>
      <c r="X38" s="1537"/>
      <c r="Y38" s="3299"/>
      <c r="Z38" s="1538">
        <f t="shared" si="13"/>
        <v>111</v>
      </c>
      <c r="AA38" s="1535">
        <f t="shared" si="3"/>
        <v>1</v>
      </c>
      <c r="AB38" s="1535">
        <f t="shared" si="4"/>
        <v>1</v>
      </c>
      <c r="AC38" s="1535">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299"/>
      <c r="Q39" s="1534">
        <f t="shared" si="14"/>
        <v>111</v>
      </c>
      <c r="R39" s="713" t="s">
        <v>17</v>
      </c>
      <c r="S39" s="714">
        <f t="shared" si="10"/>
        <v>100</v>
      </c>
      <c r="T39" s="713" t="s">
        <v>17</v>
      </c>
      <c r="U39" s="714">
        <f t="shared" si="11"/>
        <v>100</v>
      </c>
      <c r="V39" s="713" t="s">
        <v>17</v>
      </c>
      <c r="W39" s="714">
        <f t="shared" si="12"/>
        <v>100</v>
      </c>
      <c r="X39" s="1537"/>
      <c r="Y39" s="3299"/>
      <c r="Z39" s="1538">
        <f t="shared" si="13"/>
        <v>111</v>
      </c>
      <c r="AA39" s="1535">
        <f t="shared" si="3"/>
        <v>1</v>
      </c>
      <c r="AB39" s="1535">
        <f t="shared" si="4"/>
        <v>1</v>
      </c>
      <c r="AC39" s="1535">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299"/>
      <c r="Q40" s="1534">
        <f t="shared" si="14"/>
        <v>111</v>
      </c>
      <c r="R40" s="716" t="s">
        <v>17</v>
      </c>
      <c r="S40" s="717">
        <f t="shared" si="10"/>
        <v>100</v>
      </c>
      <c r="T40" s="716" t="s">
        <v>17</v>
      </c>
      <c r="U40" s="717">
        <f t="shared" si="11"/>
        <v>100</v>
      </c>
      <c r="V40" s="716" t="s">
        <v>17</v>
      </c>
      <c r="W40" s="717">
        <f t="shared" si="12"/>
        <v>100</v>
      </c>
      <c r="X40" s="718"/>
      <c r="Y40" s="3299"/>
      <c r="Z40" s="719">
        <f t="shared" si="13"/>
        <v>111</v>
      </c>
      <c r="AA40" s="1535">
        <f t="shared" si="3"/>
        <v>1</v>
      </c>
      <c r="AB40" s="1535">
        <f t="shared" si="4"/>
        <v>1</v>
      </c>
      <c r="AC40" s="1535">
        <f t="shared" si="5"/>
        <v>1</v>
      </c>
    </row>
    <row r="41" spans="1:31" ht="15">
      <c r="A41" s="437" t="s">
        <v>2541</v>
      </c>
      <c r="B41" s="2166" t="s">
        <v>2621</v>
      </c>
      <c r="C41" s="637" t="s">
        <v>1</v>
      </c>
      <c r="D41" s="439"/>
      <c r="E41" s="440"/>
      <c r="F41" s="441"/>
      <c r="G41" s="442"/>
      <c r="H41" s="443"/>
      <c r="I41" s="440"/>
      <c r="J41" s="443"/>
      <c r="K41" s="722"/>
      <c r="L41" s="2951"/>
      <c r="M41" s="2943"/>
      <c r="N41" s="2943"/>
      <c r="O41" s="2952"/>
      <c r="P41" s="3281" t="str">
        <f>A41</f>
        <v>成交单价</v>
      </c>
      <c r="Q41" s="3281"/>
      <c r="R41" s="3294">
        <f>E41</f>
        <v>0</v>
      </c>
      <c r="S41" s="3294"/>
      <c r="T41" s="3294">
        <f>G41</f>
        <v>0</v>
      </c>
      <c r="U41" s="3294"/>
      <c r="V41" s="3294">
        <f>I41</f>
        <v>0</v>
      </c>
      <c r="W41" s="3294"/>
      <c r="X41" s="698"/>
      <c r="Y41" s="720"/>
      <c r="Z41" s="698"/>
      <c r="AA41" s="698"/>
      <c r="AB41" s="698"/>
      <c r="AC41" s="698"/>
    </row>
    <row r="42" spans="1:31" ht="15.75" thickBot="1">
      <c r="A42" s="444" t="s">
        <v>2490</v>
      </c>
      <c r="B42" s="638"/>
      <c r="C42" s="447" t="e">
        <f>R43</f>
        <v>#DIV/0!</v>
      </c>
      <c r="D42" s="2536" t="s">
        <v>2881</v>
      </c>
      <c r="E42" s="447" t="e">
        <f>R42</f>
        <v>#DIV/0!</v>
      </c>
      <c r="F42" s="2537"/>
      <c r="G42" s="446" t="e">
        <f>T42</f>
        <v>#DIV/0!</v>
      </c>
      <c r="H42" s="2537"/>
      <c r="I42" s="447" t="e">
        <f>V42</f>
        <v>#DIV/0!</v>
      </c>
      <c r="J42" s="2537"/>
      <c r="K42" s="2539">
        <f>F42+H42+J42</f>
        <v>0</v>
      </c>
      <c r="L42" s="2951"/>
      <c r="M42" s="2943"/>
      <c r="N42" s="2943"/>
      <c r="O42" s="2952"/>
      <c r="P42" s="3281" t="str">
        <f>A42</f>
        <v>比较价值（元/平方米）</v>
      </c>
      <c r="Q42" s="3281"/>
      <c r="R42" s="3300" t="e">
        <f>ROUND(PRODUCT(R41,AA7:AA40),0)</f>
        <v>#DIV/0!</v>
      </c>
      <c r="S42" s="3300"/>
      <c r="T42" s="3300" t="e">
        <f>ROUND(PRODUCT(T41,AB7:AB40),0)</f>
        <v>#DIV/0!</v>
      </c>
      <c r="U42" s="3300"/>
      <c r="V42" s="3300" t="e">
        <f>ROUND(PRODUCT(V41,AC7:AC40),0)</f>
        <v>#DIV/0!</v>
      </c>
      <c r="W42" s="3300"/>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1"/>
      <c r="M43" s="2943"/>
      <c r="N43" s="2943"/>
      <c r="O43" s="2952"/>
      <c r="P43" s="3301" t="str">
        <f>A43</f>
        <v>估价对象XX用房的比较价值（楼面单价，元/平方米）</v>
      </c>
      <c r="Q43" s="3302"/>
      <c r="R43" s="3303" t="e">
        <f>ROUND(IF(D42="简单平均",AVERAGE(R42:W42),R42*F42+T42*H42+V42*J42),0)</f>
        <v>#DIV/0!</v>
      </c>
      <c r="S43" s="3303"/>
      <c r="T43" s="3303"/>
      <c r="U43" s="3303"/>
      <c r="V43" s="3303"/>
      <c r="W43" s="3303"/>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2579</v>
      </c>
      <c r="B50" s="640" t="s">
        <v>2580</v>
      </c>
      <c r="C50" s="2167" t="s">
        <v>2581</v>
      </c>
      <c r="D50" s="2168" t="s">
        <v>2582</v>
      </c>
      <c r="E50" s="641" t="s">
        <v>2583</v>
      </c>
      <c r="F50" s="642" t="s">
        <v>2584</v>
      </c>
      <c r="G50" s="3282" t="s">
        <v>2585</v>
      </c>
      <c r="H50" s="3304"/>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2588</v>
      </c>
      <c r="B51" s="644" t="e">
        <f>C43</f>
        <v>#DIV/0!</v>
      </c>
      <c r="C51" s="645">
        <v>1</v>
      </c>
      <c r="D51" s="1074">
        <v>1</v>
      </c>
      <c r="E51" s="645">
        <f>'数据-汇总表'!E8+'数据-汇总表'!E9</f>
        <v>45218.69</v>
      </c>
      <c r="F51" s="646" t="e">
        <f t="shared" ref="F51:F60" si="15">ROUND(B51*E51/10000,0)</f>
        <v>#DIV/0!</v>
      </c>
      <c r="G51" s="3305"/>
      <c r="H51" s="3281"/>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2589</v>
      </c>
      <c r="B52" s="223" t="e">
        <f>ROUND($C$43*C52*D52,0)</f>
        <v>#DIV/0!</v>
      </c>
      <c r="C52" s="175">
        <f t="shared" ref="C52:C60" si="16">IF($C$50="北京市系数",I52,J52)</f>
        <v>0</v>
      </c>
      <c r="D52" s="1075">
        <v>0.25</v>
      </c>
      <c r="E52" s="649"/>
      <c r="F52" s="646" t="e">
        <f t="shared" si="15"/>
        <v>#DIV/0!</v>
      </c>
      <c r="G52" s="3306" t="s">
        <v>2590</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2591</v>
      </c>
      <c r="B53" s="223" t="e">
        <f t="shared" ref="B53:B60" si="17">ROUND($C$43*C53*D53,0)</f>
        <v>#DIV/0!</v>
      </c>
      <c r="C53" s="175">
        <f t="shared" si="16"/>
        <v>0</v>
      </c>
      <c r="D53" s="1075">
        <v>0.25</v>
      </c>
      <c r="E53" s="649"/>
      <c r="F53" s="646" t="e">
        <f t="shared" si="15"/>
        <v>#DIV/0!</v>
      </c>
      <c r="G53" s="3306"/>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2592</v>
      </c>
      <c r="B54" s="223" t="e">
        <f t="shared" si="17"/>
        <v>#DIV/0!</v>
      </c>
      <c r="C54" s="175">
        <f t="shared" si="16"/>
        <v>0</v>
      </c>
      <c r="D54" s="1075">
        <v>0.25</v>
      </c>
      <c r="E54" s="649"/>
      <c r="F54" s="646" t="e">
        <f t="shared" si="15"/>
        <v>#DIV/0!</v>
      </c>
      <c r="G54" s="3306"/>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2593</v>
      </c>
      <c r="B55" s="223" t="e">
        <f t="shared" si="17"/>
        <v>#DIV/0!</v>
      </c>
      <c r="C55" s="175">
        <f t="shared" si="16"/>
        <v>0</v>
      </c>
      <c r="D55" s="1075">
        <v>0.25</v>
      </c>
      <c r="E55" s="649"/>
      <c r="F55" s="646" t="e">
        <f t="shared" si="15"/>
        <v>#DIV/0!</v>
      </c>
      <c r="G55" s="3306"/>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2594</v>
      </c>
      <c r="B56" s="223" t="e">
        <f t="shared" si="17"/>
        <v>#DIV/0!</v>
      </c>
      <c r="C56" s="175">
        <f t="shared" si="16"/>
        <v>0</v>
      </c>
      <c r="D56" s="1075">
        <v>0.25</v>
      </c>
      <c r="E56" s="222">
        <f>'数据-汇总表'!E11</f>
        <v>0</v>
      </c>
      <c r="F56" s="646"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2598</v>
      </c>
      <c r="B58" s="223" t="e">
        <f t="shared" si="17"/>
        <v>#DIV/0!</v>
      </c>
      <c r="C58" s="175">
        <f t="shared" si="16"/>
        <v>0</v>
      </c>
      <c r="D58" s="1075">
        <v>0.25</v>
      </c>
      <c r="E58" s="222">
        <f>'数据-汇总表'!E13</f>
        <v>0</v>
      </c>
      <c r="F58" s="646"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2600</v>
      </c>
      <c r="B59" s="223" t="e">
        <f t="shared" si="17"/>
        <v>#DIV/0!</v>
      </c>
      <c r="C59" s="175">
        <f t="shared" si="16"/>
        <v>0</v>
      </c>
      <c r="D59" s="1075">
        <v>0.25</v>
      </c>
      <c r="E59" s="222">
        <f>'数据-汇总表'!E14</f>
        <v>0</v>
      </c>
      <c r="F59" s="646" t="e">
        <f t="shared" si="15"/>
        <v>#DIV/0!</v>
      </c>
      <c r="G59" s="2171" t="s">
        <v>2590</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2601</v>
      </c>
      <c r="B60" s="223" t="e">
        <f t="shared" si="17"/>
        <v>#DIV/0!</v>
      </c>
      <c r="C60" s="175">
        <f t="shared" si="16"/>
        <v>0</v>
      </c>
      <c r="D60" s="1075">
        <v>0.25</v>
      </c>
      <c r="E60" s="222">
        <f>'数据-汇总表'!E15</f>
        <v>0</v>
      </c>
      <c r="F60" s="646"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2602</v>
      </c>
      <c r="B61" s="651" t="s">
        <v>28</v>
      </c>
      <c r="C61" s="651" t="s">
        <v>29</v>
      </c>
      <c r="D61" s="651" t="s">
        <v>997</v>
      </c>
      <c r="E61" s="651">
        <f>IF(B41="楼面地价",SUM(E51:E60),'数据-汇总表'!D3)</f>
        <v>0</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2" customFormat="1" ht="30.75" customHeight="1">
      <c r="A66" s="2178" t="s">
        <v>2623</v>
      </c>
      <c r="B66" s="293" t="str">
        <f>"北京市平均增长率"&amp;TEXT(基准地价修正!P24,"0.00%")</f>
        <v>北京市平均增长率1.24%</v>
      </c>
      <c r="C66" s="559">
        <v>100</v>
      </c>
      <c r="D66" s="551"/>
      <c r="E66" s="551"/>
      <c r="F66" s="551"/>
      <c r="G66" s="551"/>
      <c r="H66" s="551"/>
      <c r="I66" s="551"/>
      <c r="J66" s="551"/>
      <c r="K66" s="551"/>
      <c r="L66" s="551"/>
      <c r="M66" s="1338"/>
      <c r="N66" s="1338"/>
      <c r="O66" s="1340"/>
      <c r="P66" s="2966"/>
      <c r="Q66" s="2886"/>
      <c r="R66" s="2886"/>
      <c r="S66" s="2886"/>
      <c r="T66" s="2886"/>
      <c r="U66" s="2886"/>
      <c r="V66" s="2886"/>
      <c r="W66" s="2886"/>
      <c r="X66" s="2886"/>
      <c r="Y66" s="2886"/>
      <c r="Z66" s="2886"/>
      <c r="AA66" s="2886"/>
      <c r="AB66" s="2886"/>
      <c r="AC66" s="2886"/>
      <c r="AD66" s="2886"/>
      <c r="AE66" s="2886"/>
    </row>
    <row r="67" spans="1:31" s="112" customFormat="1" ht="15.75" thickBot="1">
      <c r="A67" s="471" t="s">
        <v>2406</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2" customFormat="1" ht="15">
      <c r="A68" s="477" t="s">
        <v>2371</v>
      </c>
      <c r="B68" s="466"/>
      <c r="C68" s="478" t="s">
        <v>2473</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2"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2409</v>
      </c>
      <c r="B70" s="484" t="s">
        <v>2375</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2378</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2380</v>
      </c>
      <c r="B83" s="484" t="s">
        <v>2526</v>
      </c>
      <c r="C83" s="529" t="s">
        <v>2418</v>
      </c>
      <c r="D83" s="529" t="s">
        <v>2419</v>
      </c>
      <c r="E83" s="529" t="s">
        <v>2420</v>
      </c>
      <c r="F83" s="529" t="s">
        <v>2421</v>
      </c>
      <c r="G83" s="529" t="s">
        <v>2422</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2423</v>
      </c>
      <c r="C85" s="534" t="s">
        <v>2418</v>
      </c>
      <c r="D85" s="534" t="s">
        <v>2419</v>
      </c>
      <c r="E85" s="534" t="s">
        <v>2420</v>
      </c>
      <c r="F85" s="534" t="s">
        <v>2421</v>
      </c>
      <c r="G85" s="534" t="s">
        <v>2422</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2" customFormat="1" ht="15.75" thickTop="1">
      <c r="A87" s="535"/>
      <c r="B87" s="494" t="s">
        <v>2606</v>
      </c>
      <c r="C87" s="529" t="s">
        <v>2418</v>
      </c>
      <c r="D87" s="529" t="s">
        <v>2419</v>
      </c>
      <c r="E87" s="529" t="s">
        <v>2420</v>
      </c>
      <c r="F87" s="529" t="s">
        <v>2421</v>
      </c>
      <c r="G87" s="529" t="s">
        <v>2422</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2" customFormat="1" ht="27.75" thickTop="1">
      <c r="A89" s="535"/>
      <c r="B89" s="494" t="s">
        <v>2607</v>
      </c>
      <c r="C89" s="529" t="s">
        <v>2418</v>
      </c>
      <c r="D89" s="529" t="s">
        <v>2419</v>
      </c>
      <c r="E89" s="529" t="s">
        <v>2420</v>
      </c>
      <c r="F89" s="529" t="s">
        <v>2421</v>
      </c>
      <c r="G89" s="529" t="s">
        <v>2422</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2512</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2571</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2613</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2615</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2616</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2625</v>
      </c>
      <c r="B1" s="202"/>
      <c r="C1" s="206" t="s">
        <v>2626</v>
      </c>
      <c r="D1" s="347">
        <f>SUM(D29:D30,D33:D39)</f>
        <v>0</v>
      </c>
      <c r="E1" s="2179"/>
      <c r="F1" s="2179"/>
      <c r="G1" s="2179"/>
      <c r="H1" s="2179"/>
      <c r="I1" s="2179"/>
      <c r="J1" s="2179"/>
      <c r="K1" s="1278"/>
      <c r="L1" s="2180" t="s">
        <v>2627</v>
      </c>
      <c r="M1" s="993">
        <f>SUMPRODUCT((区片价!B5:B9=I2)*(区片价!C3:F3=E2)*(区片价!C5:F9))</f>
        <v>0</v>
      </c>
      <c r="N1" s="996">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8"/>
      <c r="L2" s="2188" t="s">
        <v>2638</v>
      </c>
      <c r="M2" s="994">
        <f>SUMPRODUCT((区片价!B10:B28=I2)*(区片价!C3:F3=E2)*(区片价!C10:F28))</f>
        <v>0</v>
      </c>
      <c r="N2" s="996">
        <f>SUMPRODUCT((因素修正幅度!B10:B28=I2)*(因素修正幅度!C3:F3=E2)*(因素修正幅度!C10:F28))</f>
        <v>0</v>
      </c>
      <c r="O2" s="1278"/>
      <c r="P2" s="1278"/>
      <c r="Q2" s="1278"/>
      <c r="R2" s="1372">
        <v>1</v>
      </c>
      <c r="S2" s="1372" t="e">
        <f>ROUND(IF(G3&gt;1,IF(R2&lt;7,SUMPRODUCT((B93:B98=R2)*(C92:N92=G2)*(C93:N98)),SUMIF(C92:N92,G2,C100:N100)),IF(R2&lt;7,SUMPRODUCT((B102:B107=R2)*(C92:N92=G2)*(C102:N107)),SUMIF(C92:N92,G2,C109:N109))),4)</f>
        <v>#DIV/0!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2639</v>
      </c>
      <c r="B3" s="209" t="e">
        <f>ROUND(B2*10000/D1,0)</f>
        <v>#DIV/0!</v>
      </c>
      <c r="C3" s="2183" t="s">
        <v>2640</v>
      </c>
      <c r="D3" s="2184" t="s">
        <v>2641</v>
      </c>
      <c r="E3" s="2189"/>
      <c r="F3" s="2190" t="s">
        <v>2642</v>
      </c>
      <c r="G3" s="854" t="e">
        <f>IF(F3="宗地容积率",'数据-汇总表'!I4,IF(F3="估价对象容积率",'数据-汇总表'!I6,'数据-汇总表'!I7))</f>
        <v>#DIV/0!</v>
      </c>
      <c r="H3" s="174" t="s">
        <v>2643</v>
      </c>
      <c r="I3" s="880"/>
      <c r="J3" s="2187" t="s">
        <v>2644</v>
      </c>
      <c r="K3" s="1278"/>
      <c r="L3" s="2188" t="s">
        <v>2645</v>
      </c>
      <c r="M3" s="994">
        <f>SUMPRODUCT((区片价!B29:B48=I2)*(区片价!C3:F3=E2)*(区片价!C29:F48))</f>
        <v>0</v>
      </c>
      <c r="N3" s="996">
        <f>SUMPRODUCT((因素修正幅度!B29:B48=I2)*(因素修正幅度!C3:F3=E2)*(因素修正幅度!C29:F48))</f>
        <v>0</v>
      </c>
      <c r="O3" s="1278"/>
      <c r="P3" s="1278"/>
      <c r="Q3" s="1278"/>
      <c r="R3" s="1372">
        <v>2</v>
      </c>
      <c r="S3" s="1372" t="e">
        <f>ROUND(IF(G3&gt;1,IF(R3&lt;7,SUMPRODUCT((B93:B98=R3)*(C92:N92=G2)*(C93:N98)),SUMIF(C92:N92,G2,C100:N100)),IF(R3&lt;7,SUMPRODUCT((B102:B107=R3)*(C92:N92=G2)*(C102:N107)),SUMIF(C92:N92,G2,C109:N109))),4)</f>
        <v>#DIV/0!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82"/>
      <c r="B4" s="3383"/>
      <c r="C4" s="3383"/>
      <c r="D4" s="3384"/>
      <c r="E4" s="3384"/>
      <c r="F4" s="3384"/>
      <c r="G4" s="3384"/>
      <c r="H4" s="3384"/>
      <c r="I4" s="3384"/>
      <c r="J4" s="3385"/>
      <c r="K4" s="1278"/>
      <c r="L4" s="2188" t="s">
        <v>2646</v>
      </c>
      <c r="M4" s="994">
        <f>SUMPRODUCT((区片价!B49:B75=I2)*(区片价!C3:F3=E2)*(区片价!C49:F75))</f>
        <v>0</v>
      </c>
      <c r="N4" s="996">
        <f>SUMPRODUCT((因素修正幅度!B49:B75=I2)*(因素修正幅度!C3:F3=E2)*(因素修正幅度!C49:F75))</f>
        <v>0</v>
      </c>
      <c r="O4" s="1278"/>
      <c r="P4" s="1278"/>
      <c r="Q4" s="1278"/>
      <c r="R4" s="1372">
        <v>3</v>
      </c>
      <c r="S4" s="1372" t="e">
        <f>ROUND(IF(G3&gt;1,IF(R4&lt;7,SUMPRODUCT((B93:B98=R4)*(C92:N92=G2)*(C93:N98)),SUMIF(C92:N92,G2,C100:N100)),IF(R4&lt;7,SUMPRODUCT((B102:B107=R4)*(C92:N92=G2)*(C102:N107)),SUMIF(C92:N92,G2,C109:N109))),4)</f>
        <v>#DIV/0!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8"/>
      <c r="P5" s="1278"/>
      <c r="Q5" s="1278"/>
      <c r="R5" s="1372">
        <v>4</v>
      </c>
      <c r="S5" s="1372" t="e">
        <f>ROUND(IF(G3&gt;1,IF(R5&lt;7,SUMPRODUCT((B93:B98=R5)*(C92:N92=G2)*(C93:N98)),SUMIF(C92:N92,G2,C100:N100)),IF(R5&lt;7,SUMPRODUCT((B102:B107=R5)*(C92:N92=G2)*(C102:N107)),SUMIF(C92:N92,G2,C109:N109))),4)</f>
        <v>#DIV/0!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8"/>
      <c r="P6" s="1278"/>
      <c r="Q6" s="1278"/>
      <c r="R6" s="1372">
        <v>5</v>
      </c>
      <c r="S6" s="1372" t="e">
        <f>ROUND(IF(G3&gt;1,IF(R6&lt;7,SUMPRODUCT((B93:B98=R6)*(C92:N92=G2)*(C93:N98)),SUMIF(C92:N92,G2,C100:N100)),IF(R6&lt;7,SUMPRODUCT((B102:B107=R6)*(C92:N92=G2)*(C102:N107)),SUMIF(C92:N92,G2,C109:N109))),4)</f>
        <v>#DIV/0!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63"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8"/>
      <c r="P7" s="1278"/>
      <c r="Q7" s="1278"/>
      <c r="R7" s="1372">
        <v>6</v>
      </c>
      <c r="S7" s="1372" t="e">
        <f>ROUND(IF(G3&gt;1,IF(R7&lt;7,SUMPRODUCT((B93:B98=R7)*(C92:N92=G2)*(C93:N98)),SUMIF(C92:N92,G2,C100:N100)),IF(R7&lt;7,SUMPRODUCT((B102:B107=R7)*(C92:N92=G2)*(C102:N107)),SUMIF(C92:N92,G2,C109:N109))),4)</f>
        <v>#DIV/0!</v>
      </c>
      <c r="T7" s="1372" t="e">
        <f t="shared" si="0"/>
        <v>#DIV/0!</v>
      </c>
      <c r="U7" s="1373"/>
      <c r="V7" s="1372" t="e">
        <f t="shared" si="1"/>
        <v>#DIV/0!</v>
      </c>
      <c r="W7" s="1540" t="s">
        <v>2656</v>
      </c>
      <c r="X7" s="1374">
        <f>G2</f>
        <v>0</v>
      </c>
      <c r="Y7" s="1374" t="s">
        <v>2657</v>
      </c>
      <c r="Z7" s="1375" t="e">
        <f>G3</f>
        <v>#DIV/0!</v>
      </c>
      <c r="AA7" s="1376"/>
      <c r="AB7" s="1376"/>
      <c r="AC7" s="1377"/>
      <c r="AD7" s="1378"/>
      <c r="AE7" s="1378"/>
      <c r="AF7" s="1378"/>
      <c r="AG7" s="1378"/>
      <c r="AH7" s="1378"/>
      <c r="AI7" s="1378"/>
      <c r="AJ7" s="1379"/>
    </row>
    <row r="8" spans="1:36" ht="15">
      <c r="A8" s="3386"/>
      <c r="B8" s="174" t="s">
        <v>2658</v>
      </c>
      <c r="C8" s="2212"/>
      <c r="D8" s="858" t="s">
        <v>139</v>
      </c>
      <c r="E8" s="859" t="e">
        <f>ROUND(C11/E7,4)</f>
        <v>#DIV/0!</v>
      </c>
      <c r="F8" s="2213" t="s">
        <v>2659</v>
      </c>
      <c r="G8" s="2214"/>
      <c r="H8" s="2214"/>
      <c r="I8" s="2214"/>
      <c r="J8" s="2215"/>
      <c r="K8" s="1278"/>
      <c r="L8" s="2188" t="s">
        <v>2660</v>
      </c>
      <c r="M8" s="994">
        <f>SUMPRODUCT((区片价!B206:B244=I2)*(区片价!C3:F3=E2)*(区片价!C206:F244))</f>
        <v>0</v>
      </c>
      <c r="N8" s="996">
        <f>SUMPRODUCT((因素修正幅度!B206:B244=I2)*(因素修正幅度!C3:F3=E2)*(因素修正幅度!C206:F244))</f>
        <v>0</v>
      </c>
      <c r="O8" s="1278"/>
      <c r="P8" s="1278"/>
      <c r="Q8" s="1278"/>
      <c r="R8" s="1372">
        <v>7</v>
      </c>
      <c r="S8" s="1373"/>
      <c r="T8" s="1372" t="e">
        <f t="shared" si="0"/>
        <v>#DIV/0!</v>
      </c>
      <c r="U8" s="1373"/>
      <c r="V8" s="1372" t="e">
        <f t="shared" si="1"/>
        <v>#DIV/0!</v>
      </c>
      <c r="W8" s="3379" t="s">
        <v>2661</v>
      </c>
      <c r="X8" s="3380"/>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86"/>
      <c r="B9" s="174" t="s">
        <v>2674</v>
      </c>
      <c r="C9" s="860">
        <f>SUMIF(修正!C59:C119,C8,修正!E59:E119)</f>
        <v>0</v>
      </c>
      <c r="D9" s="175" t="s">
        <v>140</v>
      </c>
      <c r="E9" s="175" t="e">
        <f>ROUND(C11/E7,4)</f>
        <v>#DIV/0!</v>
      </c>
      <c r="F9" s="2213" t="s">
        <v>2675</v>
      </c>
      <c r="G9" s="2214"/>
      <c r="H9" s="2214"/>
      <c r="I9" s="2214"/>
      <c r="J9" s="2215"/>
      <c r="K9" s="1278"/>
      <c r="L9" s="2188" t="s">
        <v>2676</v>
      </c>
      <c r="M9" s="994">
        <f>SUMPRODUCT((区片价!B245:B289=I2)*(区片价!C3:F3=E2)*(区片价!C245:F289))</f>
        <v>0</v>
      </c>
      <c r="N9" s="996">
        <f>SUMPRODUCT((因素修正幅度!B245:B289=I2)*(因素修正幅度!C3:F3=E2)*(因素修正幅度!C245:F289))</f>
        <v>0</v>
      </c>
      <c r="O9" s="1278"/>
      <c r="P9" s="1278"/>
      <c r="Q9" s="1278"/>
      <c r="R9" s="1372">
        <v>8</v>
      </c>
      <c r="S9" s="1373"/>
      <c r="T9" s="1372" t="e">
        <f t="shared" si="0"/>
        <v>#DIV/0!</v>
      </c>
      <c r="U9" s="1373"/>
      <c r="V9" s="1372" t="e">
        <f t="shared" si="1"/>
        <v>#DIV/0!</v>
      </c>
      <c r="W9" s="3381"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86"/>
      <c r="B10" s="174" t="s">
        <v>2679</v>
      </c>
      <c r="C10" s="175">
        <f>SUMIF(修正!C59:C119,C8,修正!F59:F119)</f>
        <v>0</v>
      </c>
      <c r="D10" s="175" t="s">
        <v>141</v>
      </c>
      <c r="E10" s="175" t="e">
        <f>ROUND(C11/E7,4)</f>
        <v>#DIV/0!</v>
      </c>
      <c r="F10" s="2213" t="s">
        <v>2680</v>
      </c>
      <c r="G10" s="2214"/>
      <c r="H10" s="2214"/>
      <c r="I10" s="2214"/>
      <c r="J10" s="2215"/>
      <c r="K10" s="1278"/>
      <c r="L10" s="2188" t="s">
        <v>2681</v>
      </c>
      <c r="M10" s="994">
        <f>SUMPRODUCT((区片价!B290:B316=I2)*(区片价!C3:F3=E2)*(区片价!C290:F316))</f>
        <v>0</v>
      </c>
      <c r="N10" s="996">
        <f>SUMPRODUCT((因素修正幅度!B290:B316=I2)*(因素修正幅度!C3:F3=E2)*(因素修正幅度!C290:F316))</f>
        <v>0</v>
      </c>
      <c r="O10" s="1278"/>
      <c r="P10" s="1278"/>
      <c r="Q10" s="1278"/>
      <c r="R10" s="1372">
        <v>9</v>
      </c>
      <c r="S10" s="1373"/>
      <c r="T10" s="1372" t="e">
        <f t="shared" si="0"/>
        <v>#DIV/0!</v>
      </c>
      <c r="U10" s="1373"/>
      <c r="V10" s="1372" t="e">
        <f t="shared" si="1"/>
        <v>#DIV/0!</v>
      </c>
      <c r="W10" s="3381"/>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86"/>
      <c r="B11" s="2216" t="s">
        <v>2682</v>
      </c>
      <c r="C11" s="861">
        <f>C10/4</f>
        <v>0</v>
      </c>
      <c r="D11" s="861" t="s">
        <v>142</v>
      </c>
      <c r="E11" s="861" t="e">
        <f>ROUND(C11/E7,4)</f>
        <v>#DIV/0!</v>
      </c>
      <c r="F11" s="2217" t="s">
        <v>2683</v>
      </c>
      <c r="G11" s="2218"/>
      <c r="H11" s="2218"/>
      <c r="I11" s="2218"/>
      <c r="J11" s="2219"/>
      <c r="K11" s="1278"/>
      <c r="L11" s="2188" t="s">
        <v>2684</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t="e">
        <f t="shared" si="0"/>
        <v>#DIV/0!</v>
      </c>
      <c r="U11" s="1373"/>
      <c r="V11" s="1372" t="e">
        <f t="shared" si="1"/>
        <v>#DIV/0!</v>
      </c>
      <c r="W11" s="3381" t="s">
        <v>2685</v>
      </c>
      <c r="X11" s="1384" t="s">
        <v>2686</v>
      </c>
      <c r="Y11" s="1385" t="e">
        <f>$G$3</f>
        <v>#DIV/0!</v>
      </c>
      <c r="Z11" s="1385" t="e">
        <f t="shared" ref="Z11:AJ11" si="3">$G$3</f>
        <v>#DIV/0!</v>
      </c>
      <c r="AA11" s="1385" t="e">
        <f t="shared" si="3"/>
        <v>#DIV/0!</v>
      </c>
      <c r="AB11" s="1385" t="e">
        <f t="shared" si="3"/>
        <v>#DIV/0!</v>
      </c>
      <c r="AC11" s="1385" t="e">
        <f t="shared" si="3"/>
        <v>#DIV/0!</v>
      </c>
      <c r="AD11" s="1385" t="e">
        <f t="shared" si="3"/>
        <v>#DIV/0!</v>
      </c>
      <c r="AE11" s="1385" t="e">
        <f t="shared" si="3"/>
        <v>#DIV/0!</v>
      </c>
      <c r="AF11" s="1385" t="e">
        <f t="shared" si="3"/>
        <v>#DIV/0!</v>
      </c>
      <c r="AG11" s="1385" t="e">
        <f t="shared" si="3"/>
        <v>#DIV/0!</v>
      </c>
      <c r="AH11" s="1385" t="e">
        <f t="shared" si="3"/>
        <v>#DIV/0!</v>
      </c>
      <c r="AI11" s="1385" t="e">
        <f t="shared" si="3"/>
        <v>#DIV/0!</v>
      </c>
      <c r="AJ11" s="1385" t="e">
        <f t="shared" si="3"/>
        <v>#DIV/0!</v>
      </c>
    </row>
    <row r="12" spans="1:36" ht="25.5" thickBot="1">
      <c r="A12" s="3363" t="s">
        <v>2687</v>
      </c>
      <c r="B12" s="2220" t="s">
        <v>2688</v>
      </c>
      <c r="C12" s="857">
        <f>ROUND(C15*D15*E15*F15*G15*H15*I15*J15,4)</f>
        <v>1</v>
      </c>
      <c r="D12" s="2221" t="s">
        <v>2689</v>
      </c>
      <c r="E12" s="2222"/>
      <c r="F12" s="2222"/>
      <c r="G12" s="2223"/>
      <c r="H12" s="2223"/>
      <c r="I12" s="2223"/>
      <c r="J12" s="2224"/>
      <c r="K12" s="1278"/>
      <c r="L12" s="2225" t="s">
        <v>2690</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t="e">
        <f t="shared" si="0"/>
        <v>#DIV/0!</v>
      </c>
      <c r="U12" s="1373"/>
      <c r="V12" s="1372" t="e">
        <f t="shared" si="1"/>
        <v>#DIV/0!</v>
      </c>
      <c r="W12" s="3381"/>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87"/>
      <c r="B13" s="2226" t="s">
        <v>2692</v>
      </c>
      <c r="C13" s="2227" t="s">
        <v>2693</v>
      </c>
      <c r="D13" s="1532" t="s">
        <v>2694</v>
      </c>
      <c r="E13" s="1532" t="s">
        <v>2695</v>
      </c>
      <c r="F13" s="29" t="s">
        <v>2696</v>
      </c>
      <c r="G13" s="2228" t="s">
        <v>2697</v>
      </c>
      <c r="H13" s="2228" t="s">
        <v>2697</v>
      </c>
      <c r="I13" s="2228" t="s">
        <v>2697</v>
      </c>
      <c r="J13" s="2229" t="s">
        <v>2697</v>
      </c>
      <c r="K13" s="1278"/>
      <c r="L13" s="1278"/>
      <c r="M13" s="1278"/>
      <c r="N13" s="1278"/>
      <c r="O13" s="1278"/>
      <c r="P13" s="1278"/>
      <c r="Q13" s="1278"/>
      <c r="R13" s="1372">
        <v>12</v>
      </c>
      <c r="S13" s="1373"/>
      <c r="T13" s="1372" t="e">
        <f t="shared" si="0"/>
        <v>#DIV/0!</v>
      </c>
      <c r="U13" s="1373"/>
      <c r="V13" s="1372" t="e">
        <f t="shared" si="1"/>
        <v>#DIV/0!</v>
      </c>
      <c r="W13" s="3381"/>
      <c r="X13" s="1386"/>
      <c r="Y13" s="1383" t="e">
        <f>(-0.163*(Y12^2)-0.59*Y12+7617)*(10^(-4))/Y11</f>
        <v>#DIV/0!</v>
      </c>
      <c r="Z13" s="1383" t="e">
        <f t="shared" ref="Z13:AJ13" si="5">(-0.163*(Z12^2)-0.59*Z12+7617)*(10^(-4))/Z11</f>
        <v>#DIV/0!</v>
      </c>
      <c r="AA13" s="1383" t="e">
        <f t="shared" si="5"/>
        <v>#DIV/0!</v>
      </c>
      <c r="AB13" s="1383" t="e">
        <f t="shared" si="5"/>
        <v>#DIV/0!</v>
      </c>
      <c r="AC13" s="1383" t="e">
        <f t="shared" si="5"/>
        <v>#DIV/0!</v>
      </c>
      <c r="AD13" s="1383" t="e">
        <f t="shared" si="5"/>
        <v>#DIV/0!</v>
      </c>
      <c r="AE13" s="1383" t="e">
        <f t="shared" si="5"/>
        <v>#DIV/0!</v>
      </c>
      <c r="AF13" s="1383" t="e">
        <f t="shared" si="5"/>
        <v>#DIV/0!</v>
      </c>
      <c r="AG13" s="1383" t="e">
        <f t="shared" si="5"/>
        <v>#DIV/0!</v>
      </c>
      <c r="AH13" s="1383" t="e">
        <f t="shared" si="5"/>
        <v>#DIV/0!</v>
      </c>
      <c r="AI13" s="1383" t="e">
        <f t="shared" si="5"/>
        <v>#DIV/0!</v>
      </c>
      <c r="AJ13" s="1383" t="e">
        <f t="shared" si="5"/>
        <v>#DIV/0!</v>
      </c>
    </row>
    <row r="14" spans="1:36" ht="15">
      <c r="A14" s="3387"/>
      <c r="B14" s="2230"/>
      <c r="C14" s="2231"/>
      <c r="D14" s="2232"/>
      <c r="E14" s="2232"/>
      <c r="F14" s="2233"/>
      <c r="G14" s="2234" t="s">
        <v>2698</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388"/>
      <c r="B15" s="2238" t="s">
        <v>2699</v>
      </c>
      <c r="C15" s="192">
        <f>IF(C14="有",1.1,1)</f>
        <v>1</v>
      </c>
      <c r="D15" s="192">
        <f>IF(D14="有",1.1,1)</f>
        <v>1</v>
      </c>
      <c r="E15" s="192">
        <f>IF(E14="有",1.1,1)</f>
        <v>1</v>
      </c>
      <c r="F15" s="192">
        <f>IF(F14="500米范围内",1.2,IF(F14="500-1000米",1.1,1))</f>
        <v>1</v>
      </c>
      <c r="G15" s="882">
        <v>1</v>
      </c>
      <c r="H15" s="882">
        <v>1</v>
      </c>
      <c r="I15" s="882">
        <v>1</v>
      </c>
      <c r="J15" s="883">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63" t="s">
        <v>2704</v>
      </c>
      <c r="B16" s="2207" t="s">
        <v>2705</v>
      </c>
      <c r="C16" s="2369" t="e">
        <f>ROUND(IF(F17="与级别开发程度一致",0,(G17-E17)/C17),0)</f>
        <v>#DIV/0!</v>
      </c>
      <c r="D16" s="3376" t="s">
        <v>2709</v>
      </c>
      <c r="E16" s="3377"/>
      <c r="F16" s="3376" t="s">
        <v>2706</v>
      </c>
      <c r="G16" s="3377"/>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64"/>
      <c r="B17" s="2380" t="s">
        <v>2708</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7.75" thickBot="1">
      <c r="A19" s="2244" t="s">
        <v>809</v>
      </c>
      <c r="B19" s="2245" t="s">
        <v>2712</v>
      </c>
      <c r="C19" s="862" t="e">
        <f>ROUND(IF(H19="按公示增长率计算",SUMPRODUCT((地价!A3:A35=YEAR(G19)&amp;"-"&amp;ROUNDUP(MONTH(G19)/3,0))*(地价!X2:AB2=E2)*(地价!X3:AB35)),IF(H19="地价指数",M20/M19,(1+I19)^O19)),4)</f>
        <v>#VALUE!</v>
      </c>
      <c r="D19" s="2249" t="s">
        <v>2713</v>
      </c>
      <c r="E19" s="863">
        <v>41640</v>
      </c>
      <c r="F19" s="2249" t="s">
        <v>2714</v>
      </c>
      <c r="G19" s="864">
        <f>'数据-取费表'!B2</f>
        <v>44439</v>
      </c>
      <c r="H19" s="2250"/>
      <c r="I19" s="865" t="str">
        <f>IF(H19="季度增幅（自定义）",SUMIF(N21:N24,E2,O21:O24),"")</f>
        <v/>
      </c>
      <c r="J19" s="2247"/>
      <c r="K19" s="1285"/>
      <c r="L19" s="2251" t="s">
        <v>2715</v>
      </c>
      <c r="M19" s="1494">
        <f>ROUND(SUMIF(地价!B2:F2,E2,地价!B35:F35),0)</f>
        <v>0</v>
      </c>
      <c r="N19" s="2252" t="s">
        <v>2716</v>
      </c>
      <c r="O19" s="866">
        <f>ROUNDDOWN(DATEDIF(E19,G19,"M")/3,0)</f>
        <v>30</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5"/>
      <c r="L20" s="2257" t="s">
        <v>2720</v>
      </c>
      <c r="M20" s="1495">
        <f>ROUND(SUMPRODUCT((地价!A4:A35=YEAR(G19)&amp;"-"&amp;ROUNDUP(MONTH(G19)/3,0))*(地价!B2:F2=E2)*(地价!B4:F35)),0)</f>
        <v>0</v>
      </c>
      <c r="N20" s="2258" t="s">
        <v>2721</v>
      </c>
      <c r="O20" s="2259" t="s">
        <v>2722</v>
      </c>
      <c r="P20" s="2260" t="s">
        <v>2723</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2724</v>
      </c>
      <c r="C21" s="875" t="e">
        <f>IF(B21="容积率修正",IF(G3&lt;=10,D22,J22),C23)</f>
        <v>#DIV/0!</v>
      </c>
      <c r="D21" s="2263"/>
      <c r="E21" s="2263"/>
      <c r="F21" s="2263"/>
      <c r="G21" s="2263"/>
      <c r="H21" s="2263"/>
      <c r="I21" s="2263"/>
      <c r="J21" s="2264"/>
      <c r="K21" s="1285"/>
      <c r="L21" s="3017"/>
      <c r="M21" s="3017"/>
      <c r="N21" s="2265" t="s">
        <v>2725</v>
      </c>
      <c r="O21" s="1333"/>
      <c r="P21" s="1334">
        <f>SUMPRODUCT((地价!A3:A35=YEAR(G19)&amp;"-"&amp;ROUNDUP(MONTH(G19)/3,0))*(地价!AD2:AH2=N21)*(地价!AD3:AH35))</f>
        <v>1.0699999999999999E-2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2726</v>
      </c>
      <c r="B22" s="2266" t="s">
        <v>2727</v>
      </c>
      <c r="C22" s="1534" t="s">
        <v>2728</v>
      </c>
      <c r="D22" s="1534" t="e">
        <f>IF(E22=G22,F22,IF(G3&lt;=10,ROUND(F22+(H22-F22)*(G3-E22)/(G22-E22),4),"——"))</f>
        <v>#DIV/0!</v>
      </c>
      <c r="E22" s="854" t="e">
        <f>ROUNDDOWN(G3,1)</f>
        <v>#DIV/0!</v>
      </c>
      <c r="F22" s="153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4" t="s">
        <v>155</v>
      </c>
      <c r="J22" s="876" t="e">
        <f>IF(G3&gt;10,D113,"——")</f>
        <v>#DIV/0!</v>
      </c>
      <c r="K22" s="1285"/>
      <c r="L22" s="3017"/>
      <c r="M22" s="3017"/>
      <c r="N22" s="2265" t="s">
        <v>2729</v>
      </c>
      <c r="O22" s="1333"/>
      <c r="P22" s="1334">
        <f>SUMPRODUCT((地价!A3:A35=YEAR(G19)&amp;"-"&amp;ROUNDUP(MONTH(G19)/3,0))*(地价!AD2:AH2=N22)*(地价!AD3:AH35))</f>
        <v>1.0699999999999999E-2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2730</v>
      </c>
      <c r="B23" s="2267" t="s">
        <v>2731</v>
      </c>
      <c r="C23" s="949" t="e">
        <f>ROUND(IF(G3&gt;1,IF(I3&lt;7,SUMPRODUCT((B93:B98=I3)*(C92:N92=G2)*(C93:N98)),SUMIF(C92:N92,G2,C100:N100)),IF(I3&lt;7,SUMPRODUCT((B102:B107=I3)*(C92:N92=G2)*(C102:N107)),SUMIF(C92:N92,G2,C109:N109))),4)</f>
        <v>#DIV/0!</v>
      </c>
      <c r="D23" s="2235"/>
      <c r="E23" s="2235"/>
      <c r="F23" s="2268"/>
      <c r="G23" s="2269"/>
      <c r="H23" s="2270"/>
      <c r="I23" s="2271"/>
      <c r="J23" s="2272"/>
      <c r="K23" s="1278"/>
      <c r="L23" s="2181"/>
      <c r="M23" s="2181"/>
      <c r="N23" s="2265" t="s">
        <v>2732</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2733</v>
      </c>
      <c r="C24" s="862">
        <f>SUMIF(A45:A88,E2,B45:B88)</f>
        <v>0</v>
      </c>
      <c r="D24" s="2246"/>
      <c r="E24" s="2273"/>
      <c r="F24" s="2273"/>
      <c r="G24" s="2273"/>
      <c r="H24" s="2273"/>
      <c r="I24" s="2273"/>
      <c r="J24" s="2274"/>
      <c r="K24" s="1285"/>
      <c r="L24" s="3017"/>
      <c r="M24" s="3017"/>
      <c r="N24" s="2275" t="s">
        <v>2734</v>
      </c>
      <c r="O24" s="1335"/>
      <c r="P24" s="1336">
        <f>SUMPRODUCT((地价!A3:A35=YEAR(G19)&amp;"-"&amp;ROUNDUP(MONTH(G19)/3,0))*(地价!AD2:AH2=N24)*(地价!AD3:AH35))</f>
        <v>1.24E-2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2735</v>
      </c>
      <c r="C25" s="868"/>
      <c r="D25" s="2210"/>
      <c r="E25" s="2210"/>
      <c r="F25" s="2277"/>
      <c r="G25" s="2210"/>
      <c r="H25" s="2210"/>
      <c r="I25" s="2210"/>
      <c r="J25" s="2211"/>
      <c r="K25" s="1278"/>
      <c r="L25" s="2181"/>
      <c r="M25" s="2181"/>
      <c r="N25" s="3012" t="s">
        <v>2736</v>
      </c>
      <c r="O25" s="3013"/>
      <c r="P25" s="3014">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8"/>
      <c r="L26" s="3015" t="s">
        <v>2635</v>
      </c>
      <c r="M26" s="2208" t="s">
        <v>2700</v>
      </c>
      <c r="N26" s="2208" t="s">
        <v>2701</v>
      </c>
      <c r="O26" s="2208" t="s">
        <v>2702</v>
      </c>
      <c r="P26" s="3016" t="s">
        <v>2703</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2738</v>
      </c>
      <c r="C27" s="869" t="e">
        <f>E30+SUM(I33:I39)</f>
        <v>#DIV/0!</v>
      </c>
      <c r="D27" s="2283"/>
      <c r="E27" s="2284"/>
      <c r="F27" s="2285"/>
      <c r="G27" s="2284"/>
      <c r="H27" s="2284"/>
      <c r="I27" s="2284"/>
      <c r="J27" s="2286"/>
      <c r="K27" s="1278"/>
      <c r="L27" s="2241" t="s">
        <v>2707</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8"/>
      <c r="L28" s="2242" t="s">
        <v>2710</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2743</v>
      </c>
      <c r="C29" s="179" t="e">
        <f>ROUND(C5*C18*C19*C20*C21*C24,0)</f>
        <v>#DIV/0!</v>
      </c>
      <c r="D29" s="2294"/>
      <c r="E29" s="878" t="e">
        <f>ROUND(C29*D29/10000,0)</f>
        <v>#DIV/0!</v>
      </c>
      <c r="F29" s="2295" t="s">
        <v>2744</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2745</v>
      </c>
      <c r="C30" s="192" t="e">
        <f>ROUND(IF(E2="工业",C29*M39,C29*M38),0)</f>
        <v>#DIV/0!</v>
      </c>
      <c r="D30" s="2300"/>
      <c r="E30" s="878" t="e">
        <f>ROUND(C30*D30/10000,0)</f>
        <v>#DIV/0!</v>
      </c>
      <c r="F30" s="2301" t="s">
        <v>2746</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2747</v>
      </c>
      <c r="C31" s="2306" t="s">
        <v>2748</v>
      </c>
      <c r="D31" s="2223"/>
      <c r="E31" s="2306"/>
      <c r="F31" s="2306"/>
      <c r="G31" s="2221" t="s">
        <v>2749</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2740</v>
      </c>
      <c r="D32" s="454" t="s">
        <v>2741</v>
      </c>
      <c r="E32" s="454" t="s">
        <v>2742</v>
      </c>
      <c r="F32" s="347" t="s">
        <v>2750</v>
      </c>
      <c r="G32" s="2309" t="s">
        <v>2740</v>
      </c>
      <c r="H32" s="2309" t="s">
        <v>2741</v>
      </c>
      <c r="I32" s="2309" t="s">
        <v>2742</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73"/>
      <c r="B33" s="2310" t="s">
        <v>2751</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378" t="s">
        <v>3057</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74"/>
      <c r="B34" s="2227" t="s">
        <v>2752</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74"/>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74"/>
      <c r="B35" s="2227" t="s">
        <v>2753</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74"/>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75"/>
      <c r="B36" s="2227" t="s">
        <v>2754</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75"/>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2755</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8"/>
      <c r="L37" s="2313" t="s">
        <v>2756</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2757</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8"/>
      <c r="L38" s="1603" t="s">
        <v>2758</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2759</v>
      </c>
      <c r="C39" s="192" t="e">
        <f>ROUND(D5*C19*C41*C24*F39,0)</f>
        <v>#DIV/0!</v>
      </c>
      <c r="D39" s="2300"/>
      <c r="E39" s="192" t="e">
        <f t="shared" si="7"/>
        <v>#DIV/0!</v>
      </c>
      <c r="F39" s="870">
        <f>SUMIF(修正!A45:A56,G2,修正!H45:H56)</f>
        <v>0</v>
      </c>
      <c r="G39" s="192" t="e">
        <f>ROUND(IF(E2="工业",C39*$M$39,C39*$M$38),0)</f>
        <v>#DIV/0!</v>
      </c>
      <c r="H39" s="192">
        <f t="shared" si="8"/>
        <v>0</v>
      </c>
      <c r="I39" s="192" t="e">
        <f t="shared" si="9"/>
        <v>#DIV/0!</v>
      </c>
      <c r="J39" s="2317"/>
      <c r="K39" s="1278"/>
      <c r="L39" s="2318" t="s">
        <v>2703</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2864</v>
      </c>
      <c r="C41" s="347" t="e">
        <f>ROUND(POWER(1+E41,H41-G41)*(POWER(1+E41,G41)-1)/(POWER(1+E41,H41)-1),4)</f>
        <v>#DIV/0!</v>
      </c>
      <c r="D41" s="175" t="s">
        <v>2710</v>
      </c>
      <c r="E41" s="2367">
        <f>G20</f>
        <v>0</v>
      </c>
      <c r="F41" s="175" t="s">
        <v>2719</v>
      </c>
      <c r="G41" s="188"/>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2760</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2761</v>
      </c>
      <c r="B46" s="2324">
        <f>1+E48</f>
        <v>1</v>
      </c>
      <c r="C46" s="2325"/>
      <c r="D46" s="752"/>
      <c r="E46" s="753"/>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2762</v>
      </c>
      <c r="B47" s="1533" t="s">
        <v>2763</v>
      </c>
      <c r="C47" s="1533" t="s">
        <v>2764</v>
      </c>
      <c r="D47" s="1533" t="s">
        <v>2765</v>
      </c>
      <c r="E47" s="757" t="s">
        <v>2766</v>
      </c>
      <c r="F47" s="2328" t="s">
        <v>2767</v>
      </c>
      <c r="G47" s="1533" t="s">
        <v>754</v>
      </c>
      <c r="H47" s="2329" t="s">
        <v>2768</v>
      </c>
      <c r="I47" s="1533" t="s">
        <v>2769</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79"/>
      <c r="AB48" s="1279"/>
      <c r="AC48" s="1279"/>
      <c r="AD48" s="1279"/>
      <c r="AE48" s="1279"/>
      <c r="AF48" s="1279"/>
      <c r="AG48" s="1279"/>
      <c r="AH48" s="1279"/>
      <c r="AI48" s="1279"/>
      <c r="AJ48" s="1279"/>
      <c r="AK48" s="1279"/>
    </row>
    <row r="49" spans="1:37" s="1278" customFormat="1" ht="51">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79"/>
      <c r="AB49" s="1279"/>
      <c r="AC49" s="1279"/>
      <c r="AD49" s="1279"/>
      <c r="AE49" s="1279"/>
      <c r="AF49" s="1279"/>
      <c r="AG49" s="1279"/>
      <c r="AH49" s="1279"/>
      <c r="AI49" s="1279"/>
      <c r="AJ49" s="1279"/>
      <c r="AK49" s="1279"/>
    </row>
    <row r="50" spans="1:37" s="1278"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79"/>
      <c r="AB50" s="1279"/>
      <c r="AC50" s="1279"/>
      <c r="AD50" s="1279"/>
      <c r="AE50" s="1279"/>
      <c r="AF50" s="1279"/>
      <c r="AG50" s="1279"/>
      <c r="AH50" s="1279"/>
      <c r="AI50" s="1279"/>
      <c r="AJ50" s="1279"/>
      <c r="AK50" s="1279"/>
    </row>
    <row r="51" spans="1:37" s="1278" customFormat="1" ht="36.75">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79"/>
      <c r="AB51" s="1279"/>
      <c r="AC51" s="1279"/>
      <c r="AD51" s="1279"/>
      <c r="AE51" s="1279"/>
      <c r="AF51" s="1279"/>
      <c r="AG51" s="1279"/>
      <c r="AH51" s="1279"/>
      <c r="AI51" s="1279"/>
      <c r="AJ51" s="1279"/>
      <c r="AK51" s="1279"/>
    </row>
    <row r="52" spans="1:37" s="1278"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79"/>
      <c r="AB52" s="1279"/>
      <c r="AC52" s="1279"/>
      <c r="AD52" s="1279"/>
      <c r="AE52" s="1279"/>
      <c r="AF52" s="1279"/>
      <c r="AG52" s="1279"/>
      <c r="AH52" s="1279"/>
      <c r="AI52" s="1279"/>
      <c r="AJ52" s="1279"/>
      <c r="AK52" s="1279"/>
    </row>
    <row r="53" spans="1:37" s="1278" customFormat="1" ht="24">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79"/>
      <c r="AB53" s="1279"/>
      <c r="AC53" s="1279"/>
      <c r="AD53" s="1279"/>
      <c r="AE53" s="1279"/>
      <c r="AF53" s="1279"/>
      <c r="AG53" s="1279"/>
      <c r="AH53" s="1279"/>
      <c r="AI53" s="1279"/>
      <c r="AJ53" s="1279"/>
      <c r="AK53" s="1279"/>
    </row>
    <row r="54" spans="1:37" s="1278" customFormat="1" ht="25.5">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79"/>
      <c r="AB54" s="1279"/>
      <c r="AC54" s="1279"/>
      <c r="AD54" s="1279"/>
      <c r="AE54" s="1279"/>
      <c r="AF54" s="1279"/>
      <c r="AG54" s="1279"/>
      <c r="AH54" s="1279"/>
      <c r="AI54" s="1279"/>
      <c r="AJ54" s="1279"/>
      <c r="AK54" s="1279"/>
    </row>
    <row r="55" spans="1:37" s="1278" customFormat="1" ht="25.5">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79"/>
      <c r="AB55" s="1279"/>
      <c r="AC55" s="1279"/>
      <c r="AD55" s="1279"/>
      <c r="AE55" s="1279"/>
      <c r="AF55" s="1279"/>
      <c r="AG55" s="1279"/>
      <c r="AH55" s="1279"/>
      <c r="AI55" s="1279"/>
      <c r="AJ55" s="1279"/>
      <c r="AK55" s="1279"/>
    </row>
    <row r="56" spans="1:37" s="1278" customFormat="1" ht="39"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79"/>
      <c r="AB56" s="1279"/>
      <c r="AC56" s="1279"/>
      <c r="AD56" s="1279"/>
      <c r="AE56" s="1279"/>
      <c r="AF56" s="1279"/>
      <c r="AG56" s="1279"/>
      <c r="AH56" s="1279"/>
      <c r="AI56" s="1279"/>
      <c r="AJ56" s="1279"/>
      <c r="AK56" s="1279"/>
    </row>
    <row r="57" spans="1:37" s="1278" customFormat="1" ht="15">
      <c r="A57" s="2323" t="s">
        <v>2781</v>
      </c>
      <c r="B57" s="2324">
        <f>1+E59</f>
        <v>1</v>
      </c>
      <c r="C57" s="752"/>
      <c r="D57" s="752"/>
      <c r="E57" s="753"/>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2762</v>
      </c>
      <c r="B58" s="1533"/>
      <c r="C58" s="1533" t="s">
        <v>2764</v>
      </c>
      <c r="D58" s="1533" t="s">
        <v>2765</v>
      </c>
      <c r="E58" s="757" t="s">
        <v>2766</v>
      </c>
      <c r="F58" s="2328" t="s">
        <v>2782</v>
      </c>
      <c r="G58" s="1533" t="s">
        <v>754</v>
      </c>
      <c r="H58" s="2329" t="s">
        <v>2768</v>
      </c>
      <c r="I58" s="1533" t="s">
        <v>2769</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79"/>
      <c r="AB59" s="1279"/>
      <c r="AC59" s="1279"/>
      <c r="AD59" s="1279"/>
      <c r="AE59" s="1279"/>
      <c r="AF59" s="1279"/>
      <c r="AG59" s="1279"/>
      <c r="AH59" s="1279"/>
      <c r="AI59" s="1279"/>
      <c r="AJ59" s="1279"/>
      <c r="AK59" s="1279"/>
    </row>
    <row r="60" spans="1:37" s="1278" customFormat="1" ht="51">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79"/>
      <c r="AB60" s="1279"/>
      <c r="AC60" s="1279"/>
      <c r="AD60" s="1279"/>
      <c r="AE60" s="1279"/>
      <c r="AF60" s="1279"/>
      <c r="AG60" s="1279"/>
      <c r="AH60" s="1279"/>
      <c r="AI60" s="1279"/>
      <c r="AJ60" s="1279"/>
      <c r="AK60" s="1279"/>
    </row>
    <row r="61" spans="1:37" s="1278"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79"/>
      <c r="AB61" s="1279"/>
      <c r="AC61" s="1279"/>
      <c r="AD61" s="1279"/>
      <c r="AE61" s="1279"/>
      <c r="AF61" s="1279"/>
      <c r="AG61" s="1279"/>
      <c r="AH61" s="1279"/>
      <c r="AI61" s="1279"/>
      <c r="AJ61" s="1279"/>
      <c r="AK61" s="1279"/>
    </row>
    <row r="62" spans="1:37" s="1278" customFormat="1" ht="36.75">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79"/>
      <c r="AB62" s="1279"/>
      <c r="AC62" s="1279"/>
      <c r="AD62" s="1279"/>
      <c r="AE62" s="1279"/>
      <c r="AF62" s="1279"/>
      <c r="AG62" s="1279"/>
      <c r="AH62" s="1279"/>
      <c r="AI62" s="1279"/>
      <c r="AJ62" s="1279"/>
      <c r="AK62" s="1279"/>
    </row>
    <row r="63" spans="1:37" s="1278"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79"/>
      <c r="AB63" s="1279"/>
      <c r="AC63" s="1279"/>
      <c r="AD63" s="1279"/>
      <c r="AE63" s="1279"/>
      <c r="AF63" s="1279"/>
      <c r="AG63" s="1279"/>
      <c r="AH63" s="1279"/>
      <c r="AI63" s="1279"/>
      <c r="AJ63" s="1279"/>
      <c r="AK63" s="1279"/>
    </row>
    <row r="64" spans="1:37" s="1278" customFormat="1" ht="24">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79"/>
      <c r="AB64" s="1279"/>
      <c r="AC64" s="1279"/>
      <c r="AD64" s="1279"/>
      <c r="AE64" s="1279"/>
      <c r="AF64" s="1279"/>
      <c r="AG64" s="1279"/>
      <c r="AH64" s="1279"/>
      <c r="AI64" s="1279"/>
      <c r="AJ64" s="1279"/>
      <c r="AK64" s="1279"/>
    </row>
    <row r="65" spans="1:37" s="1278" customFormat="1" ht="25.5">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79"/>
      <c r="AB65" s="1279"/>
      <c r="AC65" s="1279"/>
      <c r="AD65" s="1279"/>
      <c r="AE65" s="1279"/>
      <c r="AF65" s="1279"/>
      <c r="AG65" s="1279"/>
      <c r="AH65" s="1279"/>
      <c r="AI65" s="1279"/>
      <c r="AJ65" s="1279"/>
      <c r="AK65" s="1279"/>
    </row>
    <row r="66" spans="1:37" s="1278" customFormat="1" ht="25.5">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79"/>
      <c r="AB66" s="1279"/>
      <c r="AC66" s="1279"/>
      <c r="AD66" s="1279"/>
      <c r="AE66" s="1279"/>
      <c r="AF66" s="1279"/>
      <c r="AG66" s="1279"/>
      <c r="AH66" s="1279"/>
      <c r="AI66" s="1279"/>
      <c r="AJ66" s="1279"/>
      <c r="AK66" s="1279"/>
    </row>
    <row r="67" spans="1:37" s="1278" customFormat="1" ht="39"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79"/>
      <c r="AB67" s="1279"/>
      <c r="AC67" s="1279"/>
      <c r="AD67" s="1279"/>
      <c r="AE67" s="1279"/>
      <c r="AF67" s="1279"/>
      <c r="AG67" s="1279"/>
      <c r="AH67" s="1279"/>
      <c r="AI67" s="1279"/>
      <c r="AJ67" s="1279"/>
      <c r="AK67" s="1279"/>
    </row>
    <row r="68" spans="1:37" s="1278" customFormat="1" ht="15">
      <c r="A68" s="2323" t="s">
        <v>2784</v>
      </c>
      <c r="B68" s="2324">
        <f>1+E70</f>
        <v>1</v>
      </c>
      <c r="C68" s="752"/>
      <c r="D68" s="752"/>
      <c r="E68" s="753"/>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2762</v>
      </c>
      <c r="B69" s="1533"/>
      <c r="C69" s="1533" t="s">
        <v>2764</v>
      </c>
      <c r="D69" s="1533" t="s">
        <v>2765</v>
      </c>
      <c r="E69" s="757" t="s">
        <v>2766</v>
      </c>
      <c r="F69" s="2328" t="s">
        <v>2782</v>
      </c>
      <c r="G69" s="1533" t="s">
        <v>754</v>
      </c>
      <c r="H69" s="2329" t="s">
        <v>2768</v>
      </c>
      <c r="I69" s="1533" t="s">
        <v>2769</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79"/>
      <c r="AB70" s="1279"/>
      <c r="AC70" s="1279"/>
      <c r="AD70" s="1279"/>
      <c r="AE70" s="1279"/>
      <c r="AF70" s="1279"/>
      <c r="AG70" s="1279"/>
      <c r="AH70" s="1279"/>
      <c r="AI70" s="1279"/>
      <c r="AJ70" s="1279"/>
      <c r="AK70" s="1279"/>
    </row>
    <row r="71" spans="1:37" s="1278" customFormat="1" ht="51">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79"/>
      <c r="AB71" s="1279"/>
      <c r="AC71" s="1279"/>
      <c r="AD71" s="1279"/>
      <c r="AE71" s="1279"/>
      <c r="AF71" s="1279"/>
      <c r="AG71" s="1279"/>
      <c r="AH71" s="1279"/>
      <c r="AI71" s="1279"/>
      <c r="AJ71" s="1279"/>
      <c r="AK71" s="1279"/>
    </row>
    <row r="72" spans="1:37" s="1278"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79"/>
      <c r="AB72" s="1279"/>
      <c r="AC72" s="1279"/>
      <c r="AD72" s="1279"/>
      <c r="AE72" s="1279"/>
      <c r="AF72" s="1279"/>
      <c r="AG72" s="1279"/>
      <c r="AH72" s="1279"/>
      <c r="AI72" s="1279"/>
      <c r="AJ72" s="1279"/>
      <c r="AK72" s="1279"/>
    </row>
    <row r="73" spans="1:37" s="1278" customFormat="1" ht="14.25">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79"/>
      <c r="AB73" s="1279"/>
      <c r="AC73" s="1279"/>
      <c r="AD73" s="1279"/>
      <c r="AE73" s="1279"/>
      <c r="AF73" s="1279"/>
      <c r="AG73" s="1279"/>
      <c r="AH73" s="1279"/>
      <c r="AI73" s="1279"/>
      <c r="AJ73" s="1279"/>
      <c r="AK73" s="1279"/>
    </row>
    <row r="74" spans="1:37" s="1278" customFormat="1" ht="25.5">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79"/>
      <c r="AB74" s="1279"/>
      <c r="AC74" s="1279"/>
      <c r="AD74" s="1279"/>
      <c r="AE74" s="1279"/>
      <c r="AF74" s="1279"/>
      <c r="AG74" s="1279"/>
      <c r="AH74" s="1279"/>
      <c r="AI74" s="1279"/>
      <c r="AJ74" s="1279"/>
      <c r="AK74" s="1279"/>
    </row>
    <row r="75" spans="1:37" s="1278" customFormat="1" ht="25.5">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79"/>
      <c r="AB75" s="1279"/>
      <c r="AC75" s="1279"/>
      <c r="AD75" s="1279"/>
      <c r="AE75" s="1279"/>
      <c r="AF75" s="1279"/>
      <c r="AG75" s="1279"/>
      <c r="AH75" s="1279"/>
      <c r="AI75" s="1279"/>
      <c r="AJ75" s="1279"/>
      <c r="AK75" s="1279"/>
    </row>
    <row r="76" spans="1:37" s="2181" customFormat="1" ht="24">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79"/>
      <c r="AC76" s="1279"/>
      <c r="AD76" s="1279"/>
      <c r="AE76" s="1279"/>
      <c r="AF76" s="1279"/>
      <c r="AG76" s="1279"/>
      <c r="AH76" s="2338"/>
      <c r="AI76" s="2338"/>
      <c r="AJ76" s="2338"/>
      <c r="AK76" s="2338"/>
    </row>
    <row r="77" spans="1:37" ht="38.25">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0"/>
      <c r="AK77" s="2248"/>
    </row>
    <row r="78" spans="1:37" ht="24.75"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0"/>
      <c r="AK78" s="2248"/>
    </row>
    <row r="79" spans="1:37" ht="15">
      <c r="A79" s="2323" t="s">
        <v>2788</v>
      </c>
      <c r="B79" s="2324">
        <f>1+E81</f>
        <v>1</v>
      </c>
      <c r="C79" s="752"/>
      <c r="D79" s="752"/>
      <c r="E79" s="753"/>
      <c r="F79" s="2326"/>
      <c r="G79" s="6"/>
      <c r="H79" s="6"/>
      <c r="I79" s="6"/>
      <c r="J79" s="7"/>
      <c r="K79" s="7"/>
      <c r="L79" s="7"/>
      <c r="M79" s="7"/>
      <c r="N79" s="7"/>
      <c r="Z79" s="2182"/>
      <c r="AA79" s="2248"/>
      <c r="AG79" s="1280"/>
      <c r="AK79" s="2248"/>
    </row>
    <row r="80" spans="1:37" ht="24.75">
      <c r="A80" s="2327" t="s">
        <v>2762</v>
      </c>
      <c r="B80" s="1533"/>
      <c r="C80" s="1533" t="s">
        <v>2764</v>
      </c>
      <c r="D80" s="1533" t="s">
        <v>2765</v>
      </c>
      <c r="E80" s="757" t="s">
        <v>2766</v>
      </c>
      <c r="F80" s="2328" t="s">
        <v>2782</v>
      </c>
      <c r="G80" s="1533" t="s">
        <v>754</v>
      </c>
      <c r="H80" s="2329" t="s">
        <v>2768</v>
      </c>
      <c r="I80" s="1533" t="s">
        <v>2769</v>
      </c>
      <c r="J80" s="559" t="s">
        <v>2418</v>
      </c>
      <c r="K80" s="559" t="s">
        <v>2419</v>
      </c>
      <c r="L80" s="559" t="s">
        <v>2420</v>
      </c>
      <c r="M80" s="559" t="s">
        <v>2421</v>
      </c>
      <c r="N80" s="559" t="s">
        <v>2422</v>
      </c>
      <c r="Z80" s="2182"/>
      <c r="AA80" s="2248"/>
      <c r="AG80" s="1280"/>
      <c r="AK80" s="2248"/>
    </row>
    <row r="81" spans="1:37" ht="38.25">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0"/>
      <c r="AK81" s="2248"/>
    </row>
    <row r="82" spans="1:37" ht="51">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0"/>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0"/>
      <c r="AK83" s="2248"/>
    </row>
    <row r="84" spans="1:37" ht="14.25">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0"/>
      <c r="AK84" s="2248"/>
    </row>
    <row r="85" spans="1:37" ht="25.5">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0"/>
      <c r="AK85" s="2248"/>
    </row>
    <row r="86" spans="1:37" ht="25.5">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0"/>
      <c r="AK86" s="2248"/>
    </row>
    <row r="87" spans="1:37" ht="24">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0"/>
      <c r="AK87" s="2248"/>
    </row>
    <row r="88" spans="1:37" ht="39"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0"/>
      <c r="AK88" s="2248"/>
    </row>
    <row r="90" spans="1:37">
      <c r="A90" s="3365" t="s">
        <v>2792</v>
      </c>
      <c r="B90" s="3365"/>
      <c r="C90" s="3365"/>
      <c r="D90" s="3365"/>
      <c r="E90" s="3365"/>
      <c r="F90" s="3365"/>
      <c r="G90" s="3365"/>
      <c r="H90" s="3365"/>
      <c r="I90" s="3365"/>
      <c r="J90" s="3365"/>
      <c r="K90" s="2341"/>
      <c r="L90" s="2341"/>
      <c r="M90" s="2341"/>
      <c r="N90" s="2341"/>
    </row>
    <row r="91" spans="1:37">
      <c r="A91" s="3367" t="s">
        <v>2793</v>
      </c>
      <c r="B91" s="3367" t="s">
        <v>2794</v>
      </c>
      <c r="C91" s="2295" t="s">
        <v>2795</v>
      </c>
      <c r="D91" s="2296"/>
      <c r="E91" s="2296"/>
      <c r="F91" s="2296"/>
      <c r="G91" s="2296"/>
      <c r="H91" s="2296"/>
      <c r="I91" s="2296"/>
      <c r="J91" s="2342"/>
      <c r="K91" s="2343"/>
      <c r="L91" s="2343"/>
      <c r="M91" s="2343"/>
      <c r="N91" s="2343"/>
    </row>
    <row r="92" spans="1:37">
      <c r="A92" s="3367"/>
      <c r="B92" s="3367"/>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68"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69"/>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69"/>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69"/>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69"/>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69"/>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69"/>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70"/>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68" t="s">
        <v>2797</v>
      </c>
      <c r="B101" s="2348" t="s">
        <v>2798</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369"/>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369"/>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369"/>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369"/>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369"/>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369"/>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369"/>
      <c r="B108" s="3371"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70"/>
      <c r="B109" s="3372"/>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366" t="s">
        <v>2800</v>
      </c>
      <c r="B110" s="3366"/>
      <c r="C110" s="3366"/>
      <c r="D110" s="3366"/>
      <c r="E110" s="3366"/>
      <c r="F110" s="3366"/>
      <c r="G110" s="3366"/>
      <c r="H110" s="3366"/>
      <c r="I110" s="3366"/>
      <c r="J110" s="3366"/>
      <c r="K110" s="2350"/>
      <c r="L110" s="2350"/>
      <c r="M110" s="2350"/>
      <c r="N110" s="2350"/>
    </row>
    <row r="112" spans="1:14" ht="13.5" thickBot="1"/>
    <row r="113" spans="1:13" ht="25.5" thickBot="1">
      <c r="A113" s="841" t="s">
        <v>2801</v>
      </c>
      <c r="B113" s="1196" t="e">
        <f>G3</f>
        <v>#DIV/0!</v>
      </c>
      <c r="C113" s="842" t="s">
        <v>2802</v>
      </c>
      <c r="D113" s="843" t="e">
        <f>SUMPRODUCT((A115:A118=F113)*(B114:M114=H113)*B115:M118)</f>
        <v>#DIV/0!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2701</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2702</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2703</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89" t="s">
        <v>183</v>
      </c>
      <c r="B18" s="820" t="s">
        <v>560</v>
      </c>
      <c r="C18" s="821" t="s">
        <v>561</v>
      </c>
      <c r="D18" s="822"/>
      <c r="E18" s="820">
        <v>1</v>
      </c>
      <c r="F18" s="823" t="s">
        <v>562</v>
      </c>
      <c r="G18" s="824"/>
      <c r="H18" s="816"/>
      <c r="I18" s="816"/>
    </row>
    <row r="19" spans="1:9" s="825" customFormat="1" ht="19.5" customHeight="1">
      <c r="A19" s="3389"/>
      <c r="B19" s="3389" t="s">
        <v>563</v>
      </c>
      <c r="C19" s="821" t="s">
        <v>564</v>
      </c>
      <c r="D19" s="822"/>
      <c r="E19" s="820">
        <v>0.9</v>
      </c>
      <c r="F19" s="823" t="s">
        <v>565</v>
      </c>
      <c r="G19" s="824"/>
      <c r="H19" s="816"/>
      <c r="I19" s="816"/>
    </row>
    <row r="20" spans="1:9" s="825" customFormat="1" ht="19.5" customHeight="1">
      <c r="A20" s="3389"/>
      <c r="B20" s="3389"/>
      <c r="C20" s="821" t="s">
        <v>566</v>
      </c>
      <c r="D20" s="822"/>
      <c r="E20" s="820">
        <v>1.1000000000000001</v>
      </c>
      <c r="F20" s="823" t="s">
        <v>567</v>
      </c>
      <c r="G20" s="824"/>
      <c r="H20" s="816"/>
      <c r="I20" s="816"/>
    </row>
    <row r="21" spans="1:9" s="825" customFormat="1" ht="19.5" customHeight="1">
      <c r="A21" s="3389"/>
      <c r="B21" s="3389"/>
      <c r="C21" s="821" t="s">
        <v>568</v>
      </c>
      <c r="D21" s="822"/>
      <c r="E21" s="820">
        <v>0.8</v>
      </c>
      <c r="F21" s="823" t="s">
        <v>569</v>
      </c>
      <c r="G21" s="824"/>
      <c r="H21" s="816"/>
      <c r="I21" s="816"/>
    </row>
    <row r="22" spans="1:9" s="825" customFormat="1" ht="19.5" customHeight="1">
      <c r="A22" s="3389"/>
      <c r="B22" s="3389"/>
      <c r="C22" s="821" t="s">
        <v>570</v>
      </c>
      <c r="D22" s="822"/>
      <c r="E22" s="820">
        <v>0.5</v>
      </c>
      <c r="F22" s="823"/>
      <c r="G22" s="824"/>
      <c r="H22" s="816"/>
      <c r="I22" s="816"/>
    </row>
    <row r="23" spans="1:9" s="825" customFormat="1" ht="19.5" customHeight="1">
      <c r="A23" s="3389" t="s">
        <v>184</v>
      </c>
      <c r="B23" s="820" t="s">
        <v>560</v>
      </c>
      <c r="C23" s="821" t="s">
        <v>571</v>
      </c>
      <c r="D23" s="822"/>
      <c r="E23" s="820">
        <v>1</v>
      </c>
      <c r="F23" s="823" t="s">
        <v>572</v>
      </c>
      <c r="G23" s="824"/>
      <c r="H23" s="816"/>
      <c r="I23" s="816"/>
    </row>
    <row r="24" spans="1:9" s="825" customFormat="1" ht="19.5" customHeight="1">
      <c r="A24" s="3389"/>
      <c r="B24" s="3389" t="s">
        <v>563</v>
      </c>
      <c r="C24" s="821" t="s">
        <v>573</v>
      </c>
      <c r="D24" s="822"/>
      <c r="E24" s="820">
        <v>0.5</v>
      </c>
      <c r="F24" s="823"/>
      <c r="G24" s="824"/>
      <c r="H24" s="816"/>
      <c r="I24" s="816"/>
    </row>
    <row r="25" spans="1:9" s="825" customFormat="1" ht="19.5" customHeight="1">
      <c r="A25" s="3389"/>
      <c r="B25" s="3389"/>
      <c r="C25" s="821" t="s">
        <v>574</v>
      </c>
      <c r="D25" s="822"/>
      <c r="E25" s="820">
        <v>1.1000000000000001</v>
      </c>
      <c r="F25" s="823"/>
      <c r="G25" s="824"/>
      <c r="H25" s="816"/>
      <c r="I25" s="816"/>
    </row>
    <row r="26" spans="1:9" s="825" customFormat="1" ht="19.5" customHeight="1">
      <c r="A26" s="3389"/>
      <c r="B26" s="3389"/>
      <c r="C26" s="821" t="s">
        <v>575</v>
      </c>
      <c r="D26" s="822"/>
      <c r="E26" s="820">
        <v>1.1000000000000001</v>
      </c>
      <c r="F26" s="823"/>
      <c r="G26" s="824"/>
      <c r="H26" s="816"/>
      <c r="I26" s="816"/>
    </row>
    <row r="27" spans="1:9" s="825" customFormat="1" ht="19.5" customHeight="1">
      <c r="A27" s="3389"/>
      <c r="B27" s="3389"/>
      <c r="C27" s="821" t="s">
        <v>576</v>
      </c>
      <c r="D27" s="822"/>
      <c r="E27" s="820">
        <v>0.9</v>
      </c>
      <c r="F27" s="823" t="s">
        <v>577</v>
      </c>
      <c r="G27" s="824"/>
      <c r="H27" s="816"/>
      <c r="I27" s="816"/>
    </row>
    <row r="28" spans="1:9" s="825" customFormat="1" ht="19.5" customHeight="1">
      <c r="A28" s="3389"/>
      <c r="B28" s="3389"/>
      <c r="C28" s="821" t="s">
        <v>578</v>
      </c>
      <c r="D28" s="822"/>
      <c r="E28" s="820">
        <v>0.9</v>
      </c>
      <c r="F28" s="823" t="s">
        <v>579</v>
      </c>
      <c r="G28" s="824"/>
      <c r="H28" s="816"/>
      <c r="I28" s="816"/>
    </row>
    <row r="29" spans="1:9" s="825" customFormat="1" ht="19.5" customHeight="1">
      <c r="A29" s="3389"/>
      <c r="B29" s="3389"/>
      <c r="C29" s="821" t="s">
        <v>580</v>
      </c>
      <c r="D29" s="822"/>
      <c r="E29" s="820">
        <v>0.9</v>
      </c>
      <c r="F29" s="823" t="s">
        <v>581</v>
      </c>
      <c r="G29" s="824"/>
      <c r="H29" s="816"/>
      <c r="I29" s="816"/>
    </row>
    <row r="30" spans="1:9" s="825" customFormat="1" ht="19.5" customHeight="1">
      <c r="A30" s="3389"/>
      <c r="B30" s="3389"/>
      <c r="C30" s="821" t="s">
        <v>582</v>
      </c>
      <c r="D30" s="822"/>
      <c r="E30" s="820">
        <v>0.9</v>
      </c>
      <c r="F30" s="823" t="s">
        <v>583</v>
      </c>
      <c r="G30" s="824"/>
      <c r="H30" s="816"/>
      <c r="I30" s="816"/>
    </row>
    <row r="31" spans="1:9" s="825" customFormat="1" ht="19.5" customHeight="1">
      <c r="A31" s="3389"/>
      <c r="B31" s="3389"/>
      <c r="C31" s="821" t="s">
        <v>584</v>
      </c>
      <c r="D31" s="822"/>
      <c r="E31" s="820">
        <v>0.8</v>
      </c>
      <c r="F31" s="823" t="s">
        <v>585</v>
      </c>
      <c r="G31" s="824"/>
      <c r="H31" s="816"/>
      <c r="I31" s="816"/>
    </row>
    <row r="32" spans="1:9" s="825" customFormat="1" ht="19.5" customHeight="1">
      <c r="A32" s="3389"/>
      <c r="B32" s="3389"/>
      <c r="C32" s="821" t="s">
        <v>586</v>
      </c>
      <c r="D32" s="822"/>
      <c r="E32" s="820">
        <v>0.8</v>
      </c>
      <c r="F32" s="823" t="s">
        <v>587</v>
      </c>
      <c r="G32" s="824"/>
      <c r="H32" s="816"/>
      <c r="I32" s="816"/>
    </row>
    <row r="33" spans="1:9" s="825" customFormat="1" ht="19.5" customHeight="1">
      <c r="A33" s="3389" t="s">
        <v>185</v>
      </c>
      <c r="B33" s="820" t="s">
        <v>560</v>
      </c>
      <c r="C33" s="821" t="s">
        <v>588</v>
      </c>
      <c r="D33" s="822"/>
      <c r="E33" s="820">
        <v>1</v>
      </c>
      <c r="F33" s="823" t="s">
        <v>589</v>
      </c>
      <c r="G33" s="824"/>
      <c r="H33" s="816"/>
      <c r="I33" s="816"/>
    </row>
    <row r="34" spans="1:9" s="825" customFormat="1" ht="19.5" customHeight="1">
      <c r="A34" s="3389"/>
      <c r="B34" s="820" t="s">
        <v>563</v>
      </c>
      <c r="C34" s="821" t="s">
        <v>590</v>
      </c>
      <c r="D34" s="822"/>
      <c r="E34" s="820">
        <v>1.5</v>
      </c>
      <c r="F34" s="823" t="s">
        <v>591</v>
      </c>
      <c r="G34" s="824"/>
      <c r="H34" s="816"/>
      <c r="I34" s="816"/>
    </row>
    <row r="35" spans="1:9" s="825" customFormat="1" ht="19.5" customHeight="1">
      <c r="A35" s="3389" t="s">
        <v>186</v>
      </c>
      <c r="B35" s="820" t="s">
        <v>560</v>
      </c>
      <c r="C35" s="821" t="s">
        <v>592</v>
      </c>
      <c r="D35" s="822"/>
      <c r="E35" s="820">
        <v>1</v>
      </c>
      <c r="F35" s="823" t="s">
        <v>593</v>
      </c>
      <c r="G35" s="824"/>
      <c r="H35" s="816"/>
      <c r="I35" s="816"/>
    </row>
    <row r="36" spans="1:9" s="825" customFormat="1" ht="19.5" customHeight="1">
      <c r="A36" s="3389"/>
      <c r="B36" s="3389" t="s">
        <v>563</v>
      </c>
      <c r="C36" s="821" t="s">
        <v>594</v>
      </c>
      <c r="D36" s="822"/>
      <c r="E36" s="820">
        <v>1</v>
      </c>
      <c r="F36" s="823" t="s">
        <v>595</v>
      </c>
      <c r="G36" s="824"/>
      <c r="H36" s="816"/>
      <c r="I36" s="816"/>
    </row>
    <row r="37" spans="1:9" s="825" customFormat="1" ht="19.5" customHeight="1">
      <c r="A37" s="3389"/>
      <c r="B37" s="3389"/>
      <c r="C37" s="821" t="s">
        <v>596</v>
      </c>
      <c r="D37" s="822"/>
      <c r="E37" s="820">
        <v>1.5</v>
      </c>
      <c r="F37" s="823" t="s">
        <v>597</v>
      </c>
      <c r="G37" s="824"/>
      <c r="H37" s="816"/>
      <c r="I37" s="816"/>
    </row>
    <row r="38" spans="1:9" s="825" customFormat="1" ht="19.5" customHeight="1">
      <c r="A38" s="3389"/>
      <c r="B38" s="3389"/>
      <c r="C38" s="821" t="s">
        <v>598</v>
      </c>
      <c r="D38" s="822"/>
      <c r="E38" s="820">
        <v>1</v>
      </c>
      <c r="F38" s="823" t="s">
        <v>599</v>
      </c>
      <c r="G38" s="824"/>
      <c r="H38" s="816"/>
      <c r="I38" s="816"/>
    </row>
    <row r="39" spans="1:9" s="825" customFormat="1" ht="19.5" customHeight="1">
      <c r="A39" s="3389"/>
      <c r="B39" s="3389"/>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89" t="s">
        <v>614</v>
      </c>
      <c r="C61" s="756" t="s">
        <v>615</v>
      </c>
      <c r="D61" s="756" t="s">
        <v>616</v>
      </c>
      <c r="E61" s="833">
        <v>0.5</v>
      </c>
      <c r="F61" s="820">
        <v>80</v>
      </c>
    </row>
    <row r="62" spans="1:8" s="816" customFormat="1" ht="24">
      <c r="A62" s="820">
        <v>2</v>
      </c>
      <c r="B62" s="3389"/>
      <c r="C62" s="756" t="s">
        <v>617</v>
      </c>
      <c r="D62" s="756" t="s">
        <v>618</v>
      </c>
      <c r="E62" s="833">
        <v>0.5</v>
      </c>
      <c r="F62" s="820">
        <v>80</v>
      </c>
    </row>
    <row r="63" spans="1:8" s="816" customFormat="1" ht="36">
      <c r="A63" s="820">
        <v>3</v>
      </c>
      <c r="B63" s="3389"/>
      <c r="C63" s="756" t="s">
        <v>619</v>
      </c>
      <c r="D63" s="756" t="s">
        <v>620</v>
      </c>
      <c r="E63" s="833">
        <v>0.5</v>
      </c>
      <c r="F63" s="820">
        <v>80</v>
      </c>
    </row>
    <row r="64" spans="1:8" s="816" customFormat="1" ht="36">
      <c r="A64" s="820">
        <v>4</v>
      </c>
      <c r="B64" s="3389"/>
      <c r="C64" s="756" t="s">
        <v>621</v>
      </c>
      <c r="D64" s="756" t="s">
        <v>622</v>
      </c>
      <c r="E64" s="833">
        <v>0.4</v>
      </c>
      <c r="F64" s="820">
        <v>60</v>
      </c>
    </row>
    <row r="65" spans="1:6" s="816" customFormat="1" ht="36">
      <c r="A65" s="820">
        <v>5</v>
      </c>
      <c r="B65" s="3389"/>
      <c r="C65" s="756" t="s">
        <v>623</v>
      </c>
      <c r="D65" s="756" t="s">
        <v>624</v>
      </c>
      <c r="E65" s="833">
        <v>0.2</v>
      </c>
      <c r="F65" s="820">
        <v>30</v>
      </c>
    </row>
    <row r="66" spans="1:6" s="816" customFormat="1" ht="36">
      <c r="A66" s="820">
        <v>6</v>
      </c>
      <c r="B66" s="3389"/>
      <c r="C66" s="756" t="s">
        <v>625</v>
      </c>
      <c r="D66" s="756" t="s">
        <v>626</v>
      </c>
      <c r="E66" s="833">
        <v>0.3</v>
      </c>
      <c r="F66" s="820">
        <v>50</v>
      </c>
    </row>
    <row r="67" spans="1:6" s="816" customFormat="1" ht="36">
      <c r="A67" s="820">
        <v>7</v>
      </c>
      <c r="B67" s="3389"/>
      <c r="C67" s="756" t="s">
        <v>627</v>
      </c>
      <c r="D67" s="756" t="s">
        <v>628</v>
      </c>
      <c r="E67" s="833">
        <v>0.2</v>
      </c>
      <c r="F67" s="820">
        <v>30</v>
      </c>
    </row>
    <row r="68" spans="1:6" s="816" customFormat="1" ht="36">
      <c r="A68" s="820">
        <v>8</v>
      </c>
      <c r="B68" s="3389"/>
      <c r="C68" s="756" t="s">
        <v>629</v>
      </c>
      <c r="D68" s="756" t="s">
        <v>630</v>
      </c>
      <c r="E68" s="833">
        <v>0.2</v>
      </c>
      <c r="F68" s="820">
        <v>30</v>
      </c>
    </row>
    <row r="69" spans="1:6" s="816" customFormat="1" ht="36">
      <c r="A69" s="820">
        <v>9</v>
      </c>
      <c r="B69" s="3389"/>
      <c r="C69" s="756" t="s">
        <v>631</v>
      </c>
      <c r="D69" s="756" t="s">
        <v>632</v>
      </c>
      <c r="E69" s="833">
        <v>0.2</v>
      </c>
      <c r="F69" s="820">
        <v>30</v>
      </c>
    </row>
    <row r="70" spans="1:6" s="816" customFormat="1" ht="48">
      <c r="A70" s="820">
        <v>10</v>
      </c>
      <c r="B70" s="3389"/>
      <c r="C70" s="756" t="s">
        <v>633</v>
      </c>
      <c r="D70" s="756" t="s">
        <v>634</v>
      </c>
      <c r="E70" s="833">
        <v>0.2</v>
      </c>
      <c r="F70" s="820">
        <v>30</v>
      </c>
    </row>
    <row r="71" spans="1:6" s="816" customFormat="1" ht="48">
      <c r="A71" s="820">
        <v>11</v>
      </c>
      <c r="B71" s="3389"/>
      <c r="C71" s="756" t="s">
        <v>635</v>
      </c>
      <c r="D71" s="756" t="s">
        <v>636</v>
      </c>
      <c r="E71" s="833">
        <v>0.2</v>
      </c>
      <c r="F71" s="820">
        <v>30</v>
      </c>
    </row>
    <row r="72" spans="1:6" s="816" customFormat="1" ht="36">
      <c r="A72" s="820">
        <v>12</v>
      </c>
      <c r="B72" s="3389"/>
      <c r="C72" s="756" t="s">
        <v>637</v>
      </c>
      <c r="D72" s="756" t="s">
        <v>638</v>
      </c>
      <c r="E72" s="833">
        <v>0.5</v>
      </c>
      <c r="F72" s="820">
        <v>80</v>
      </c>
    </row>
    <row r="73" spans="1:6" s="816" customFormat="1" ht="24">
      <c r="A73" s="820">
        <v>13</v>
      </c>
      <c r="B73" s="3389"/>
      <c r="C73" s="756" t="s">
        <v>639</v>
      </c>
      <c r="D73" s="756" t="s">
        <v>640</v>
      </c>
      <c r="E73" s="833">
        <v>0.4</v>
      </c>
      <c r="F73" s="820">
        <v>60</v>
      </c>
    </row>
    <row r="74" spans="1:6" s="816" customFormat="1" ht="24">
      <c r="A74" s="820">
        <v>14</v>
      </c>
      <c r="B74" s="3389"/>
      <c r="C74" s="756" t="s">
        <v>641</v>
      </c>
      <c r="D74" s="756" t="s">
        <v>642</v>
      </c>
      <c r="E74" s="833">
        <v>0.2</v>
      </c>
      <c r="F74" s="820">
        <v>30</v>
      </c>
    </row>
    <row r="75" spans="1:6" s="816" customFormat="1" ht="24">
      <c r="A75" s="820">
        <v>15</v>
      </c>
      <c r="B75" s="3389"/>
      <c r="C75" s="756" t="s">
        <v>643</v>
      </c>
      <c r="D75" s="756" t="s">
        <v>644</v>
      </c>
      <c r="E75" s="833">
        <v>0.2</v>
      </c>
      <c r="F75" s="820">
        <v>30</v>
      </c>
    </row>
    <row r="76" spans="1:6" s="816" customFormat="1" ht="24">
      <c r="A76" s="820">
        <v>16</v>
      </c>
      <c r="B76" s="3389" t="s">
        <v>645</v>
      </c>
      <c r="C76" s="756" t="s">
        <v>646</v>
      </c>
      <c r="D76" s="756" t="s">
        <v>647</v>
      </c>
      <c r="E76" s="833">
        <v>0.5</v>
      </c>
      <c r="F76" s="820">
        <v>80</v>
      </c>
    </row>
    <row r="77" spans="1:6" s="816" customFormat="1" ht="24">
      <c r="A77" s="820">
        <v>17</v>
      </c>
      <c r="B77" s="3389"/>
      <c r="C77" s="756" t="s">
        <v>648</v>
      </c>
      <c r="D77" s="756" t="s">
        <v>649</v>
      </c>
      <c r="E77" s="833">
        <v>0.5</v>
      </c>
      <c r="F77" s="820">
        <v>80</v>
      </c>
    </row>
    <row r="78" spans="1:6" s="816" customFormat="1" ht="24">
      <c r="A78" s="820">
        <v>18</v>
      </c>
      <c r="B78" s="3389"/>
      <c r="C78" s="756" t="s">
        <v>650</v>
      </c>
      <c r="D78" s="756" t="s">
        <v>651</v>
      </c>
      <c r="E78" s="833">
        <v>0.2</v>
      </c>
      <c r="F78" s="820">
        <v>30</v>
      </c>
    </row>
    <row r="79" spans="1:6" s="816" customFormat="1" ht="24">
      <c r="A79" s="820">
        <v>19</v>
      </c>
      <c r="B79" s="3389"/>
      <c r="C79" s="756" t="s">
        <v>652</v>
      </c>
      <c r="D79" s="756" t="s">
        <v>653</v>
      </c>
      <c r="E79" s="833">
        <v>0.5</v>
      </c>
      <c r="F79" s="820">
        <v>80</v>
      </c>
    </row>
    <row r="80" spans="1:6" s="816" customFormat="1" ht="36">
      <c r="A80" s="820">
        <v>20</v>
      </c>
      <c r="B80" s="3389"/>
      <c r="C80" s="756" t="s">
        <v>654</v>
      </c>
      <c r="D80" s="756" t="s">
        <v>655</v>
      </c>
      <c r="E80" s="833">
        <v>0.2</v>
      </c>
      <c r="F80" s="820">
        <v>30</v>
      </c>
    </row>
    <row r="81" spans="1:6" s="816" customFormat="1" ht="36">
      <c r="A81" s="820">
        <v>21</v>
      </c>
      <c r="B81" s="3389"/>
      <c r="C81" s="756" t="s">
        <v>656</v>
      </c>
      <c r="D81" s="756" t="s">
        <v>657</v>
      </c>
      <c r="E81" s="833">
        <v>0.2</v>
      </c>
      <c r="F81" s="820">
        <v>30</v>
      </c>
    </row>
    <row r="82" spans="1:6" s="816" customFormat="1" ht="48">
      <c r="A82" s="820">
        <v>22</v>
      </c>
      <c r="B82" s="3389"/>
      <c r="C82" s="756" t="s">
        <v>658</v>
      </c>
      <c r="D82" s="756" t="s">
        <v>659</v>
      </c>
      <c r="E82" s="833">
        <v>0.2</v>
      </c>
      <c r="F82" s="820">
        <v>30</v>
      </c>
    </row>
    <row r="83" spans="1:6" s="816" customFormat="1" ht="48">
      <c r="A83" s="820">
        <v>23</v>
      </c>
      <c r="B83" s="3389"/>
      <c r="C83" s="756" t="s">
        <v>660</v>
      </c>
      <c r="D83" s="756" t="s">
        <v>661</v>
      </c>
      <c r="E83" s="833">
        <v>0.2</v>
      </c>
      <c r="F83" s="820">
        <v>30</v>
      </c>
    </row>
    <row r="84" spans="1:6" s="816" customFormat="1" ht="36">
      <c r="A84" s="820">
        <v>24</v>
      </c>
      <c r="B84" s="3389"/>
      <c r="C84" s="756" t="s">
        <v>662</v>
      </c>
      <c r="D84" s="756" t="s">
        <v>663</v>
      </c>
      <c r="E84" s="833">
        <v>0.2</v>
      </c>
      <c r="F84" s="820">
        <v>30</v>
      </c>
    </row>
    <row r="85" spans="1:6" s="816" customFormat="1" ht="36">
      <c r="A85" s="820">
        <v>25</v>
      </c>
      <c r="B85" s="3389"/>
      <c r="C85" s="756" t="s">
        <v>664</v>
      </c>
      <c r="D85" s="756" t="s">
        <v>665</v>
      </c>
      <c r="E85" s="833">
        <v>0.5</v>
      </c>
      <c r="F85" s="820">
        <v>80</v>
      </c>
    </row>
    <row r="86" spans="1:6" s="816" customFormat="1" ht="36">
      <c r="A86" s="820">
        <v>26</v>
      </c>
      <c r="B86" s="3389"/>
      <c r="C86" s="756" t="s">
        <v>666</v>
      </c>
      <c r="D86" s="756" t="s">
        <v>667</v>
      </c>
      <c r="E86" s="833">
        <v>0.2</v>
      </c>
      <c r="F86" s="820">
        <v>30</v>
      </c>
    </row>
    <row r="87" spans="1:6" s="816" customFormat="1" ht="36">
      <c r="A87" s="820">
        <v>27</v>
      </c>
      <c r="B87" s="3389"/>
      <c r="C87" s="756" t="s">
        <v>668</v>
      </c>
      <c r="D87" s="756" t="s">
        <v>669</v>
      </c>
      <c r="E87" s="833">
        <v>0.2</v>
      </c>
      <c r="F87" s="820">
        <v>30</v>
      </c>
    </row>
    <row r="88" spans="1:6" s="816" customFormat="1" ht="36">
      <c r="A88" s="820">
        <v>28</v>
      </c>
      <c r="B88" s="3389"/>
      <c r="C88" s="756" t="s">
        <v>670</v>
      </c>
      <c r="D88" s="756" t="s">
        <v>671</v>
      </c>
      <c r="E88" s="833">
        <v>0.2</v>
      </c>
      <c r="F88" s="820">
        <v>30</v>
      </c>
    </row>
    <row r="89" spans="1:6" s="816" customFormat="1" ht="24">
      <c r="A89" s="820">
        <v>29</v>
      </c>
      <c r="B89" s="3389"/>
      <c r="C89" s="756" t="s">
        <v>672</v>
      </c>
      <c r="D89" s="756" t="s">
        <v>673</v>
      </c>
      <c r="E89" s="833">
        <v>0.2</v>
      </c>
      <c r="F89" s="820">
        <v>30</v>
      </c>
    </row>
    <row r="90" spans="1:6" s="816" customFormat="1" ht="24">
      <c r="A90" s="820">
        <v>30</v>
      </c>
      <c r="B90" s="3389"/>
      <c r="C90" s="756" t="s">
        <v>674</v>
      </c>
      <c r="D90" s="756" t="s">
        <v>675</v>
      </c>
      <c r="E90" s="833">
        <v>0.2</v>
      </c>
      <c r="F90" s="820">
        <v>30</v>
      </c>
    </row>
    <row r="91" spans="1:6" s="816" customFormat="1" ht="36">
      <c r="A91" s="820">
        <v>31</v>
      </c>
      <c r="B91" s="3389"/>
      <c r="C91" s="756" t="s">
        <v>676</v>
      </c>
      <c r="D91" s="756" t="s">
        <v>677</v>
      </c>
      <c r="E91" s="833">
        <v>0.2</v>
      </c>
      <c r="F91" s="820">
        <v>30</v>
      </c>
    </row>
    <row r="92" spans="1:6" s="816" customFormat="1" ht="24">
      <c r="A92" s="820">
        <v>32</v>
      </c>
      <c r="B92" s="3389" t="s">
        <v>678</v>
      </c>
      <c r="C92" s="820" t="s">
        <v>679</v>
      </c>
      <c r="D92" s="756" t="s">
        <v>680</v>
      </c>
      <c r="E92" s="833">
        <v>0.2</v>
      </c>
      <c r="F92" s="820">
        <v>30</v>
      </c>
    </row>
    <row r="93" spans="1:6" s="816" customFormat="1" ht="36">
      <c r="A93" s="820">
        <v>33</v>
      </c>
      <c r="B93" s="3389"/>
      <c r="C93" s="820" t="s">
        <v>681</v>
      </c>
      <c r="D93" s="756" t="s">
        <v>682</v>
      </c>
      <c r="E93" s="833">
        <v>0.2</v>
      </c>
      <c r="F93" s="820">
        <v>30</v>
      </c>
    </row>
    <row r="94" spans="1:6" s="816" customFormat="1" ht="48">
      <c r="A94" s="820">
        <v>34</v>
      </c>
      <c r="B94" s="3389"/>
      <c r="C94" s="820" t="s">
        <v>683</v>
      </c>
      <c r="D94" s="756" t="s">
        <v>684</v>
      </c>
      <c r="E94" s="833">
        <v>0.2</v>
      </c>
      <c r="F94" s="820">
        <v>30</v>
      </c>
    </row>
    <row r="95" spans="1:6" s="816" customFormat="1" ht="36">
      <c r="A95" s="820">
        <v>35</v>
      </c>
      <c r="B95" s="3389"/>
      <c r="C95" s="820" t="s">
        <v>685</v>
      </c>
      <c r="D95" s="756" t="s">
        <v>686</v>
      </c>
      <c r="E95" s="833">
        <v>0.2</v>
      </c>
      <c r="F95" s="820">
        <v>30</v>
      </c>
    </row>
    <row r="96" spans="1:6" s="816" customFormat="1" ht="48">
      <c r="A96" s="820">
        <v>36</v>
      </c>
      <c r="B96" s="3389"/>
      <c r="C96" s="756" t="s">
        <v>687</v>
      </c>
      <c r="D96" s="756" t="s">
        <v>688</v>
      </c>
      <c r="E96" s="833">
        <v>0.2</v>
      </c>
      <c r="F96" s="820">
        <v>30</v>
      </c>
    </row>
    <row r="97" spans="1:6" s="816" customFormat="1" ht="36">
      <c r="A97" s="820">
        <v>37</v>
      </c>
      <c r="B97" s="3389"/>
      <c r="C97" s="820" t="s">
        <v>689</v>
      </c>
      <c r="D97" s="756" t="s">
        <v>690</v>
      </c>
      <c r="E97" s="833">
        <v>0.2</v>
      </c>
      <c r="F97" s="820">
        <v>30</v>
      </c>
    </row>
    <row r="98" spans="1:6" s="816" customFormat="1" ht="36">
      <c r="A98" s="820">
        <v>38</v>
      </c>
      <c r="B98" s="3389"/>
      <c r="C98" s="820" t="s">
        <v>691</v>
      </c>
      <c r="D98" s="756" t="s">
        <v>692</v>
      </c>
      <c r="E98" s="833">
        <v>0.2</v>
      </c>
      <c r="F98" s="820">
        <v>30</v>
      </c>
    </row>
    <row r="99" spans="1:6" s="816" customFormat="1" ht="36">
      <c r="A99" s="820">
        <v>39</v>
      </c>
      <c r="B99" s="3389" t="s">
        <v>693</v>
      </c>
      <c r="C99" s="820" t="s">
        <v>694</v>
      </c>
      <c r="D99" s="756" t="s">
        <v>695</v>
      </c>
      <c r="E99" s="833">
        <v>0.3</v>
      </c>
      <c r="F99" s="820">
        <v>50</v>
      </c>
    </row>
    <row r="100" spans="1:6" s="816" customFormat="1" ht="24">
      <c r="A100" s="820">
        <v>40</v>
      </c>
      <c r="B100" s="3389"/>
      <c r="C100" s="820" t="s">
        <v>696</v>
      </c>
      <c r="D100" s="756" t="s">
        <v>697</v>
      </c>
      <c r="E100" s="833">
        <v>0.2</v>
      </c>
      <c r="F100" s="820">
        <v>30</v>
      </c>
    </row>
    <row r="101" spans="1:6" s="816" customFormat="1" ht="36">
      <c r="A101" s="820">
        <v>41</v>
      </c>
      <c r="B101" s="3389"/>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89" t="s">
        <v>708</v>
      </c>
      <c r="C105" s="820" t="s">
        <v>709</v>
      </c>
      <c r="D105" s="756" t="s">
        <v>710</v>
      </c>
      <c r="E105" s="833">
        <v>0.2</v>
      </c>
      <c r="F105" s="820">
        <v>30</v>
      </c>
    </row>
    <row r="106" spans="1:6" s="816" customFormat="1" ht="36">
      <c r="A106" s="820">
        <v>46</v>
      </c>
      <c r="B106" s="3389"/>
      <c r="C106" s="820" t="s">
        <v>711</v>
      </c>
      <c r="D106" s="756" t="s">
        <v>712</v>
      </c>
      <c r="E106" s="833">
        <v>0.2</v>
      </c>
      <c r="F106" s="820">
        <v>30</v>
      </c>
    </row>
    <row r="107" spans="1:6" s="816" customFormat="1" ht="36">
      <c r="A107" s="820">
        <v>47</v>
      </c>
      <c r="B107" s="3389" t="s">
        <v>713</v>
      </c>
      <c r="C107" s="820" t="s">
        <v>714</v>
      </c>
      <c r="D107" s="756" t="s">
        <v>715</v>
      </c>
      <c r="E107" s="833">
        <v>0.3</v>
      </c>
      <c r="F107" s="820">
        <v>50</v>
      </c>
    </row>
    <row r="108" spans="1:6" s="816" customFormat="1" ht="36">
      <c r="A108" s="820">
        <v>48</v>
      </c>
      <c r="B108" s="3389"/>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89" t="s">
        <v>724</v>
      </c>
      <c r="C111" s="820" t="s">
        <v>725</v>
      </c>
      <c r="D111" s="756" t="s">
        <v>726</v>
      </c>
      <c r="E111" s="833">
        <v>0.2</v>
      </c>
      <c r="F111" s="820">
        <v>30</v>
      </c>
    </row>
    <row r="112" spans="1:6" s="816" customFormat="1" ht="24">
      <c r="A112" s="820">
        <v>52</v>
      </c>
      <c r="B112" s="3389"/>
      <c r="C112" s="820" t="s">
        <v>727</v>
      </c>
      <c r="D112" s="756" t="s">
        <v>728</v>
      </c>
      <c r="E112" s="833">
        <v>0.2</v>
      </c>
      <c r="F112" s="820">
        <v>30</v>
      </c>
    </row>
    <row r="113" spans="1:6" s="816" customFormat="1" ht="24">
      <c r="A113" s="820">
        <v>53</v>
      </c>
      <c r="B113" s="3389"/>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89" t="s">
        <v>737</v>
      </c>
      <c r="C116" s="820" t="s">
        <v>738</v>
      </c>
      <c r="D116" s="756" t="s">
        <v>739</v>
      </c>
      <c r="E116" s="833">
        <v>0.2</v>
      </c>
      <c r="F116" s="820">
        <v>30</v>
      </c>
    </row>
    <row r="117" spans="1:6" ht="36">
      <c r="A117" s="820">
        <v>57</v>
      </c>
      <c r="B117" s="3389"/>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95" t="s">
        <v>1117</v>
      </c>
      <c r="C1" s="3395"/>
      <c r="D1" s="3395"/>
      <c r="E1" s="3395"/>
      <c r="F1" s="3395"/>
      <c r="G1" s="3391" t="s">
        <v>1118</v>
      </c>
      <c r="H1" s="3391"/>
      <c r="I1" s="3391"/>
      <c r="J1" s="3391"/>
      <c r="K1" s="3391"/>
      <c r="L1" s="3391"/>
      <c r="N1" s="3391" t="s">
        <v>1119</v>
      </c>
      <c r="O1" s="3391"/>
      <c r="P1" s="3391"/>
      <c r="Q1" s="3391"/>
      <c r="S1" s="3391" t="s">
        <v>1120</v>
      </c>
      <c r="T1" s="3391"/>
      <c r="U1" s="3391"/>
      <c r="V1" s="3391"/>
      <c r="X1" s="3390" t="s">
        <v>1121</v>
      </c>
      <c r="Y1" s="3391"/>
      <c r="Z1" s="3391"/>
      <c r="AA1" s="3391"/>
      <c r="AB1" s="3391"/>
      <c r="AD1" s="3390" t="s">
        <v>1122</v>
      </c>
      <c r="AE1" s="3391"/>
      <c r="AF1" s="3391"/>
      <c r="AG1" s="3391"/>
      <c r="AH1" s="3391"/>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2856</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3065</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2857</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3064</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3063</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3060</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3059</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2873</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2871</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2870</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2869</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2867</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2865</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2868</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393">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2863</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393"/>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2862</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393"/>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2855</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00"/>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2853</v>
      </c>
      <c r="B20" s="2436">
        <v>439</v>
      </c>
      <c r="C20" s="2436">
        <v>327</v>
      </c>
      <c r="D20" s="2436">
        <f>C20</f>
        <v>327</v>
      </c>
      <c r="E20" s="2436">
        <v>627</v>
      </c>
      <c r="F20" s="2437">
        <v>283</v>
      </c>
      <c r="G20" s="3396">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2854</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393"/>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393"/>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00"/>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396">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393"/>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393"/>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394"/>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392">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393"/>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393"/>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394"/>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392">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393"/>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393"/>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394"/>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397">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398"/>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398"/>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399"/>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392">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393"/>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393"/>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394"/>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392">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393">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393">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394">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392">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393">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393">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394">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392">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393">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393">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394">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392">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393">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393">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394">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392">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393">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393">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394">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392">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393">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393">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394">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392">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393">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393">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394">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392">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393">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393">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394">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392">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393">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393">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394">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392">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393">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393">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394">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2825</v>
      </c>
      <c r="C1" s="3404" t="s">
        <v>2826</v>
      </c>
      <c r="D1" s="3405"/>
      <c r="E1" s="3405"/>
      <c r="F1" s="3405"/>
      <c r="G1" s="3405"/>
      <c r="H1" s="3405"/>
      <c r="I1" s="3405"/>
      <c r="J1" s="3405"/>
      <c r="K1" s="3405"/>
      <c r="L1" s="3405"/>
      <c r="M1" s="3405"/>
      <c r="N1" s="3405"/>
      <c r="O1" s="3405"/>
      <c r="P1" s="3405"/>
      <c r="Q1" s="3405"/>
      <c r="R1" s="3405"/>
      <c r="S1" s="3406"/>
      <c r="T1" s="1113" t="s">
        <v>2827</v>
      </c>
    </row>
    <row r="2" spans="1:45" s="662" customFormat="1">
      <c r="A2" s="1114"/>
      <c r="B2" s="658" t="s">
        <v>2828</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5"/>
      <c r="G4" s="1475"/>
      <c r="H4" s="1475"/>
      <c r="I4" s="1475"/>
      <c r="J4" s="1475"/>
      <c r="K4" s="1475"/>
      <c r="L4" s="1475"/>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504" t="s">
        <v>2829</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505" t="s">
        <v>2830</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505" t="s">
        <v>2831</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504"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504"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504"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2835</v>
      </c>
      <c r="B17" s="2363" t="s">
        <v>2836</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4" t="s">
        <v>2837</v>
      </c>
      <c r="E19" s="1522"/>
      <c r="F19" s="1522"/>
      <c r="G19" s="1522"/>
      <c r="H19" s="1189"/>
      <c r="I19" s="163"/>
      <c r="J19" s="163"/>
      <c r="K19" s="163"/>
      <c r="L19" s="163"/>
      <c r="M19" s="163"/>
      <c r="N19" s="163"/>
      <c r="O19" s="163"/>
      <c r="P19" s="163"/>
      <c r="Q19" s="163"/>
      <c r="R19" s="726"/>
      <c r="S19" s="133"/>
    </row>
    <row r="20" spans="1:45" ht="16.5" thickBot="1">
      <c r="A20" s="670" t="s">
        <v>2838</v>
      </c>
      <c r="B20" s="299" t="e">
        <f ca="1">IF(D20="——",S22,S22-F20)</f>
        <v>#REF!</v>
      </c>
      <c r="C20" s="163"/>
      <c r="D20" s="2365"/>
      <c r="E20" s="1523"/>
      <c r="F20" s="1113" t="e">
        <f ca="1">SUMIF(INDIRECT("'"&amp;H20&amp;"'"&amp;"!A:A"),"承租人权益价值",INDIRECT("'"&amp;H20&amp;"'"&amp;"!c:c"))</f>
        <v>#REF!</v>
      </c>
      <c r="G20" s="1113" t="s">
        <v>2839</v>
      </c>
      <c r="H20" s="2366"/>
      <c r="I20" s="163"/>
      <c r="J20" s="163"/>
      <c r="K20" s="163"/>
      <c r="L20" s="163"/>
      <c r="M20" s="163"/>
      <c r="N20" s="163"/>
      <c r="O20" s="163"/>
      <c r="P20" s="163"/>
      <c r="Q20" s="163"/>
      <c r="R20" s="726"/>
      <c r="S20" s="133"/>
    </row>
    <row r="21" spans="1:45" ht="15.75">
      <c r="A21" s="670" t="s">
        <v>2840</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2841</v>
      </c>
      <c r="B22" s="23">
        <f>SUM(B24:B10000)</f>
        <v>100</v>
      </c>
      <c r="C22" s="3401" t="s">
        <v>33</v>
      </c>
      <c r="D22" s="3402"/>
      <c r="E22" s="3402"/>
      <c r="F22" s="3402"/>
      <c r="G22" s="3402"/>
      <c r="H22" s="3402"/>
      <c r="I22" s="3402"/>
      <c r="J22" s="3402"/>
      <c r="K22" s="3402"/>
      <c r="L22" s="3402"/>
      <c r="M22" s="3402"/>
      <c r="N22" s="3402"/>
      <c r="O22" s="3402"/>
      <c r="P22" s="3402"/>
      <c r="Q22" s="3403"/>
      <c r="R22" s="671">
        <f>ROUND(S22*10000/B22,0)</f>
        <v>10000</v>
      </c>
      <c r="S22" s="23">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v>100</v>
      </c>
      <c r="C24" s="3039">
        <v>1</v>
      </c>
      <c r="D24" s="3040"/>
      <c r="E24" s="3039">
        <v>1</v>
      </c>
      <c r="F24" s="3040"/>
      <c r="G24" s="3039">
        <v>1</v>
      </c>
      <c r="H24" s="3040"/>
      <c r="I24" s="3039">
        <v>1</v>
      </c>
      <c r="J24" s="3040"/>
      <c r="K24" s="3039">
        <v>1</v>
      </c>
      <c r="L24" s="3040"/>
      <c r="M24" s="3039">
        <v>1</v>
      </c>
      <c r="N24" s="3040"/>
      <c r="O24" s="3039">
        <v>1</v>
      </c>
      <c r="P24" s="3040"/>
      <c r="Q24" s="303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v>
      </c>
      <c r="B3" s="3078"/>
      <c r="C3" s="3078"/>
      <c r="D3" s="3078"/>
      <c r="E3" s="3078"/>
    </row>
    <row r="4" spans="1:5" ht="19.5" thickBot="1">
      <c r="A4" s="1676"/>
      <c r="B4" s="3076" t="s">
        <v>1595</v>
      </c>
      <c r="C4" s="3076"/>
      <c r="D4" s="3076"/>
      <c r="E4" s="1676"/>
    </row>
    <row r="5" spans="1:5" ht="16.5" thickTop="1">
      <c r="A5" s="1674"/>
      <c r="B5" s="3074" t="s">
        <v>1587</v>
      </c>
      <c r="C5" s="1677" t="s">
        <v>1588</v>
      </c>
      <c r="D5" s="958">
        <f ca="1">结果表!H101</f>
        <v>35742</v>
      </c>
      <c r="E5" s="1674"/>
    </row>
    <row r="6" spans="1:5" ht="15.75">
      <c r="A6" s="1674"/>
      <c r="B6" s="3074"/>
      <c r="C6" s="1677" t="s">
        <v>1589</v>
      </c>
      <c r="D6" s="958" t="str">
        <f ca="1">NUMBERSTRING(INT(D5*10000),2)&amp;"元整"</f>
        <v>叁亿伍仟柒佰肆拾贰万元整</v>
      </c>
      <c r="E6" s="1674"/>
    </row>
    <row r="7" spans="1:5" ht="15.75">
      <c r="A7" s="1674"/>
      <c r="B7" s="3079"/>
      <c r="C7" s="1678" t="s">
        <v>1590</v>
      </c>
      <c r="D7" s="959">
        <f ca="1">结果表!H102</f>
        <v>7904</v>
      </c>
      <c r="E7" s="1674"/>
    </row>
    <row r="8" spans="1:5" ht="15.75">
      <c r="A8" s="1674"/>
      <c r="B8" s="3080" t="str">
        <f>结果表!E103</f>
        <v>2.估价师知悉的法定优先受偿款</v>
      </c>
      <c r="C8" s="1679" t="s">
        <v>1591</v>
      </c>
      <c r="D8" s="959">
        <f>结果表!H103</f>
        <v>0</v>
      </c>
      <c r="E8" s="1674"/>
    </row>
    <row r="9" spans="1:5" ht="15.75">
      <c r="A9" s="1674"/>
      <c r="B9" s="3082"/>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73" t="str">
        <f>结果表!E107</f>
        <v>3.房地产抵押价值</v>
      </c>
      <c r="C13" s="1682" t="s">
        <v>1588</v>
      </c>
      <c r="D13" s="961">
        <f ca="1">结果表!H107</f>
        <v>35742</v>
      </c>
      <c r="E13" s="1674"/>
    </row>
    <row r="14" spans="1:5" ht="15.75">
      <c r="A14" s="1674"/>
      <c r="B14" s="3074"/>
      <c r="C14" s="1677" t="s">
        <v>1589</v>
      </c>
      <c r="D14" s="958" t="str">
        <f ca="1">NUMBERSTRING(INT(D13*10000),2)&amp;"元整"</f>
        <v>叁亿伍仟柒佰肆拾贰万元整</v>
      </c>
      <c r="E14" s="1674"/>
    </row>
    <row r="15" spans="1:5" ht="15">
      <c r="A15" s="1674"/>
      <c r="B15" s="3079"/>
      <c r="C15" s="1678" t="s">
        <v>1599</v>
      </c>
      <c r="D15" s="967">
        <f ca="1">结果表!H108</f>
        <v>7904</v>
      </c>
      <c r="E15" s="1674"/>
    </row>
    <row r="16" spans="1:5" ht="15">
      <c r="A16" s="1674"/>
      <c r="B16" s="3080" t="str">
        <f>结果表!E109</f>
        <v>——</v>
      </c>
      <c r="C16" s="1682" t="s">
        <v>1600</v>
      </c>
      <c r="D16" s="1683" t="str">
        <f>结果表!H109</f>
        <v>——</v>
      </c>
      <c r="E16" s="1674"/>
    </row>
    <row r="17" spans="1:5" ht="15.75">
      <c r="A17" s="1674"/>
      <c r="B17" s="3081"/>
      <c r="C17" s="1677" t="s">
        <v>1601</v>
      </c>
      <c r="D17" s="958" t="e">
        <f>NUMBERSTRING(INT(D16*10000),2)&amp;"元整"</f>
        <v>#VALUE!</v>
      </c>
      <c r="E17" s="1674"/>
    </row>
    <row r="18" spans="1:5" ht="15">
      <c r="A18" s="1674"/>
      <c r="B18" s="3082"/>
      <c r="C18" s="1678" t="s">
        <v>1590</v>
      </c>
      <c r="D18" s="967" t="str">
        <f>结果表!H110</f>
        <v>——</v>
      </c>
      <c r="E18" s="1674"/>
    </row>
    <row r="19" spans="1:5" ht="15.75">
      <c r="A19" s="1674"/>
      <c r="B19" s="3073" t="str">
        <f>结果表!E111</f>
        <v>——</v>
      </c>
      <c r="C19" s="1682" t="s">
        <v>1588</v>
      </c>
      <c r="D19" s="959" t="str">
        <f>结果表!H111</f>
        <v>——</v>
      </c>
      <c r="E19" s="1674"/>
    </row>
    <row r="20" spans="1:5" ht="15.75">
      <c r="A20" s="1674"/>
      <c r="B20" s="3074"/>
      <c r="C20" s="1677" t="s">
        <v>1601</v>
      </c>
      <c r="D20" s="958" t="e">
        <f>NUMBERSTRING(INT(D19*10000),2)&amp;"元整"</f>
        <v>#VALUE!</v>
      </c>
      <c r="E20" s="1674"/>
    </row>
    <row r="21" spans="1:5" ht="15.75" thickBot="1">
      <c r="A21" s="1674"/>
      <c r="B21" s="3075"/>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58987</v>
      </c>
      <c r="C2" s="2" t="s">
        <v>133</v>
      </c>
      <c r="D2" s="204"/>
      <c r="E2" s="204"/>
      <c r="F2" s="204"/>
      <c r="G2" s="204"/>
    </row>
    <row r="3" spans="1:7" s="205" customFormat="1" ht="18" customHeight="1" thickBot="1">
      <c r="A3" s="208" t="s">
        <v>85</v>
      </c>
      <c r="B3" s="209">
        <f ca="1">ROUND(B2*10000/'数据-汇总表'!E3,0)</f>
        <v>13045</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0</v>
      </c>
      <c r="D10" s="953">
        <f>'数据-汇总表'!E6</f>
        <v>45218.69</v>
      </c>
      <c r="E10" s="230">
        <f>'数据-取费表'!B28</f>
        <v>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904</v>
      </c>
      <c r="D19" s="957">
        <f>'数据-汇总表'!E3</f>
        <v>45218.69</v>
      </c>
      <c r="E19" s="216">
        <f>'数据-取费表'!B31</f>
        <v>200</v>
      </c>
      <c r="F19" s="236"/>
      <c r="G19" s="1" t="s">
        <v>1042</v>
      </c>
    </row>
    <row r="20" spans="1:7" s="219" customFormat="1" ht="13.5" customHeight="1">
      <c r="A20" s="884" t="s">
        <v>1025</v>
      </c>
      <c r="B20" s="215" t="s">
        <v>104</v>
      </c>
      <c r="C20" s="237">
        <f>ROUND((C5+C19)*F20,0)</f>
        <v>430</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2">
        <f ca="1">ROUND(SUM(C23:C25),0)</f>
        <v>1706</v>
      </c>
      <c r="D22" s="240">
        <f ca="1">C26</f>
        <v>8.0000000000000004E-4</v>
      </c>
      <c r="E22" s="241" t="s">
        <v>126</v>
      </c>
      <c r="F22" s="242">
        <f ca="1">'数据-取费表'!B40</f>
        <v>3.85E-2</v>
      </c>
      <c r="G22" s="1198" t="str">
        <f>IF('数据-取费表'!B22&lt;=1,"单利计息","复利计息")</f>
        <v>复利计息</v>
      </c>
    </row>
    <row r="23" spans="1:7" s="219" customFormat="1" ht="13.5" customHeight="1">
      <c r="A23" s="887" t="s">
        <v>794</v>
      </c>
      <c r="B23" s="220" t="s">
        <v>1029</v>
      </c>
      <c r="C23" s="1263">
        <f ca="1">ROUND(IF('数据-取费表'!B22&lt;=1,C5*F22*'数据-取费表'!B23,C5*(POWER((1+F22),'数据-取费表'!B23)-1)),0)</f>
        <v>1618</v>
      </c>
      <c r="D23" s="243"/>
      <c r="E23" s="243"/>
      <c r="F23" s="244"/>
      <c r="G23" s="245" t="s">
        <v>108</v>
      </c>
    </row>
    <row r="24" spans="1:7" s="219" customFormat="1" ht="13.5" customHeight="1">
      <c r="A24" s="887" t="s">
        <v>792</v>
      </c>
      <c r="B24" s="220" t="s">
        <v>1024</v>
      </c>
      <c r="C24" s="1263">
        <f ca="1">ROUND(IF('数据-取费表'!B22&lt;=1,C19*F22*('数据-取费表'!B19/2+'数据-取费表'!B21),C19*(POWER((1+F22),('数据-取费表'!B19/2+'数据-取费表'!B21))-1)),0)</f>
        <v>71</v>
      </c>
      <c r="D24" s="243"/>
      <c r="E24" s="243"/>
      <c r="F24" s="244"/>
      <c r="G24" s="245" t="s">
        <v>109</v>
      </c>
    </row>
    <row r="25" spans="1:7" s="219" customFormat="1" ht="24">
      <c r="A25" s="887" t="s">
        <v>793</v>
      </c>
      <c r="B25" s="220" t="s">
        <v>1026</v>
      </c>
      <c r="C25" s="1263">
        <f ca="1">ROUND(IF('数据-取费表'!B22&lt;=1,C20*F22*'数据-取费表'!B23/2,C20*(POWER((1+F22),'数据-取费表'!B23/2)-1)),0)</f>
        <v>17</v>
      </c>
      <c r="D25" s="243"/>
      <c r="E25" s="246"/>
      <c r="F25" s="244"/>
      <c r="G25" s="247" t="s">
        <v>110</v>
      </c>
    </row>
    <row r="26" spans="1:7" s="219" customFormat="1">
      <c r="A26" s="887" t="s">
        <v>795</v>
      </c>
      <c r="B26" s="220" t="s">
        <v>1028</v>
      </c>
      <c r="C26" s="243">
        <f ca="1">ROUND(IF('数据-取费表'!B22&lt;=1,F21*F22*'数据-取费表'!B23/2,F21*(POWER((1+F22),'数据-取费表'!B23/2)-1)),4)</f>
        <v>8.0000000000000004E-4</v>
      </c>
      <c r="D26" s="243"/>
      <c r="E26" s="246"/>
      <c r="F26" s="244"/>
      <c r="G26" s="248"/>
    </row>
    <row r="27" spans="1:7" s="219" customFormat="1" ht="24.75">
      <c r="A27" s="884" t="s">
        <v>787</v>
      </c>
      <c r="B27" s="249" t="s">
        <v>112</v>
      </c>
      <c r="C27" s="250">
        <f>C28</f>
        <v>4389</v>
      </c>
      <c r="D27" s="240">
        <f>C29</f>
        <v>4.0000000000000001E-3</v>
      </c>
      <c r="E27" s="241" t="s">
        <v>126</v>
      </c>
      <c r="F27" s="251">
        <f>'数据-取费表'!Q16</f>
        <v>0.2</v>
      </c>
      <c r="G27" s="252" t="s">
        <v>1037</v>
      </c>
    </row>
    <row r="28" spans="1:7" s="219" customFormat="1" ht="13.5" customHeight="1">
      <c r="A28" s="887" t="s">
        <v>794</v>
      </c>
      <c r="B28" s="253" t="s">
        <v>1030</v>
      </c>
      <c r="C28" s="254">
        <f>ROUND((C5+C19+C20)*F27*'数据-取费表'!B21/'数据-取费表'!B20,0)</f>
        <v>4389</v>
      </c>
      <c r="D28" s="240"/>
      <c r="E28" s="241"/>
      <c r="F28" s="251"/>
      <c r="G28" s="252"/>
    </row>
    <row r="29" spans="1:7" s="219" customFormat="1" ht="13.5" customHeight="1">
      <c r="A29" s="887" t="s">
        <v>792</v>
      </c>
      <c r="B29" s="253" t="s">
        <v>1031</v>
      </c>
      <c r="C29" s="243">
        <f>ROUND(C21*F27*'数据-取费表'!B21/'数据-取费表'!B20,4)</f>
        <v>4.0000000000000001E-3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30415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24530</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22609</v>
      </c>
      <c r="D34" s="222"/>
      <c r="E34" s="225"/>
      <c r="F34" s="262">
        <f>IF('数据-取费表'!B24=0,1,'数据-取费表'!N16)</f>
        <v>1</v>
      </c>
      <c r="G34" s="224" t="s">
        <v>116</v>
      </c>
    </row>
    <row r="35" spans="1:7" ht="13.5" customHeight="1">
      <c r="A35" s="887" t="s">
        <v>796</v>
      </c>
      <c r="B35" s="220" t="s">
        <v>60</v>
      </c>
      <c r="C35" s="225">
        <f>ROUND(C34*F35,0)</f>
        <v>678</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904</v>
      </c>
      <c r="D37" s="222">
        <f>'数据-汇总表'!E3</f>
        <v>45218.69</v>
      </c>
      <c r="E37" s="254">
        <f>'数据-取费表'!B35</f>
        <v>200</v>
      </c>
      <c r="F37" s="264"/>
      <c r="G37" s="266" t="s">
        <v>119</v>
      </c>
    </row>
    <row r="38" spans="1:7" ht="13.5" customHeight="1">
      <c r="A38" s="887" t="s">
        <v>799</v>
      </c>
      <c r="B38" s="220" t="s">
        <v>63</v>
      </c>
      <c r="C38" s="225">
        <f>ROUND(C34*F38,0)</f>
        <v>339</v>
      </c>
      <c r="D38" s="225"/>
      <c r="E38" s="225"/>
      <c r="F38" s="264">
        <f>'数据-取费表'!B36</f>
        <v>1.4999999999999999E-2</v>
      </c>
      <c r="G38" s="224" t="s">
        <v>117</v>
      </c>
    </row>
    <row r="39" spans="1:7" s="219" customFormat="1" ht="13.5" customHeight="1">
      <c r="A39" s="884" t="s">
        <v>783</v>
      </c>
      <c r="B39" s="215" t="s">
        <v>104</v>
      </c>
      <c r="C39" s="237">
        <f>ROUND(C33*F20,0)</f>
        <v>491</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963</v>
      </c>
      <c r="D41" s="240">
        <f ca="1">C44</f>
        <v>8.0000000000000004E-4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944</v>
      </c>
      <c r="D42" s="243"/>
      <c r="E42" s="243"/>
      <c r="F42" s="244"/>
      <c r="G42" s="3261" t="s">
        <v>121</v>
      </c>
    </row>
    <row r="43" spans="1:7" ht="13.5" customHeight="1">
      <c r="A43" s="887" t="s">
        <v>792</v>
      </c>
      <c r="B43" s="220" t="s">
        <v>1032</v>
      </c>
      <c r="C43" s="243">
        <f ca="1">ROUND(IF('数据-取费表'!B22&lt;=1,C39*F22*'数据-取费表'!B21/2,C39*(POWER((1+F22),'数据-取费表'!B21/2)-1)),0)</f>
        <v>19</v>
      </c>
      <c r="D43" s="243"/>
      <c r="E43" s="243"/>
      <c r="F43" s="244"/>
      <c r="G43" s="3262"/>
    </row>
    <row r="44" spans="1:7" ht="13.5" customHeight="1">
      <c r="A44" s="887" t="s">
        <v>793</v>
      </c>
      <c r="B44" s="220" t="s">
        <v>1034</v>
      </c>
      <c r="C44" s="243">
        <f ca="1">ROUND(IF('数据-取费表'!B22&lt;=1,C40*F22*'数据-取费表'!B21/2,C40*(POWER((1+F22),'数据-取费表'!B21/2)-1)),4)</f>
        <v>8.0000000000000004E-4</v>
      </c>
      <c r="D44" s="243"/>
      <c r="E44" s="243"/>
      <c r="F44" s="244"/>
      <c r="G44" s="3263"/>
    </row>
    <row r="45" spans="1:7" s="219" customFormat="1" ht="13.5" customHeight="1">
      <c r="A45" s="884" t="s">
        <v>786</v>
      </c>
      <c r="B45" s="249" t="s">
        <v>112</v>
      </c>
      <c r="C45" s="250">
        <f>C46</f>
        <v>5004</v>
      </c>
      <c r="D45" s="240">
        <f>C47</f>
        <v>4.0000000000000001E-3</v>
      </c>
      <c r="E45" s="241" t="s">
        <v>129</v>
      </c>
      <c r="F45" s="251"/>
      <c r="G45" s="252" t="s">
        <v>1040</v>
      </c>
    </row>
    <row r="46" spans="1:7" s="219" customFormat="1" ht="13.5" customHeight="1">
      <c r="A46" s="887" t="s">
        <v>794</v>
      </c>
      <c r="B46" s="253" t="s">
        <v>1033</v>
      </c>
      <c r="C46" s="254">
        <f>ROUND((C33+C39)*F27,0)</f>
        <v>5004</v>
      </c>
      <c r="D46" s="268"/>
      <c r="E46" s="241"/>
      <c r="F46" s="251"/>
      <c r="G46" s="252"/>
    </row>
    <row r="47" spans="1:7" s="219" customFormat="1" ht="13.5" customHeight="1">
      <c r="A47" s="887" t="s">
        <v>792</v>
      </c>
      <c r="B47" s="253" t="s">
        <v>1035</v>
      </c>
      <c r="C47" s="243">
        <f>ROUND(C40*F27,4)</f>
        <v>4.0000000000000001E-3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33614</v>
      </c>
      <c r="D49" s="237"/>
      <c r="E49" s="237"/>
      <c r="F49" s="269"/>
      <c r="G49" s="239" t="s">
        <v>1041</v>
      </c>
    </row>
    <row r="50" spans="1:7" s="263" customFormat="1" ht="24">
      <c r="A50" s="884" t="s">
        <v>789</v>
      </c>
      <c r="B50" s="215" t="s">
        <v>124</v>
      </c>
      <c r="C50" s="237"/>
      <c r="D50" s="237"/>
      <c r="E50" s="237"/>
      <c r="F50" s="269">
        <f>IF('数据-取费表'!B24=0,'数据-取费表'!N16,1)</f>
        <v>0.85</v>
      </c>
      <c r="G50" s="252" t="s">
        <v>125</v>
      </c>
    </row>
    <row r="51" spans="1:7" ht="16.5" customHeight="1">
      <c r="A51" s="884" t="s">
        <v>790</v>
      </c>
      <c r="B51" s="215" t="s">
        <v>132</v>
      </c>
      <c r="C51" s="237">
        <f ca="1">ROUND(C49*F50,0)</f>
        <v>28572</v>
      </c>
      <c r="D51" s="237"/>
      <c r="E51" s="237"/>
      <c r="F51" s="269"/>
      <c r="G51" s="239" t="s">
        <v>64</v>
      </c>
    </row>
    <row r="52" spans="1:7" s="213" customFormat="1" ht="16.5" thickBot="1">
      <c r="A52" s="270" t="s">
        <v>65</v>
      </c>
      <c r="B52" s="271"/>
      <c r="C52" s="272">
        <f ca="1">C31+C51</f>
        <v>58987</v>
      </c>
      <c r="D52" s="271"/>
      <c r="E52" s="271"/>
      <c r="F52" s="271"/>
      <c r="G52" s="273"/>
    </row>
    <row r="55" spans="1:7" ht="15">
      <c r="B55" s="275" t="s">
        <v>66</v>
      </c>
      <c r="C55" s="276"/>
    </row>
    <row r="56" spans="1:7">
      <c r="B56" s="278" t="s">
        <v>67</v>
      </c>
      <c r="C56" s="279">
        <f ca="1">ROUND(C51/C52,3)</f>
        <v>0.48399999999999999</v>
      </c>
    </row>
    <row r="57" spans="1:7">
      <c r="B57" s="278" t="s">
        <v>68</v>
      </c>
      <c r="C57" s="280">
        <f ca="1">1-C56</f>
        <v>0.51600000000000001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07" t="s">
        <v>156</v>
      </c>
      <c r="B1" s="3407"/>
      <c r="C1" s="3407"/>
      <c r="D1" s="3407"/>
      <c r="E1" s="3407"/>
      <c r="F1" s="340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08" t="s">
        <v>169</v>
      </c>
      <c r="B2" s="3408"/>
      <c r="C2" s="3408"/>
      <c r="D2" s="3408"/>
      <c r="E2" s="3408"/>
      <c r="F2" s="340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0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07" t="s">
        <v>839</v>
      </c>
      <c r="B1" s="340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44439</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3061</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A4" workbookViewId="0">
      <selection activeCell="K29" sqref="K29"/>
    </sheetView>
  </sheetViews>
  <sheetFormatPr defaultRowHeight="13.5"/>
  <cols>
    <col min="1" max="1" width="29.875" customWidth="1"/>
  </cols>
  <sheetData>
    <row r="1" spans="1:13">
      <c r="A1" s="3061" t="s">
        <v>3086</v>
      </c>
      <c r="B1" s="3061" t="s">
        <v>3087</v>
      </c>
      <c r="C1" s="3061" t="s">
        <v>3088</v>
      </c>
      <c r="D1" s="3061" t="s">
        <v>3089</v>
      </c>
      <c r="E1" s="3061" t="s">
        <v>3090</v>
      </c>
      <c r="F1" s="3061" t="s">
        <v>3091</v>
      </c>
      <c r="G1" s="3061" t="s">
        <v>3092</v>
      </c>
      <c r="H1" s="3061" t="s">
        <v>3093</v>
      </c>
      <c r="I1" s="3061" t="s">
        <v>3094</v>
      </c>
      <c r="J1" s="3061" t="s">
        <v>3095</v>
      </c>
      <c r="K1" s="3061" t="s">
        <v>3096</v>
      </c>
      <c r="L1" s="3061" t="s">
        <v>3097</v>
      </c>
      <c r="M1" s="3061" t="s">
        <v>3098</v>
      </c>
    </row>
    <row r="2" spans="1:13">
      <c r="A2" s="3061" t="s">
        <v>3099</v>
      </c>
      <c r="B2" s="3061" t="s">
        <v>3100</v>
      </c>
      <c r="C2" s="3061" t="s">
        <v>3101</v>
      </c>
      <c r="D2" s="3061">
        <v>13805.5</v>
      </c>
      <c r="E2" s="3061">
        <v>41416.5</v>
      </c>
      <c r="F2" s="3061" t="s">
        <v>3102</v>
      </c>
      <c r="G2" s="3061" t="s">
        <v>3103</v>
      </c>
      <c r="H2" s="3061" t="s">
        <v>3104</v>
      </c>
      <c r="I2" s="3061" t="s">
        <v>3105</v>
      </c>
      <c r="J2" s="3061">
        <v>5120</v>
      </c>
      <c r="K2" s="3061">
        <v>5120</v>
      </c>
      <c r="L2" s="3061">
        <v>1236.22</v>
      </c>
      <c r="M2" s="3061">
        <v>0</v>
      </c>
    </row>
    <row r="3" spans="1:13">
      <c r="A3" s="3061" t="s">
        <v>3106</v>
      </c>
      <c r="B3" s="3061" t="s">
        <v>3100</v>
      </c>
      <c r="C3" s="3061" t="s">
        <v>3101</v>
      </c>
      <c r="D3" s="3061">
        <v>14561.2</v>
      </c>
      <c r="E3" s="3061">
        <v>21841.8</v>
      </c>
      <c r="F3" s="3061" t="s">
        <v>3107</v>
      </c>
      <c r="G3" s="3061" t="s">
        <v>3103</v>
      </c>
      <c r="H3" s="3061" t="s">
        <v>3108</v>
      </c>
      <c r="I3" s="3061" t="s">
        <v>3109</v>
      </c>
      <c r="J3" s="3061">
        <v>4160</v>
      </c>
      <c r="K3" s="3061">
        <v>4160</v>
      </c>
      <c r="L3" s="3061">
        <v>1904.59</v>
      </c>
      <c r="M3" s="3061">
        <v>0</v>
      </c>
    </row>
    <row r="4" spans="1:13">
      <c r="A4" s="3061" t="s">
        <v>3106</v>
      </c>
      <c r="B4" s="3061" t="s">
        <v>3100</v>
      </c>
      <c r="C4" s="3061" t="s">
        <v>3101</v>
      </c>
      <c r="D4" s="3061">
        <v>15608.8</v>
      </c>
      <c r="E4" s="3061">
        <v>23413.200000000001</v>
      </c>
      <c r="F4" s="3061" t="s">
        <v>3107</v>
      </c>
      <c r="G4" s="3061" t="s">
        <v>3103</v>
      </c>
      <c r="H4" s="3061" t="s">
        <v>3108</v>
      </c>
      <c r="I4" s="3061" t="s">
        <v>3109</v>
      </c>
      <c r="J4" s="3061">
        <v>4458</v>
      </c>
      <c r="K4" s="3061">
        <v>4458</v>
      </c>
      <c r="L4" s="3061">
        <v>1904.04</v>
      </c>
      <c r="M4" s="3061">
        <v>0</v>
      </c>
    </row>
    <row r="5" spans="1:13">
      <c r="A5" s="3061" t="s">
        <v>3110</v>
      </c>
      <c r="B5" s="3061" t="s">
        <v>3100</v>
      </c>
      <c r="C5" s="3061" t="s">
        <v>3101</v>
      </c>
      <c r="D5" s="3061">
        <v>3649</v>
      </c>
      <c r="E5" s="3061">
        <v>729.82</v>
      </c>
      <c r="F5" s="3061" t="s">
        <v>3111</v>
      </c>
      <c r="G5" s="3061" t="s">
        <v>3103</v>
      </c>
      <c r="H5" s="3061" t="s">
        <v>3112</v>
      </c>
      <c r="I5" s="3061" t="s">
        <v>3113</v>
      </c>
      <c r="J5" s="3061">
        <v>1800</v>
      </c>
      <c r="K5" s="3061">
        <v>8600</v>
      </c>
      <c r="L5" s="3061">
        <v>117837.27</v>
      </c>
      <c r="M5" s="3061">
        <v>377.78</v>
      </c>
    </row>
    <row r="6" spans="1:13">
      <c r="A6" s="3061" t="s">
        <v>3110</v>
      </c>
      <c r="B6" s="3061" t="s">
        <v>3100</v>
      </c>
      <c r="C6" s="3061" t="s">
        <v>3101</v>
      </c>
      <c r="D6" s="3061">
        <v>38375.5</v>
      </c>
      <c r="E6" s="3061">
        <v>95938.75</v>
      </c>
      <c r="F6" s="3061" t="s">
        <v>3114</v>
      </c>
      <c r="G6" s="3061" t="s">
        <v>3103</v>
      </c>
      <c r="H6" s="3061" t="s">
        <v>3115</v>
      </c>
      <c r="I6" s="3061" t="s">
        <v>3116</v>
      </c>
      <c r="J6" s="3061">
        <v>25670</v>
      </c>
      <c r="K6" s="3061">
        <v>25670</v>
      </c>
      <c r="L6" s="3061">
        <v>2675.67</v>
      </c>
      <c r="M6" s="3061">
        <v>0</v>
      </c>
    </row>
    <row r="7" spans="1:13">
      <c r="A7" s="3061" t="s">
        <v>3117</v>
      </c>
      <c r="B7" s="3061" t="s">
        <v>3100</v>
      </c>
      <c r="C7" s="3061" t="s">
        <v>3101</v>
      </c>
      <c r="D7" s="3061">
        <v>4997.5</v>
      </c>
      <c r="E7" s="3061">
        <v>4997.3</v>
      </c>
      <c r="F7" s="3061" t="s">
        <v>3118</v>
      </c>
      <c r="G7" s="3061" t="s">
        <v>3103</v>
      </c>
      <c r="H7" s="3061" t="s">
        <v>3119</v>
      </c>
      <c r="I7" s="3061" t="s">
        <v>3120</v>
      </c>
      <c r="J7" s="3061">
        <v>2290</v>
      </c>
      <c r="K7" s="3061">
        <v>2290</v>
      </c>
      <c r="L7" s="3061">
        <v>4582.47</v>
      </c>
      <c r="M7" s="3061">
        <v>0</v>
      </c>
    </row>
    <row r="8" spans="1:13" s="3063" customFormat="1">
      <c r="A8" s="3062" t="s">
        <v>3121</v>
      </c>
      <c r="B8" s="3062" t="s">
        <v>3100</v>
      </c>
      <c r="C8" s="3062" t="s">
        <v>3101</v>
      </c>
      <c r="D8" s="3062">
        <v>40969</v>
      </c>
      <c r="E8" s="3062">
        <v>143391.5</v>
      </c>
      <c r="F8" s="3062" t="s">
        <v>3122</v>
      </c>
      <c r="G8" s="3062" t="s">
        <v>3103</v>
      </c>
      <c r="H8" s="3062" t="s">
        <v>3123</v>
      </c>
      <c r="I8" s="3062" t="s">
        <v>3124</v>
      </c>
      <c r="J8" s="3062">
        <v>35190</v>
      </c>
      <c r="K8" s="3062">
        <v>35190</v>
      </c>
      <c r="L8" s="3062">
        <v>2454.11</v>
      </c>
      <c r="M8" s="3062">
        <v>0</v>
      </c>
    </row>
    <row r="9" spans="1:13" s="3063" customFormat="1">
      <c r="A9" s="3062" t="s">
        <v>3121</v>
      </c>
      <c r="B9" s="3062" t="s">
        <v>3100</v>
      </c>
      <c r="C9" s="3062" t="s">
        <v>3101</v>
      </c>
      <c r="D9" s="3062">
        <v>35000</v>
      </c>
      <c r="E9" s="3062">
        <v>70000</v>
      </c>
      <c r="F9" s="3062" t="s">
        <v>3125</v>
      </c>
      <c r="G9" s="3062" t="s">
        <v>3103</v>
      </c>
      <c r="H9" s="3062" t="s">
        <v>3126</v>
      </c>
      <c r="I9" s="3062" t="s">
        <v>3127</v>
      </c>
      <c r="J9" s="3062">
        <v>20330</v>
      </c>
      <c r="K9" s="3062">
        <v>20330</v>
      </c>
      <c r="L9" s="3062">
        <v>2904.28</v>
      </c>
      <c r="M9" s="3062">
        <v>0</v>
      </c>
    </row>
    <row r="10" spans="1:13" s="3063" customFormat="1">
      <c r="A10" s="3062" t="s">
        <v>3121</v>
      </c>
      <c r="B10" s="3062" t="s">
        <v>3100</v>
      </c>
      <c r="C10" s="3062" t="s">
        <v>3101</v>
      </c>
      <c r="D10" s="3062">
        <v>48662.5</v>
      </c>
      <c r="E10" s="3062">
        <v>121656.2</v>
      </c>
      <c r="F10" s="3062" t="s">
        <v>3114</v>
      </c>
      <c r="G10" s="3062" t="s">
        <v>3103</v>
      </c>
      <c r="H10" s="3062" t="s">
        <v>3128</v>
      </c>
      <c r="I10" s="3062" t="s">
        <v>3129</v>
      </c>
      <c r="J10" s="3062">
        <v>32830</v>
      </c>
      <c r="K10" s="3062">
        <v>32830</v>
      </c>
      <c r="L10" s="3062">
        <v>2698.59</v>
      </c>
      <c r="M10" s="3062">
        <v>0</v>
      </c>
    </row>
    <row r="11" spans="1:13">
      <c r="A11" s="3061" t="s">
        <v>3130</v>
      </c>
      <c r="B11" s="3061" t="s">
        <v>3100</v>
      </c>
      <c r="C11" s="3061" t="s">
        <v>3101</v>
      </c>
      <c r="D11" s="3061">
        <v>3269</v>
      </c>
      <c r="E11" s="3061">
        <v>3273.1</v>
      </c>
      <c r="F11" s="3061" t="s">
        <v>3118</v>
      </c>
      <c r="G11" s="3061" t="s">
        <v>3103</v>
      </c>
      <c r="H11" s="3061" t="s">
        <v>3131</v>
      </c>
      <c r="I11" s="3061" t="s">
        <v>3132</v>
      </c>
      <c r="J11" s="3061">
        <v>1800</v>
      </c>
      <c r="K11" s="3061">
        <v>1800</v>
      </c>
      <c r="L11" s="3061">
        <v>5499.36</v>
      </c>
      <c r="M11" s="3061">
        <v>0</v>
      </c>
    </row>
    <row r="12" spans="1:13">
      <c r="A12" s="3061" t="s">
        <v>3133</v>
      </c>
      <c r="B12" s="3061" t="s">
        <v>3100</v>
      </c>
      <c r="C12" s="3061" t="s">
        <v>3101</v>
      </c>
      <c r="D12" s="3061">
        <v>15985.6</v>
      </c>
      <c r="E12" s="3061">
        <v>7992</v>
      </c>
      <c r="F12" s="3061" t="s">
        <v>3134</v>
      </c>
      <c r="G12" s="3061" t="s">
        <v>3103</v>
      </c>
      <c r="H12" s="3061" t="s">
        <v>3135</v>
      </c>
      <c r="I12" s="3061" t="s">
        <v>3136</v>
      </c>
      <c r="J12" s="3061">
        <v>1820</v>
      </c>
      <c r="K12" s="3061">
        <v>1820</v>
      </c>
      <c r="L12" s="3061">
        <v>2277.2800000000002</v>
      </c>
      <c r="M12" s="3061">
        <v>0</v>
      </c>
    </row>
    <row r="13" spans="1:13">
      <c r="A13" s="3061" t="s">
        <v>3133</v>
      </c>
      <c r="B13" s="3061" t="s">
        <v>3100</v>
      </c>
      <c r="C13" s="3061" t="s">
        <v>3101</v>
      </c>
      <c r="D13" s="3061">
        <v>38413.300000000003</v>
      </c>
      <c r="E13" s="3061">
        <v>65299</v>
      </c>
      <c r="F13" s="3061" t="s">
        <v>3137</v>
      </c>
      <c r="G13" s="3061" t="s">
        <v>3103</v>
      </c>
      <c r="H13" s="3061" t="s">
        <v>3135</v>
      </c>
      <c r="I13" s="3061" t="s">
        <v>3136</v>
      </c>
      <c r="J13" s="3061">
        <v>7760</v>
      </c>
      <c r="K13" s="3061">
        <v>7760</v>
      </c>
      <c r="L13" s="3061">
        <v>1188.3800000000001</v>
      </c>
      <c r="M13" s="3061">
        <v>0</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85"/>
      <c r="B3" s="3085"/>
      <c r="C3" s="3085"/>
      <c r="D3" s="962" t="s">
        <v>1603</v>
      </c>
      <c r="E3" s="962" t="s">
        <v>1609</v>
      </c>
      <c r="F3" s="962" t="s">
        <v>1603</v>
      </c>
      <c r="G3" s="962" t="s">
        <v>1604</v>
      </c>
      <c r="H3" s="962" t="s">
        <v>1603</v>
      </c>
      <c r="I3" s="962" t="s">
        <v>1604</v>
      </c>
    </row>
    <row r="4" spans="1:9" ht="15">
      <c r="A4" s="1688" t="str">
        <f>项目基本情况!S2</f>
        <v>房地产</v>
      </c>
      <c r="B4" s="962">
        <f>项目基本情况!C17</f>
        <v>45218.69</v>
      </c>
      <c r="C4" s="962">
        <f>项目基本情况!C18</f>
        <v>0</v>
      </c>
      <c r="D4" s="962" t="e">
        <f ca="1">结果表!D118</f>
        <v>#REF!</v>
      </c>
      <c r="E4" s="962" t="e">
        <f ca="1">结果表!E118</f>
        <v>#REF!</v>
      </c>
      <c r="F4" s="962" t="e">
        <f ca="1">结果表!F118</f>
        <v>#REF!</v>
      </c>
      <c r="G4" s="962" t="e">
        <f ca="1">结果表!G118</f>
        <v>#REF!</v>
      </c>
      <c r="H4" s="962">
        <f ca="1">结果表!H118</f>
        <v>35742</v>
      </c>
      <c r="I4" s="962">
        <f ca="1">结果表!I118</f>
        <v>7904</v>
      </c>
    </row>
    <row r="5" spans="1:9" ht="30" customHeight="1">
      <c r="A5" s="3085" t="s">
        <v>1605</v>
      </c>
      <c r="B5" s="3085"/>
      <c r="C5" s="3085"/>
      <c r="D5" s="3086" t="e">
        <f ca="1">结果表!D119</f>
        <v>#REF!</v>
      </c>
      <c r="E5" s="3086"/>
      <c r="F5" s="3086" t="e">
        <f ca="1">结果表!F119</f>
        <v>#REF!</v>
      </c>
      <c r="G5" s="3086"/>
      <c r="H5" s="3086" t="str">
        <f ca="1">结果表!H119</f>
        <v>叁亿伍仟柒佰肆拾贰万元整</v>
      </c>
      <c r="I5" s="3086"/>
    </row>
    <row r="6" spans="1:9" ht="15.75">
      <c r="A6" s="3087" t="str">
        <f>结果表!A120</f>
        <v>估价师知悉的法定优先受偿款</v>
      </c>
      <c r="B6" s="3087"/>
      <c r="C6" s="3087"/>
      <c r="D6" s="3087">
        <f>结果表!D120</f>
        <v>0</v>
      </c>
      <c r="E6" s="3087"/>
      <c r="F6" s="3087"/>
      <c r="G6" s="3087"/>
      <c r="H6" s="3087"/>
      <c r="I6" s="3087"/>
    </row>
    <row r="7" spans="1:9" ht="15">
      <c r="A7" s="3085" t="s">
        <v>1605</v>
      </c>
      <c r="B7" s="3085"/>
      <c r="C7" s="3085"/>
      <c r="D7" s="3088" t="str">
        <f>结果表!D121</f>
        <v>零元整</v>
      </c>
      <c r="E7" s="3089"/>
      <c r="F7" s="3089"/>
      <c r="G7" s="3089"/>
      <c r="H7" s="3089"/>
      <c r="I7" s="3090"/>
    </row>
    <row r="8" spans="1:9" ht="15.75">
      <c r="A8" s="3087" t="str">
        <f>结果表!A122</f>
        <v>房地产抵押价值</v>
      </c>
      <c r="B8" s="3087"/>
      <c r="C8" s="3087"/>
      <c r="D8" s="3087">
        <f ca="1">结果表!D122</f>
        <v>35742</v>
      </c>
      <c r="E8" s="3087"/>
      <c r="F8" s="3087"/>
      <c r="G8" s="3087"/>
      <c r="H8" s="3087"/>
      <c r="I8" s="3087"/>
    </row>
    <row r="9" spans="1:9" ht="15">
      <c r="A9" s="3085" t="s">
        <v>1605</v>
      </c>
      <c r="B9" s="3085"/>
      <c r="C9" s="3085"/>
      <c r="D9" s="3086" t="str">
        <f ca="1">结果表!D123</f>
        <v>叁亿伍仟柒佰肆拾贰万元整</v>
      </c>
      <c r="E9" s="3086"/>
      <c r="F9" s="3086"/>
      <c r="G9" s="3086"/>
      <c r="H9" s="3086"/>
      <c r="I9" s="3086"/>
    </row>
    <row r="10" spans="1:9" ht="15.75">
      <c r="A10" s="3087" t="str">
        <f>结果表!A124</f>
        <v/>
      </c>
      <c r="B10" s="3087"/>
      <c r="C10" s="3087"/>
      <c r="D10" s="3087" t="str">
        <f>结果表!D124</f>
        <v>——</v>
      </c>
      <c r="E10" s="3087"/>
      <c r="F10" s="3087"/>
      <c r="G10" s="3087"/>
      <c r="H10" s="3087"/>
      <c r="I10" s="3087"/>
    </row>
    <row r="11" spans="1:9" ht="15">
      <c r="A11" s="3085" t="s">
        <v>1605</v>
      </c>
      <c r="B11" s="3085"/>
      <c r="C11" s="3085"/>
      <c r="D11" s="3086" t="e">
        <f>结果表!D125</f>
        <v>#VALUE!</v>
      </c>
      <c r="E11" s="3086"/>
      <c r="F11" s="3086"/>
      <c r="G11" s="3086"/>
      <c r="H11" s="3086"/>
      <c r="I11" s="3086"/>
    </row>
    <row r="12" spans="1:9" ht="15.75">
      <c r="A12" s="3087" t="str">
        <f>结果表!A126</f>
        <v/>
      </c>
      <c r="B12" s="3087"/>
      <c r="C12" s="3087"/>
      <c r="D12" s="3087" t="str">
        <f>结果表!D126</f>
        <v>——</v>
      </c>
      <c r="E12" s="3087"/>
      <c r="F12" s="3087"/>
      <c r="G12" s="3087"/>
      <c r="H12" s="3087"/>
      <c r="I12" s="3087"/>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94" t="s">
        <v>1627</v>
      </c>
      <c r="B1" s="3094"/>
      <c r="C1" s="3094"/>
      <c r="D1" s="3094"/>
    </row>
    <row r="2" spans="1:4" ht="18">
      <c r="A2" s="3095" t="s">
        <v>1611</v>
      </c>
      <c r="B2" s="3095"/>
      <c r="C2" s="3095"/>
      <c r="D2" s="3095"/>
    </row>
    <row r="3" spans="1:4" ht="18.75">
      <c r="A3" s="1692" t="s">
        <v>1612</v>
      </c>
      <c r="B3" s="1692" t="s">
        <v>1613</v>
      </c>
      <c r="C3" s="1692" t="s">
        <v>1614</v>
      </c>
      <c r="D3" s="1692" t="s">
        <v>1615</v>
      </c>
    </row>
    <row r="4" spans="1:4" ht="56.25" customHeight="1">
      <c r="A4" s="1693" t="str">
        <f>项目基本情况!B4</f>
        <v>崔锴</v>
      </c>
      <c r="B4" s="1694">
        <f ca="1">项目基本情况!C4</f>
        <v>1120100036</v>
      </c>
      <c r="C4" s="1695"/>
      <c r="D4" s="1696" t="s">
        <v>1616</v>
      </c>
    </row>
    <row r="5" spans="1:4" ht="56.25" customHeight="1">
      <c r="A5" s="1693" t="str">
        <f>项目基本情况!D4</f>
        <v>郑燚</v>
      </c>
      <c r="B5" s="1694">
        <f ca="1">项目基本情况!E4</f>
        <v>1120070131</v>
      </c>
      <c r="C5" s="1697"/>
      <c r="D5" s="1696" t="s">
        <v>1616</v>
      </c>
    </row>
    <row r="6" spans="1:4" ht="18">
      <c r="A6" s="3095" t="s">
        <v>1617</v>
      </c>
      <c r="B6" s="3095"/>
      <c r="C6" s="3095"/>
      <c r="D6" s="3095"/>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096"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7" t="str">
        <f>IF(项目基本情况!B8="抵押","4.本次评估估价师所知悉的法定优先受偿款情况说明如下：","——")</f>
        <v>4.本次评估估价师所知悉的法定优先受偿款情况说明如下：</v>
      </c>
      <c r="B14" s="3098"/>
      <c r="C14" s="3098"/>
      <c r="D14" s="3098"/>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7"/>
      <c r="C15" s="3097"/>
      <c r="D15" s="3097"/>
    </row>
    <row r="16" spans="1:4" ht="30" customHeight="1">
      <c r="A16" s="3100" t="s">
        <v>1621</v>
      </c>
      <c r="B16" s="3100"/>
      <c r="C16" s="3100"/>
      <c r="D16" s="3100"/>
    </row>
    <row r="17" spans="1:4" ht="144" customHeight="1">
      <c r="A17" s="3100" t="s">
        <v>1622</v>
      </c>
      <c r="B17" s="3100"/>
      <c r="C17" s="3100"/>
      <c r="D17" s="3100"/>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99">
        <v>42551</v>
      </c>
      <c r="D31" s="30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08" t="s">
        <v>1634</v>
      </c>
      <c r="B15" s="3103" t="s">
        <v>136</v>
      </c>
      <c r="C15" s="3104"/>
    </row>
    <row r="16" spans="1:7" ht="13.5">
      <c r="A16" s="3109"/>
      <c r="B16" s="3103" t="s">
        <v>69</v>
      </c>
      <c r="C16" s="3104"/>
    </row>
    <row r="17" spans="1:3" ht="13.5">
      <c r="A17" s="3109"/>
      <c r="B17" s="3106" t="s">
        <v>1635</v>
      </c>
      <c r="C17" s="1715" t="s">
        <v>1634</v>
      </c>
    </row>
    <row r="18" spans="1:3" ht="13.5">
      <c r="A18" s="3109"/>
      <c r="B18" s="3106"/>
      <c r="C18" s="1715" t="s">
        <v>1636</v>
      </c>
    </row>
    <row r="19" spans="1:3" ht="13.5">
      <c r="A19" s="3109"/>
      <c r="B19" s="3106"/>
      <c r="C19" s="1715" t="s">
        <v>1637</v>
      </c>
    </row>
    <row r="20" spans="1:3" ht="13.5">
      <c r="A20" s="3110"/>
      <c r="B20" s="3105" t="s">
        <v>1638</v>
      </c>
      <c r="C20" s="3104"/>
    </row>
    <row r="21" spans="1:3" ht="13.5">
      <c r="A21" s="1716" t="s">
        <v>1639</v>
      </c>
      <c r="B21" s="1717"/>
      <c r="C21" s="1718"/>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5" t="s">
        <v>1645</v>
      </c>
    </row>
    <row r="26" spans="1:3" ht="13.5">
      <c r="A26" s="3107"/>
      <c r="B26" s="3106"/>
      <c r="C26" s="1715" t="s">
        <v>1646</v>
      </c>
    </row>
    <row r="27" spans="1:3" ht="13.5">
      <c r="A27" s="3107"/>
      <c r="B27" s="3106"/>
      <c r="C27" s="1715" t="s">
        <v>1647</v>
      </c>
    </row>
    <row r="28" spans="1:3" ht="13.5">
      <c r="A28" s="3107"/>
      <c r="B28" s="3106"/>
      <c r="C28" s="1715" t="s">
        <v>1648</v>
      </c>
    </row>
    <row r="29" spans="1:3" ht="13.5">
      <c r="A29" s="3107"/>
      <c r="B29" s="3106"/>
      <c r="C29" s="1715" t="s">
        <v>1649</v>
      </c>
    </row>
    <row r="30" spans="1:3" ht="13.5">
      <c r="A30" s="3107"/>
      <c r="B30" s="3106"/>
      <c r="C30" s="1715" t="s">
        <v>1650</v>
      </c>
    </row>
    <row r="31" spans="1:3" ht="13.5">
      <c r="A31" s="3107"/>
      <c r="B31" s="3106"/>
      <c r="C31" s="1715" t="s">
        <v>1651</v>
      </c>
    </row>
    <row r="32" spans="1:3" ht="13.5">
      <c r="A32" s="3107"/>
      <c r="B32" s="3106"/>
      <c r="C32" s="1715" t="s">
        <v>1652</v>
      </c>
    </row>
    <row r="33" spans="1:3" ht="13.5">
      <c r="A33" s="3107"/>
      <c r="B33" s="3106"/>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2882</v>
      </c>
      <c r="B2" s="2560">
        <f ca="1">TODAY()</f>
        <v>44440</v>
      </c>
      <c r="C2" s="2561" t="s">
        <v>2883</v>
      </c>
      <c r="D2" s="2561"/>
      <c r="E2" s="2561"/>
      <c r="F2" s="2557"/>
      <c r="G2" s="2557"/>
      <c r="H2" s="2557"/>
    </row>
    <row r="3" spans="1:8" ht="24" customHeight="1">
      <c r="A3" s="2562" t="s">
        <v>2884</v>
      </c>
      <c r="B3" s="2563" t="s">
        <v>2885</v>
      </c>
      <c r="C3" s="2563" t="s">
        <v>2886</v>
      </c>
      <c r="D3" s="2564" t="s">
        <v>2887</v>
      </c>
      <c r="E3" s="2565" t="s">
        <v>2888</v>
      </c>
      <c r="F3" s="1470" t="s">
        <v>2889</v>
      </c>
      <c r="G3" s="2563" t="s">
        <v>2886</v>
      </c>
      <c r="H3" s="2564" t="s">
        <v>2890</v>
      </c>
    </row>
    <row r="4" spans="1:8" ht="24" customHeight="1">
      <c r="A4" s="1470" t="s">
        <v>2891</v>
      </c>
      <c r="B4" s="1470">
        <f ca="1">IF(C4&lt;B2,"已过期",1119970066)</f>
        <v>1119970066</v>
      </c>
      <c r="C4" s="2566">
        <v>44876</v>
      </c>
      <c r="D4" s="2567" t="str">
        <f ca="1">A4&amp;"（注册号："&amp;B4&amp;"）"</f>
        <v>梁津（注册号：1119970066）</v>
      </c>
      <c r="E4" s="2568" t="s">
        <v>2891</v>
      </c>
      <c r="F4" s="1470">
        <f ca="1">IF(G4&lt;B2,"已过期",96010014)</f>
        <v>96010014</v>
      </c>
      <c r="G4" s="2569">
        <v>47118</v>
      </c>
      <c r="H4" s="2570" t="str">
        <f ca="1">E4&amp;"（注册号："&amp;F4&amp;"）"</f>
        <v>梁津（注册号：96010014）</v>
      </c>
    </row>
    <row r="5" spans="1:8" ht="24" customHeight="1">
      <c r="A5" s="1470" t="s">
        <v>2892</v>
      </c>
      <c r="B5" s="1470">
        <f ca="1">IF(C5&lt;B2,"已过期",1119970111)</f>
        <v>1119970111</v>
      </c>
      <c r="C5" s="2566">
        <v>44876</v>
      </c>
      <c r="D5" s="2567" t="str">
        <f t="shared" ref="D5:D15" ca="1" si="0">A5&amp;"（注册号："&amp;B5&amp;"）"</f>
        <v>叶凌（注册号：1119970111）</v>
      </c>
      <c r="E5" s="2568" t="s">
        <v>2892</v>
      </c>
      <c r="F5" s="1470">
        <f ca="1">IF(G5&lt;B2,"已过期",94010078)</f>
        <v>94010078</v>
      </c>
      <c r="G5" s="2569">
        <v>46387</v>
      </c>
      <c r="H5" s="2570" t="str">
        <f t="shared" ref="H5:H16" ca="1" si="1">E5&amp;"（注册号："&amp;F5&amp;"）"</f>
        <v>叶凌（注册号：94010078）</v>
      </c>
    </row>
    <row r="6" spans="1:8" ht="24" customHeight="1">
      <c r="A6" s="1470" t="s">
        <v>2893</v>
      </c>
      <c r="B6" s="1470" t="str">
        <f ca="1">IF(C6&lt;B2,"已过期",1120050019)</f>
        <v>已过期</v>
      </c>
      <c r="C6" s="2566">
        <v>44395</v>
      </c>
      <c r="D6" s="2567" t="str">
        <f t="shared" ca="1" si="0"/>
        <v>王鹏（注册号：已过期）</v>
      </c>
      <c r="E6" s="2568" t="s">
        <v>2893</v>
      </c>
      <c r="F6" s="1470">
        <f ca="1">IF(G6&lt;B2,"已过期",2002110030)</f>
        <v>2002110030</v>
      </c>
      <c r="G6" s="2569">
        <v>46387</v>
      </c>
      <c r="H6" s="2570" t="str">
        <f t="shared" ca="1" si="1"/>
        <v>王鹏（注册号：2002110030）</v>
      </c>
    </row>
    <row r="7" spans="1:8" ht="24" customHeight="1">
      <c r="A7" s="1470" t="s">
        <v>2894</v>
      </c>
      <c r="B7" s="1470">
        <f ca="1">IF(C7&lt;B2,"已过期",1120000080)</f>
        <v>1120000080</v>
      </c>
      <c r="C7" s="2566">
        <v>44876</v>
      </c>
      <c r="D7" s="2567" t="str">
        <f t="shared" ca="1" si="0"/>
        <v>欧红伟（注册号：1120000080）</v>
      </c>
      <c r="E7" s="2568" t="s">
        <v>2894</v>
      </c>
      <c r="F7" s="1470">
        <f ca="1">IF(G7&lt;B2,"已过期",2000110082)</f>
        <v>2000110082</v>
      </c>
      <c r="G7" s="2569">
        <v>46387</v>
      </c>
      <c r="H7" s="2570" t="str">
        <f t="shared" ca="1" si="1"/>
        <v>欧红伟（注册号：2000110082）</v>
      </c>
    </row>
    <row r="8" spans="1:8" ht="24" customHeight="1">
      <c r="A8" s="1470" t="s">
        <v>2895</v>
      </c>
      <c r="B8" s="1470">
        <f ca="1">IF(C8&lt;B2,"已过期",1419970001)</f>
        <v>1419970001</v>
      </c>
      <c r="C8" s="2566">
        <v>44899</v>
      </c>
      <c r="D8" s="2567" t="str">
        <f t="shared" ca="1" si="0"/>
        <v>吴薇（注册号：1419970001）</v>
      </c>
      <c r="E8" s="2568" t="s">
        <v>2895</v>
      </c>
      <c r="F8" s="1470">
        <f ca="1">IF(G8&lt;B2,"已过期",2002110125)</f>
        <v>2002110125</v>
      </c>
      <c r="G8" s="2569">
        <v>47118</v>
      </c>
      <c r="H8" s="2570" t="str">
        <f t="shared" ca="1" si="1"/>
        <v>吴薇（注册号：2002110125）</v>
      </c>
    </row>
    <row r="9" spans="1:8" ht="24" customHeight="1">
      <c r="A9" s="1470" t="s">
        <v>2896</v>
      </c>
      <c r="B9" s="1470">
        <f ca="1">IF(C9&lt;B2,"已过期",1120060040)</f>
        <v>1120060040</v>
      </c>
      <c r="C9" s="2571">
        <v>44554</v>
      </c>
      <c r="D9" s="2567" t="str">
        <f t="shared" ca="1" si="0"/>
        <v>陈颖（注册号：1120060040）</v>
      </c>
      <c r="E9" s="2568" t="s">
        <v>2896</v>
      </c>
      <c r="F9" s="1470">
        <f ca="1">IF(G9&lt;B2,"已过期",2004110096)</f>
        <v>2004110096</v>
      </c>
      <c r="G9" s="2569">
        <v>47118</v>
      </c>
      <c r="H9" s="2570" t="str">
        <f t="shared" ca="1" si="1"/>
        <v>陈颖（注册号：2004110096）</v>
      </c>
    </row>
    <row r="10" spans="1:8" ht="24" customHeight="1">
      <c r="A10" s="1470" t="s">
        <v>2897</v>
      </c>
      <c r="B10" s="1470">
        <f ca="1">IF(C10&lt;B2,"已过期",1120100036)</f>
        <v>1120100036</v>
      </c>
      <c r="C10" s="2571">
        <v>44675</v>
      </c>
      <c r="D10" s="2567" t="str">
        <f t="shared" ca="1" si="0"/>
        <v>崔锴（注册号：1120100036）</v>
      </c>
      <c r="E10" s="2568" t="s">
        <v>2897</v>
      </c>
      <c r="F10" s="1470">
        <f ca="1">IF(G10&lt;B2,"已过期",2010110070)</f>
        <v>2010110070</v>
      </c>
      <c r="G10" s="2569">
        <v>47907</v>
      </c>
      <c r="H10" s="2570" t="str">
        <f t="shared" ca="1" si="1"/>
        <v>崔锴（注册号：2010110070）</v>
      </c>
    </row>
    <row r="11" spans="1:8" ht="24" customHeight="1">
      <c r="A11" s="1470" t="s">
        <v>2898</v>
      </c>
      <c r="B11" s="1470">
        <f ca="1">IF(C11&lt;B2,"已过期",1120070131)</f>
        <v>1120070131</v>
      </c>
      <c r="C11" s="2566">
        <v>44849</v>
      </c>
      <c r="D11" s="2567" t="str">
        <f t="shared" ca="1" si="0"/>
        <v>郑燚（注册号：1120070131）</v>
      </c>
      <c r="E11" s="2568" t="s">
        <v>2898</v>
      </c>
      <c r="F11" s="1470">
        <f ca="1">IF(G11&lt;B2,"已过期",2014110011)</f>
        <v>2014110011</v>
      </c>
      <c r="G11" s="2569">
        <v>49302</v>
      </c>
      <c r="H11" s="2570" t="str">
        <f t="shared" ca="1" si="1"/>
        <v>郑燚（注册号：2014110011）</v>
      </c>
    </row>
    <row r="12" spans="1:8" ht="24" customHeight="1">
      <c r="A12" s="1470" t="s">
        <v>2899</v>
      </c>
      <c r="B12" s="1470">
        <f ca="1">IF(C12&lt;B2,"已过期",1120040230)</f>
        <v>1120040230</v>
      </c>
      <c r="C12" s="2571">
        <v>44864</v>
      </c>
      <c r="D12" s="2567" t="str">
        <f t="shared" ca="1" si="0"/>
        <v>苏海（注册号：1120040230）</v>
      </c>
      <c r="E12" s="2568" t="s">
        <v>2899</v>
      </c>
      <c r="F12" s="1470">
        <f ca="1">IF(G12&lt;B2,"已过期",98030020)</f>
        <v>98030020</v>
      </c>
      <c r="G12" s="2569">
        <v>47118</v>
      </c>
      <c r="H12" s="2570" t="str">
        <f t="shared" ca="1" si="1"/>
        <v>苏海（注册号：98030020）</v>
      </c>
    </row>
    <row r="13" spans="1:8" ht="24" customHeight="1">
      <c r="A13" s="1470" t="s">
        <v>2900</v>
      </c>
      <c r="B13" s="1470" t="str">
        <f ca="1">IF(C13&lt;B2,"已过期",1120020033)</f>
        <v>已过期</v>
      </c>
      <c r="C13" s="2566">
        <v>44339</v>
      </c>
      <c r="D13" s="2567" t="str">
        <f t="shared" ca="1" si="0"/>
        <v>刘敬东（注册号：已过期）</v>
      </c>
      <c r="E13" s="2568" t="s">
        <v>2900</v>
      </c>
      <c r="F13" s="1470">
        <f ca="1">IF(G13&lt;B2,"已过期",2000110137)</f>
        <v>2000110137</v>
      </c>
      <c r="G13" s="2569">
        <v>46387</v>
      </c>
      <c r="H13" s="2570" t="str">
        <f t="shared" ca="1" si="1"/>
        <v>刘敬东（注册号：2000110137）</v>
      </c>
    </row>
    <row r="14" spans="1:8" ht="24" customHeight="1">
      <c r="A14" s="1470" t="s">
        <v>2901</v>
      </c>
      <c r="B14" s="1470">
        <f ca="1">IF(C14&lt;B2,"已过期",1119980106)</f>
        <v>1119980106</v>
      </c>
      <c r="C14" s="2571">
        <v>44969</v>
      </c>
      <c r="D14" s="2567" t="str">
        <f t="shared" ca="1" si="0"/>
        <v>刘俊财（注册号：1119980106）</v>
      </c>
      <c r="E14" s="2568" t="s">
        <v>2901</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2902</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11" t="s">
        <v>2903</v>
      </c>
      <c r="B17" s="3111"/>
      <c r="C17" s="3111"/>
      <c r="D17" s="3111"/>
      <c r="E17" s="3111"/>
      <c r="F17" s="3111"/>
      <c r="G17" s="3111"/>
      <c r="H17" s="3111"/>
    </row>
    <row r="18" spans="1:8" ht="24" customHeight="1">
      <c r="A18" s="3112" t="s">
        <v>2904</v>
      </c>
      <c r="B18" s="3112"/>
      <c r="C18" s="3112"/>
      <c r="D18" s="2564"/>
      <c r="E18" s="3113" t="s">
        <v>2905</v>
      </c>
      <c r="F18" s="3112"/>
      <c r="G18" s="3112"/>
    </row>
    <row r="19" spans="1:8" s="2575" customFormat="1" ht="24" customHeight="1">
      <c r="A19" s="2574" t="s">
        <v>2906</v>
      </c>
      <c r="B19" s="2563" t="s">
        <v>2907</v>
      </c>
      <c r="C19" s="2563" t="s">
        <v>2886</v>
      </c>
      <c r="D19" s="2564"/>
      <c r="E19" s="2568" t="s">
        <v>2906</v>
      </c>
      <c r="F19" s="2563" t="s">
        <v>2907</v>
      </c>
      <c r="G19" s="2563" t="s">
        <v>2886</v>
      </c>
    </row>
    <row r="20" spans="1:8" s="2575" customFormat="1" ht="24" customHeight="1">
      <c r="A20" s="2576" t="s">
        <v>2908</v>
      </c>
      <c r="B20" s="2576" t="s">
        <v>2909</v>
      </c>
      <c r="C20" s="2569">
        <v>44820</v>
      </c>
      <c r="D20" s="2577"/>
      <c r="E20" s="2578" t="s">
        <v>2910</v>
      </c>
      <c r="F20" s="2576" t="s">
        <v>2911</v>
      </c>
      <c r="G20" s="2579">
        <v>44377</v>
      </c>
    </row>
    <row r="21" spans="1:8" s="2575" customFormat="1" ht="24" customHeight="1">
      <c r="A21" s="2576"/>
      <c r="B21" s="2576"/>
      <c r="C21" s="2580"/>
      <c r="D21" s="2581"/>
      <c r="E21" s="2578" t="s">
        <v>2912</v>
      </c>
      <c r="F21" s="2582" t="s">
        <v>2913</v>
      </c>
      <c r="G21" s="2583">
        <v>44012</v>
      </c>
    </row>
    <row r="22" spans="1:8" ht="24" customHeight="1">
      <c r="C22" s="2584"/>
      <c r="D22" s="2584"/>
      <c r="E22" s="2585"/>
      <c r="F22" s="2586"/>
      <c r="G22" s="2587"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2021-09-01T02:36:46Z</dcterms:modified>
</cp:coreProperties>
</file>