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A0D74BF-F4D0-433A-BDCB-8974AF2D55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D4" i="1" l="1"/>
  <c r="AB11" i="1"/>
  <c r="S11" i="1"/>
  <c r="M11" i="1"/>
  <c r="J11" i="1"/>
  <c r="F4" i="1"/>
  <c r="E18" i="2" l="1"/>
  <c r="B10" i="2" s="1"/>
  <c r="F7" i="2" l="1"/>
  <c r="B12" i="2" l="1"/>
  <c r="M38" i="2" l="1"/>
  <c r="M37" i="2" l="1"/>
  <c r="N38" i="2" l="1"/>
  <c r="M18" i="2"/>
  <c r="N19" i="2" s="1"/>
  <c r="G14" i="2" s="1"/>
  <c r="F14" i="2"/>
  <c r="M30" i="2"/>
  <c r="M31" i="2"/>
  <c r="N31" i="2" s="1"/>
  <c r="C18" i="2" s="1"/>
  <c r="M32" i="2"/>
  <c r="M33" i="2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33" i="2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4" i="1" l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 s="1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<sst xmlns="http://schemas.openxmlformats.org/spreadsheetml/2006/main" count="218" uniqueCount="209">
  <si>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</si>
  <si>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</si>
  <si>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</si>
  <si>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</si>
  <si>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</si>
  <si>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</si>
  <si>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</si>
  <si>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</si>
  <si>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</si>
  <si>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</si>
  <si>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</si>
  <si>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</si>
  <si>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</si>
  <si>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</si>
  <si>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</si>
  <si>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</si>
  <si>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</si>
  <si>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</si>
  <si>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</si>
  <si>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</si>
  <si>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</si>
  <si>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</si>
  <si>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</si>
  <si>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</si>
  <si>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</si>
  <si>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</si>
  <si>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</si>
  <si>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</si>
  <si>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</si>
  <si>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</si>
  <si>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</si>
  <si>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</si>
  <si>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</si>
  <si>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</si>
  <si>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</si>
  <si>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</si>
  <si>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</si>
  <si>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</si>
  <si>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</si>
  <si>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</si>
  <si>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</si>
  <si>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</si>
  <si>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</si>
  <si>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</si>
  <si>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</si>
  <si>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</si>
  <si>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</si>
  <si>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</si>
  <si>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</si>
  <si>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</si>
  <si>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</si>
  <si>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</si>
  <si>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</si>
  <si>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</si>
  <si>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</si>
  <si>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</si>
  <si>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</si>
  <si>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</si>
  <si>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</si>
  <si>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</si>
  <si>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</si>
  <si>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</si>
  <si>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</si>
  <si>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</si>
  <si>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</si>
  <si>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</si>
  <si>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</si>
  <si>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</si>
  <si>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</si>
  <si>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</si>
  <si>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</si>
  <si>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</si>
  <si>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</si>
  <si>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</si>
  <si>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</si>
  <si>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</si>
  <si>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</si>
  <si>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</si>
  <si>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</si>
  <si>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</si>
  <si>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</si>
  <si>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</si>
  <si>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</si>
  <si>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</si>
  <si>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</si>
  <si>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</si>
  <si>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</si>
  <si>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</si>
  <si>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</si>
  <si>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</si>
  <si>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</si>
  <si>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</si>
  <si>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</si>
  <si>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</si>
  <si>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</si>
  <si>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</si>
  <si>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</si>
  <si>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</si>
  <si>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</si>
  <si>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</si>
  <si>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</si>
  <si>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</si>
  <si>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</si>
  <si>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</si>
  <si>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</si>
  <si>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</si>
  <si>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</si>
  <si>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</si>
  <si>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</si>
  <si>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</si>
  <si>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</si>
  <si>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</si>
  <si>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</si>
  <si>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</si>
  <si>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</si>
  <si>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</si>
  <si>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</si>
  <si>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</si>
  <si>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</si>
  <si>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</si>
  <si>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</si>
  <si>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</si>
  <si>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</si>
  <si>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</si>
  <si>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</si>
  <si>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</si>
  <si>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</si>
  <si>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</si>
  <si>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</si>
  <si>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</si>
  <si>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</si>
  <si>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</si>
  <si>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</si>
  <si>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</si>
  <si>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</si>
  <si>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</si>
  <si>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</si>
  <si>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</si>
  <si>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</si>
  <si>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</si>
  <si>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</si>
  <si>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</si>
  <si>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</si>
  <si>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</si>
  <si>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</si>
  <si>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</si>
  <si>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</si>
  <si>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</si>
  <si>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</si>
  <si>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</si>
  <si>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</si>
  <si>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</si>
  <si>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</si>
  <si>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</si>
  <si>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</si>
  <si>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</si>
  <si>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</si>
  <si>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</si>
  <si>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</si>
  <si>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</si>
  <si>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</si>
  <si>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无暖气，按六通一平做</t>
    <phoneticPr fontId="4" type="noConversion"/>
  </si>
  <si>
    <t>雄县昝岗帆顺塑料制品厂</t>
    <phoneticPr fontId="1" type="noConversion"/>
  </si>
  <si>
    <t>工业</t>
    <phoneticPr fontId="1" type="noConversion"/>
  </si>
  <si>
    <t>雄县华方填充母粒厂</t>
    <phoneticPr fontId="1" type="noConversion"/>
  </si>
  <si>
    <t>七通一平</t>
  </si>
  <si>
    <t>序号</t>
    <phoneticPr fontId="1" type="noConversion"/>
  </si>
  <si>
    <t>征收预公告日（估价时点）</t>
    <phoneticPr fontId="1" type="noConversion"/>
  </si>
  <si>
    <t>评估编号</t>
    <phoneticPr fontId="1" type="noConversion"/>
  </si>
  <si>
    <t>权利人</t>
    <phoneticPr fontId="1" type="noConversion"/>
  </si>
  <si>
    <t>法人</t>
    <phoneticPr fontId="1" type="noConversion"/>
  </si>
  <si>
    <t>社会信用代码（身份证号）</t>
    <phoneticPr fontId="1" type="noConversion"/>
  </si>
  <si>
    <t>联系方式</t>
    <phoneticPr fontId="1" type="noConversion"/>
  </si>
  <si>
    <t>集体建设用地</t>
    <phoneticPr fontId="1" type="noConversion"/>
  </si>
  <si>
    <t>落宗函集体建设用地</t>
    <phoneticPr fontId="1" type="noConversion"/>
  </si>
  <si>
    <t>红线内集体建设用地</t>
    <phoneticPr fontId="1" type="noConversion"/>
  </si>
  <si>
    <t>红线外集体建设用地</t>
    <phoneticPr fontId="1" type="noConversion"/>
  </si>
  <si>
    <t>集体农用地</t>
    <phoneticPr fontId="1" type="noConversion"/>
  </si>
  <si>
    <t>国有农用地（沟渠）</t>
    <phoneticPr fontId="1" type="noConversion"/>
  </si>
  <si>
    <t>国有公路用地</t>
    <phoneticPr fontId="1" type="noConversion"/>
  </si>
  <si>
    <t>未利用地</t>
    <phoneticPr fontId="1" type="noConversion"/>
  </si>
  <si>
    <t>集体地+国有地</t>
    <phoneticPr fontId="1" type="noConversion"/>
  </si>
  <si>
    <t>集体地总价</t>
    <phoneticPr fontId="1" type="noConversion"/>
  </si>
  <si>
    <t>农用地总价12+3万元/亩,225元/平方米</t>
    <phoneticPr fontId="1" type="noConversion"/>
  </si>
  <si>
    <t>国有出让地总价</t>
    <phoneticPr fontId="1" type="noConversion"/>
  </si>
  <si>
    <t>用途</t>
    <phoneticPr fontId="1" type="noConversion"/>
  </si>
  <si>
    <t>土地性质</t>
    <phoneticPr fontId="1" type="noConversion"/>
  </si>
  <si>
    <t>宗地位置</t>
    <phoneticPr fontId="1" type="noConversion"/>
  </si>
  <si>
    <t>宗地四至东</t>
    <phoneticPr fontId="1" type="noConversion"/>
  </si>
  <si>
    <t>南</t>
    <phoneticPr fontId="1" type="noConversion"/>
  </si>
  <si>
    <t>西</t>
    <phoneticPr fontId="1" type="noConversion"/>
  </si>
  <si>
    <t>北</t>
    <phoneticPr fontId="1" type="noConversion"/>
  </si>
  <si>
    <t>红线内通平</t>
    <phoneticPr fontId="1" type="noConversion"/>
  </si>
  <si>
    <t>红线外通平</t>
    <phoneticPr fontId="1" type="noConversion"/>
  </si>
  <si>
    <t>红线内集体农用地</t>
    <phoneticPr fontId="1" type="noConversion"/>
  </si>
  <si>
    <t>集体农用地（林地）</t>
    <phoneticPr fontId="1" type="noConversion"/>
  </si>
  <si>
    <t>集体农用地（耕地）</t>
    <phoneticPr fontId="1" type="noConversion"/>
  </si>
  <si>
    <t>集体农用地（水浇地）</t>
    <phoneticPr fontId="1" type="noConversion"/>
  </si>
  <si>
    <t>集体农用地（农村道路）</t>
    <phoneticPr fontId="1" type="noConversion"/>
  </si>
  <si>
    <t>集体农用地（基本农田）</t>
    <phoneticPr fontId="1" type="noConversion"/>
  </si>
  <si>
    <t>基本农田（水浇地）</t>
    <phoneticPr fontId="1" type="noConversion"/>
  </si>
  <si>
    <t>基本农田（旱地）</t>
    <phoneticPr fontId="1" type="noConversion"/>
  </si>
  <si>
    <t>基本农田（设施农用地）</t>
    <phoneticPr fontId="1" type="noConversion"/>
  </si>
  <si>
    <t>基本农田（其他林地）</t>
    <phoneticPr fontId="1" type="noConversion"/>
  </si>
  <si>
    <t>2024-1-0299-F03</t>
    <phoneticPr fontId="1" type="noConversion"/>
  </si>
  <si>
    <t>贾克华</t>
    <phoneticPr fontId="1" type="noConversion"/>
  </si>
  <si>
    <t>92130638MA0AY33Q1C</t>
    <phoneticPr fontId="1" type="noConversion"/>
  </si>
  <si>
    <t>道路</t>
    <phoneticPr fontId="1" type="noConversion"/>
  </si>
  <si>
    <t>雄县双利色母粒厂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</si>
</sst>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2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  <font>
      <sz val="11"/>
      <name val="宋体"/>
      <family val="2"/>
      <scheme val="minor"/>
    </font>
    <font>
      <sz val="9"/>
      <name val="宋体"/>
      <family val="2"/>
      <scheme val="minor"/>
    </font>
    <font>
      <sz val="8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15" borderId="1" xfId="0" applyFont="1" applyFill="1" applyBorder="1" applyAlignment="1">
      <alignment horizontal="left" vertical="center" wrapText="1"/>
    </xf>
    <xf numFmtId="0" fontId="5" fillId="16" borderId="8" xfId="0" applyFont="1" applyFill="1" applyBorder="1" applyAlignment="1">
      <alignment horizontal="left" vertical="center" wrapText="1"/>
    </xf>
    <xf numFmtId="0" fontId="5" fillId="16" borderId="10" xfId="0" applyFont="1" applyFill="1" applyBorder="1" applyAlignment="1">
      <alignment horizontal="left" vertical="center" wrapText="1"/>
    </xf>
    <xf numFmtId="0" fontId="5" fillId="16" borderId="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1"/>
  <sheetViews>
    <sheetView tabSelected="1" zoomScaleNormal="100" workbookViewId="0">
      <selection activeCell="G16" sqref="G16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7" bestFit="1" customWidth="1"/>
    <col min="8" max="8" width="11.62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39" x14ac:dyDescent="0.15">
      <c r="H2" s="2">
        <v>666.67</v>
      </c>
    </row>
    <row r="3" spans="1:39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39" x14ac:dyDescent="0.15">
      <c r="C4" s="49"/>
      <c r="D4" s="86" t="str">
        <f>E11</f>
        <v>雄县华方填充母粒厂</v>
      </c>
      <c r="E4" s="88" t="s">
        <v>103</v>
      </c>
      <c r="F4" s="4">
        <f>J11</f>
        <v>3718.02</v>
      </c>
      <c r="G4" s="8">
        <f>估价对象!G7</f>
        <v>656</v>
      </c>
      <c r="H4" s="4">
        <f>ROUND(F4*G4,0)</f>
        <v>2439021</v>
      </c>
      <c r="I4" s="3">
        <f>ROUND(G4*H2/10000,2)</f>
        <v>43.73</v>
      </c>
      <c r="J4" s="3">
        <f>F4/$H$2</f>
        <v>5.5770021149894253</v>
      </c>
    </row>
    <row r="5" spans="1:39" x14ac:dyDescent="0.15">
      <c r="C5" s="49"/>
      <c r="D5" s="87"/>
      <c r="E5" s="88"/>
      <c r="F5" s="4"/>
      <c r="G5" s="8"/>
      <c r="H5" s="4"/>
      <c r="I5" s="3"/>
      <c r="J5" s="3"/>
    </row>
    <row r="6" spans="1:39" x14ac:dyDescent="0.15">
      <c r="C6" s="3" t="s">
        <v>121</v>
      </c>
      <c r="D6" s="3"/>
      <c r="E6" s="3"/>
      <c r="F6" s="4"/>
      <c r="G6" s="8">
        <f>G4</f>
        <v>656</v>
      </c>
      <c r="H6" s="4">
        <f t="shared" ref="H6" si="0">ROUND(F6*G6,0)</f>
        <v>0</v>
      </c>
      <c r="I6" s="3">
        <f>I4</f>
        <v>43.73</v>
      </c>
      <c r="J6" s="3">
        <f t="shared" ref="J6" si="1">F6/$H$2</f>
        <v>0</v>
      </c>
    </row>
    <row r="7" spans="1:39" x14ac:dyDescent="0.15">
      <c r="G7" s="10"/>
    </row>
    <row r="8" spans="1:39" s="70" customFormat="1" ht="13.5" customHeight="1" x14ac:dyDescent="0.15">
      <c r="A8" s="82" t="s">
        <v>166</v>
      </c>
      <c r="B8" s="82" t="s">
        <v>167</v>
      </c>
      <c r="C8" s="82" t="s">
        <v>91</v>
      </c>
      <c r="D8" s="82" t="s">
        <v>168</v>
      </c>
      <c r="E8" s="82" t="s">
        <v>169</v>
      </c>
      <c r="F8" s="82" t="s">
        <v>170</v>
      </c>
      <c r="G8" s="82" t="s">
        <v>171</v>
      </c>
      <c r="H8" s="82" t="s">
        <v>172</v>
      </c>
      <c r="I8" s="82" t="s">
        <v>173</v>
      </c>
      <c r="J8" s="83" t="s">
        <v>174</v>
      </c>
      <c r="K8" s="78" t="s">
        <v>175</v>
      </c>
      <c r="L8" s="79" t="s">
        <v>176</v>
      </c>
      <c r="M8" s="76" t="s">
        <v>177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 t="s">
        <v>178</v>
      </c>
      <c r="Y8" s="76" t="s">
        <v>179</v>
      </c>
      <c r="Z8" s="76" t="s">
        <v>180</v>
      </c>
      <c r="AA8" s="76" t="s">
        <v>181</v>
      </c>
      <c r="AB8" s="76" t="s">
        <v>182</v>
      </c>
      <c r="AC8" s="76" t="s">
        <v>183</v>
      </c>
      <c r="AD8" s="76" t="s">
        <v>184</v>
      </c>
      <c r="AE8" s="76" t="s">
        <v>185</v>
      </c>
      <c r="AF8" s="76" t="s">
        <v>186</v>
      </c>
      <c r="AG8" s="76" t="s">
        <v>187</v>
      </c>
      <c r="AH8" s="76" t="s">
        <v>188</v>
      </c>
      <c r="AI8" s="76" t="s">
        <v>189</v>
      </c>
      <c r="AJ8" s="76" t="s">
        <v>190</v>
      </c>
      <c r="AK8" s="76" t="s">
        <v>191</v>
      </c>
      <c r="AL8" s="76" t="s">
        <v>192</v>
      </c>
      <c r="AM8" s="76" t="s">
        <v>193</v>
      </c>
    </row>
    <row r="9" spans="1:39" s="70" customFormat="1" ht="33.75" customHeight="1" x14ac:dyDescent="0.15">
      <c r="A9" s="82"/>
      <c r="B9" s="82"/>
      <c r="C9" s="82"/>
      <c r="D9" s="82"/>
      <c r="E9" s="82"/>
      <c r="F9" s="82"/>
      <c r="G9" s="82"/>
      <c r="H9" s="82"/>
      <c r="I9" s="82"/>
      <c r="J9" s="84"/>
      <c r="K9" s="78"/>
      <c r="L9" s="80"/>
      <c r="M9" s="71" t="s">
        <v>177</v>
      </c>
      <c r="N9" s="72" t="s">
        <v>194</v>
      </c>
      <c r="O9" s="73" t="s">
        <v>195</v>
      </c>
      <c r="P9" s="74" t="s">
        <v>196</v>
      </c>
      <c r="Q9" s="74" t="s">
        <v>197</v>
      </c>
      <c r="R9" s="74" t="s">
        <v>198</v>
      </c>
      <c r="S9" s="77" t="s">
        <v>199</v>
      </c>
      <c r="T9" s="77"/>
      <c r="U9" s="77"/>
      <c r="V9" s="77"/>
      <c r="W9" s="77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39" s="70" customFormat="1" ht="33.75" x14ac:dyDescent="0.15">
      <c r="A10" s="82"/>
      <c r="B10" s="82"/>
      <c r="C10" s="82"/>
      <c r="D10" s="82"/>
      <c r="E10" s="82"/>
      <c r="F10" s="82"/>
      <c r="G10" s="82"/>
      <c r="H10" s="82"/>
      <c r="I10" s="82"/>
      <c r="J10" s="85"/>
      <c r="K10" s="78"/>
      <c r="L10" s="81"/>
      <c r="M10" s="71"/>
      <c r="N10" s="71"/>
      <c r="O10" s="73"/>
      <c r="P10" s="74"/>
      <c r="Q10" s="74"/>
      <c r="R10" s="74"/>
      <c r="S10" s="74" t="s">
        <v>199</v>
      </c>
      <c r="T10" s="75" t="s">
        <v>200</v>
      </c>
      <c r="U10" s="75" t="s">
        <v>201</v>
      </c>
      <c r="V10" s="75" t="s">
        <v>202</v>
      </c>
      <c r="W10" s="75" t="s">
        <v>203</v>
      </c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39" s="70" customFormat="1" ht="40.5" x14ac:dyDescent="0.15">
      <c r="A11" s="67">
        <v>3</v>
      </c>
      <c r="B11" s="47"/>
      <c r="C11" s="47"/>
      <c r="D11" s="68" t="s">
        <v>204</v>
      </c>
      <c r="E11" s="69" t="s">
        <v>164</v>
      </c>
      <c r="F11" s="67" t="s">
        <v>205</v>
      </c>
      <c r="G11" s="67" t="s">
        <v>206</v>
      </c>
      <c r="H11" s="67">
        <v>15832218811</v>
      </c>
      <c r="I11" s="67">
        <v>3519.38</v>
      </c>
      <c r="J11" s="67">
        <f>3754.32-36.3</f>
        <v>3718.02</v>
      </c>
      <c r="K11" s="67">
        <v>3749.03</v>
      </c>
      <c r="L11" s="67">
        <v>5.29</v>
      </c>
      <c r="M11" s="67">
        <f>368.68-26.67</f>
        <v>342.01</v>
      </c>
      <c r="N11" s="67">
        <v>368.68</v>
      </c>
      <c r="O11" s="67"/>
      <c r="P11" s="67"/>
      <c r="Q11" s="67"/>
      <c r="R11" s="67"/>
      <c r="S11" s="67">
        <f>36.3+26.67</f>
        <v>62.97</v>
      </c>
      <c r="T11" s="67"/>
      <c r="U11" s="67"/>
      <c r="V11" s="67"/>
      <c r="W11" s="67"/>
      <c r="AB11" s="67">
        <f t="shared" ref="AB11" si="2">ROUND(656*I11,0)</f>
        <v>2308713</v>
      </c>
      <c r="AE11" s="67" t="s">
        <v>163</v>
      </c>
      <c r="AF11" s="67" t="s">
        <v>163</v>
      </c>
      <c r="AG11" s="67"/>
      <c r="AH11" s="67" t="s">
        <v>207</v>
      </c>
      <c r="AI11" s="67" t="s">
        <v>207</v>
      </c>
      <c r="AJ11" s="67" t="s">
        <v>208</v>
      </c>
      <c r="AK11" s="67" t="s">
        <v>162</v>
      </c>
      <c r="AL11" s="67" t="s">
        <v>165</v>
      </c>
      <c r="AM11" s="67" t="s">
        <v>105</v>
      </c>
    </row>
  </sheetData>
  <mergeCells count="32">
    <mergeCell ref="D4:D5"/>
    <mergeCell ref="E4:E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W8"/>
    <mergeCell ref="X8:X10"/>
    <mergeCell ref="Y8:Y10"/>
    <mergeCell ref="AJ8:AJ10"/>
    <mergeCell ref="AK8:AK10"/>
    <mergeCell ref="AL8:AL10"/>
    <mergeCell ref="AM8:AM10"/>
    <mergeCell ref="S9:W9"/>
    <mergeCell ref="AE8:AE10"/>
    <mergeCell ref="AF8:AF10"/>
    <mergeCell ref="AG8:AG10"/>
    <mergeCell ref="AH8:AH10"/>
    <mergeCell ref="AI8:AI10"/>
    <mergeCell ref="Z8:Z10"/>
    <mergeCell ref="AA8:AA10"/>
    <mergeCell ref="AB8:AB10"/>
    <mergeCell ref="AC8:AC10"/>
    <mergeCell ref="AD8:AD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I22" sqref="I22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45385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K4" s="89" t="s">
        <v>127</v>
      </c>
      <c r="L4" s="89"/>
      <c r="M4" s="89"/>
      <c r="N4" s="89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1.0911999999999999</v>
      </c>
      <c r="C6" s="23">
        <v>1</v>
      </c>
      <c r="D6" s="23">
        <v>1</v>
      </c>
      <c r="E6" s="23">
        <v>1</v>
      </c>
      <c r="F6" s="23"/>
      <c r="G6" s="24">
        <f>A6*B6*C6*D6*E6+F6</f>
        <v>674.36159999999995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1.0911999999999999</v>
      </c>
      <c r="C7" s="23">
        <v>1</v>
      </c>
      <c r="D7" s="23">
        <v>0.95</v>
      </c>
      <c r="E7" s="23">
        <v>1</v>
      </c>
      <c r="F7" s="23">
        <f>+H22</f>
        <v>15</v>
      </c>
      <c r="G7" s="24">
        <f>ROUND(A7*B7*C7*D7*E7+F7,0)</f>
        <v>656</v>
      </c>
      <c r="H7" s="23">
        <f>基础信息!F4</f>
        <v>3718.02</v>
      </c>
      <c r="I7" s="34">
        <f>ROUND(G7*H7/10000,4)</f>
        <v>243.90209999999999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G8" s="11" t="s">
        <v>161</v>
      </c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ROUND((1+B12)*(1+C12)*(1+D12)*(1+E12)*(1+F12)*(1+G12)*(1+H12)*(1+I12)*(1+B14)*(1+C14)*(1+D14)*(1+E14)*(1+F14)*(1+G14)*(1+H14)*(1+I14)*(1+B16)*(1+C16)*(1+D16)*(1+E16)*(1+F16)*(1+G16)*(1+H16)*(1+I16)*(1+B18)*(1+C18)*(1+D18)*(1+E18)*(1+F18)*(1+G18)*(1+H18)*(1+I18)*(1+B20),4)</f>
        <v>1.0911999999999999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30">
        <f>N33</f>
        <v>-4.8999999999999998E-3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/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/>
      <c r="C20" s="30"/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G8" sqref="G8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3718.02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45385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243.90209999999999</v>
      </c>
      <c r="C5" s="35" t="e">
        <f>ROUND(B5*10000/$B$1,0)</f>
        <v>#DIV/0!</v>
      </c>
      <c r="D5" s="35">
        <f>ROUND(B5*10000/$B$2,0)</f>
        <v>656</v>
      </c>
      <c r="E5" s="36"/>
    </row>
    <row r="6" spans="1:9" ht="16.5" x14ac:dyDescent="0.15">
      <c r="A6" s="35" t="s">
        <v>73</v>
      </c>
      <c r="B6" s="35">
        <f>G14+G15+G16+G17</f>
        <v>243.90209999999999</v>
      </c>
      <c r="C6" s="35" t="e">
        <f>ROUND(B6*10000/$B$1,0)</f>
        <v>#DIV/0!</v>
      </c>
      <c r="D6" s="35">
        <f>ROUND(B6*10000/$B$2,0)</f>
        <v>656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3718.02</v>
      </c>
      <c r="D14" s="42">
        <f>估价对象!I7</f>
        <v>243.90209999999999</v>
      </c>
      <c r="E14" s="42" t="e">
        <f>ROUND(D14*10000/B14,0)</f>
        <v>#DIV/0!</v>
      </c>
      <c r="F14" s="42">
        <f>ROUND(D14*10000/C14,0)</f>
        <v>656</v>
      </c>
      <c r="G14" s="42">
        <f>D14</f>
        <v>243.90209999999999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2024-11-14T09:15:20Z</dcterms:modified>
</cp:coreProperties>
</file>