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密云询价\"/>
    </mc:Choice>
  </mc:AlternateContent>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 i="46" l="1"/>
  <c r="C10" i="12" l="1"/>
  <c r="D29" i="46"/>
  <c r="G81" i="46"/>
  <c r="G82" i="46"/>
  <c r="G83" i="46"/>
  <c r="G84" i="46"/>
  <c r="G85" i="46"/>
  <c r="G86" i="46"/>
  <c r="G87" i="46"/>
  <c r="G80" i="46"/>
  <c r="F19" i="6"/>
  <c r="I13" i="3"/>
  <c r="D3" i="4"/>
  <c r="L3" i="59" l="1"/>
  <c r="K3" i="59"/>
  <c r="AG3" i="59" s="1"/>
  <c r="J3" i="59"/>
  <c r="I3" i="59"/>
  <c r="AD3" i="59" s="1"/>
  <c r="AH5" i="59"/>
  <c r="AG5" i="59"/>
  <c r="AE5" i="59"/>
  <c r="AF5" i="59"/>
  <c r="AD5" i="59"/>
  <c r="Q5" i="59"/>
  <c r="Q6" i="59"/>
  <c r="P5" i="59"/>
  <c r="P6" i="59"/>
  <c r="O5" i="59"/>
  <c r="O6" i="59"/>
  <c r="N5" i="59"/>
  <c r="N6" i="59"/>
  <c r="AH6" i="59"/>
  <c r="AG6" i="59"/>
  <c r="AE6" i="59"/>
  <c r="AF6" i="59" s="1"/>
  <c r="AD6" i="59"/>
  <c r="Q7" i="59"/>
  <c r="P7" i="59"/>
  <c r="O7" i="59"/>
  <c r="N7" i="59"/>
  <c r="F7" i="59"/>
  <c r="F6" i="59" s="1"/>
  <c r="B7" i="59"/>
  <c r="B6" i="59" s="1"/>
  <c r="B5" i="59" s="1"/>
  <c r="M19" i="46"/>
  <c r="J50" i="15"/>
  <c r="J51" i="15" s="1"/>
  <c r="D9" i="59"/>
  <c r="AH7" i="59"/>
  <c r="AG7" i="59"/>
  <c r="AE7" i="59"/>
  <c r="AF7" i="59"/>
  <c r="AD7" i="59"/>
  <c r="AE8" i="59"/>
  <c r="AF8" i="59" s="1"/>
  <c r="AG8" i="59"/>
  <c r="AH8" i="59"/>
  <c r="AD8" i="59"/>
  <c r="Q8" i="59"/>
  <c r="P8" i="59"/>
  <c r="O8" i="59"/>
  <c r="N8" i="59"/>
  <c r="N9" i="59"/>
  <c r="Q9" i="59"/>
  <c r="P9" i="59"/>
  <c r="O9" i="59"/>
  <c r="K59" i="15"/>
  <c r="P62" i="15" s="1"/>
  <c r="P75" i="15"/>
  <c r="Q74" i="44"/>
  <c r="Q61" i="44"/>
  <c r="Q60" i="44"/>
  <c r="Q53" i="44"/>
  <c r="J51" i="44"/>
  <c r="J52" i="44"/>
  <c r="M48" i="44"/>
  <c r="A16" i="55"/>
  <c r="A15" i="55"/>
  <c r="B66" i="63" s="1"/>
  <c r="A14" i="55"/>
  <c r="A11" i="55"/>
  <c r="B62" i="63" s="1"/>
  <c r="A10" i="55"/>
  <c r="B61" i="63" s="1"/>
  <c r="A9" i="55"/>
  <c r="B60" i="63" s="1"/>
  <c r="A8" i="55"/>
  <c r="B59" i="63" s="1"/>
  <c r="A6" i="54"/>
  <c r="A8" i="54"/>
  <c r="B53" i="63" s="1"/>
  <c r="A7" i="54"/>
  <c r="B51" i="63" s="1"/>
  <c r="A28" i="51"/>
  <c r="A27" i="51"/>
  <c r="B20" i="63" s="1"/>
  <c r="Q10" i="59"/>
  <c r="O10" i="59"/>
  <c r="N11" i="59"/>
  <c r="O11" i="59"/>
  <c r="P11" i="59"/>
  <c r="Q11" i="59"/>
  <c r="N10" i="59"/>
  <c r="P10" i="59"/>
  <c r="K75" i="9"/>
  <c r="K6" i="4"/>
  <c r="O76" i="9"/>
  <c r="L76" i="9"/>
  <c r="K76" i="9"/>
  <c r="B22" i="31"/>
  <c r="E15" i="66"/>
  <c r="F15" i="66"/>
  <c r="E16" i="66"/>
  <c r="F16" i="66"/>
  <c r="E17" i="66"/>
  <c r="F17" i="66"/>
  <c r="E18" i="66"/>
  <c r="F18" i="66"/>
  <c r="E19" i="66"/>
  <c r="F19" i="66"/>
  <c r="E20" i="66"/>
  <c r="F20" i="66"/>
  <c r="E21" i="66"/>
  <c r="F21" i="66"/>
  <c r="E22" i="66"/>
  <c r="F22" i="66"/>
  <c r="E23" i="66"/>
  <c r="F23" i="66"/>
  <c r="B3" i="66"/>
  <c r="B8" i="59"/>
  <c r="E8" i="59"/>
  <c r="E7" i="59" s="1"/>
  <c r="E6" i="59" s="1"/>
  <c r="E5" i="59" s="1"/>
  <c r="F8" i="59"/>
  <c r="V8" i="59"/>
  <c r="U8" i="59"/>
  <c r="S8" i="59"/>
  <c r="AE3" i="59"/>
  <c r="AF3" i="59" s="1"/>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AB13" i="59"/>
  <c r="Y19" i="59"/>
  <c r="Z19" i="59" s="1"/>
  <c r="AB20" i="59"/>
  <c r="AB22" i="59"/>
  <c r="Y22" i="59"/>
  <c r="Z22" i="59" s="1"/>
  <c r="S2" i="31"/>
  <c r="M2" i="31"/>
  <c r="N2" i="31"/>
  <c r="O2" i="31"/>
  <c r="P2" i="31"/>
  <c r="Q2" i="31"/>
  <c r="R2" i="31"/>
  <c r="C8" i="59"/>
  <c r="C3" i="65"/>
  <c r="C1" i="65"/>
  <c r="D8"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A46" i="9"/>
  <c r="K41" i="9"/>
  <c r="B8" i="63"/>
  <c r="A21" i="55"/>
  <c r="B71" i="63" s="1"/>
  <c r="A20" i="55"/>
  <c r="B69" i="63" s="1"/>
  <c r="B26" i="63"/>
  <c r="B28" i="63"/>
  <c r="B29" i="63"/>
  <c r="B31" i="63"/>
  <c r="B33" i="63"/>
  <c r="B35" i="63"/>
  <c r="B36" i="63"/>
  <c r="B37" i="63"/>
  <c r="B63" i="63"/>
  <c r="B64" i="63"/>
  <c r="B68" i="63"/>
  <c r="D51" i="10"/>
  <c r="B10" i="63"/>
  <c r="B51" i="10"/>
  <c r="B17" i="63"/>
  <c r="A15" i="51"/>
  <c r="B12" i="63"/>
  <c r="A14" i="51"/>
  <c r="B11" i="63" s="1"/>
  <c r="A4" i="55"/>
  <c r="B57" i="63" s="1"/>
  <c r="B41" i="63"/>
  <c r="G5" i="54"/>
  <c r="B34" i="63"/>
  <c r="E5" i="54"/>
  <c r="B32" i="63"/>
  <c r="R2" i="54"/>
  <c r="B24" i="63" s="1"/>
  <c r="B49" i="50"/>
  <c r="B5" i="63" s="1"/>
  <c r="B40" i="50"/>
  <c r="B3" i="63" s="1"/>
  <c r="B67" i="63"/>
  <c r="I19" i="46"/>
  <c r="Q12" i="59"/>
  <c r="P12" i="59"/>
  <c r="E12" i="59" s="1"/>
  <c r="O12" i="59"/>
  <c r="N12" i="59"/>
  <c r="B12" i="59" s="1"/>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P37" i="59"/>
  <c r="E38" i="59" s="1"/>
  <c r="E39" i="59" s="1"/>
  <c r="E40" i="59" s="1"/>
  <c r="U40" i="59"/>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P25" i="59"/>
  <c r="E26" i="59" s="1"/>
  <c r="E27" i="59"/>
  <c r="E28" i="59" s="1"/>
  <c r="U28" i="59" s="1"/>
  <c r="O25" i="59"/>
  <c r="C26" i="59"/>
  <c r="N25" i="59"/>
  <c r="B26" i="59"/>
  <c r="B27" i="59" s="1"/>
  <c r="B28" i="59"/>
  <c r="S28" i="59" s="1"/>
  <c r="D25" i="59"/>
  <c r="Q24" i="59"/>
  <c r="P24" i="59"/>
  <c r="O24" i="59"/>
  <c r="N24" i="59"/>
  <c r="Q23" i="59"/>
  <c r="AB23" i="59"/>
  <c r="P23" i="59"/>
  <c r="O23" i="59"/>
  <c r="Y23" i="59" s="1"/>
  <c r="Z23" i="59"/>
  <c r="N23" i="59"/>
  <c r="X23" i="59"/>
  <c r="Q22" i="59"/>
  <c r="P22" i="59"/>
  <c r="O22" i="59"/>
  <c r="N22" i="59"/>
  <c r="X22" i="59" s="1"/>
  <c r="Q21" i="59"/>
  <c r="AB21" i="59" s="1"/>
  <c r="F22" i="59"/>
  <c r="F23" i="59" s="1"/>
  <c r="F24" i="59" s="1"/>
  <c r="V24" i="59" s="1"/>
  <c r="P21" i="59"/>
  <c r="E22" i="59"/>
  <c r="E23" i="59" s="1"/>
  <c r="E24" i="59" s="1"/>
  <c r="U24" i="59" s="1"/>
  <c r="O21" i="59"/>
  <c r="N21" i="59"/>
  <c r="D21" i="59"/>
  <c r="Q20" i="59"/>
  <c r="P20" i="59"/>
  <c r="AA20" i="59" s="1"/>
  <c r="O20" i="59"/>
  <c r="N20" i="59"/>
  <c r="Q19" i="59"/>
  <c r="AB19" i="59" s="1"/>
  <c r="P19" i="59"/>
  <c r="O19" i="59"/>
  <c r="N19" i="59"/>
  <c r="X19" i="59" s="1"/>
  <c r="Q18" i="59"/>
  <c r="AB18" i="59" s="1"/>
  <c r="P18" i="59"/>
  <c r="AA18" i="59" s="1"/>
  <c r="O18" i="59"/>
  <c r="N18" i="59"/>
  <c r="Q17" i="59"/>
  <c r="F18" i="59" s="1"/>
  <c r="F19" i="59" s="1"/>
  <c r="P17" i="59"/>
  <c r="O17" i="59"/>
  <c r="C18" i="59"/>
  <c r="C19" i="59" s="1"/>
  <c r="D19" i="59" s="1"/>
  <c r="N17" i="59"/>
  <c r="B18" i="59"/>
  <c r="B19" i="59" s="1"/>
  <c r="B20" i="59" s="1"/>
  <c r="S20" i="59" s="1"/>
  <c r="D17" i="59"/>
  <c r="Q16" i="59"/>
  <c r="P16" i="59"/>
  <c r="AA16" i="59" s="1"/>
  <c r="O16" i="59"/>
  <c r="N16" i="59"/>
  <c r="X16" i="59" s="1"/>
  <c r="Q15" i="59"/>
  <c r="AB15" i="59" s="1"/>
  <c r="P15" i="59"/>
  <c r="AA15" i="59" s="1"/>
  <c r="O15" i="59"/>
  <c r="N15" i="59"/>
  <c r="X15" i="59" s="1"/>
  <c r="Q14" i="59"/>
  <c r="P14" i="59"/>
  <c r="O14" i="59"/>
  <c r="N14" i="59"/>
  <c r="X14" i="59" s="1"/>
  <c r="Q13" i="59"/>
  <c r="F14" i="59"/>
  <c r="F15" i="59" s="1"/>
  <c r="F16" i="59" s="1"/>
  <c r="V16" i="59" s="1"/>
  <c r="P13" i="59"/>
  <c r="O13" i="59"/>
  <c r="N13" i="59"/>
  <c r="D13" i="59"/>
  <c r="AA10" i="59"/>
  <c r="AB10" i="59"/>
  <c r="E14" i="59"/>
  <c r="B36" i="59"/>
  <c r="S36" i="59" s="1"/>
  <c r="AA23" i="59"/>
  <c r="F20" i="59"/>
  <c r="V20" i="59" s="1"/>
  <c r="F28" i="59"/>
  <c r="V28" i="59" s="1"/>
  <c r="F31" i="59"/>
  <c r="F32" i="59" s="1"/>
  <c r="V32" i="59"/>
  <c r="F39" i="59"/>
  <c r="F40" i="59"/>
  <c r="V40" i="59" s="1"/>
  <c r="F43" i="59"/>
  <c r="F44" i="59" s="1"/>
  <c r="V44" i="59"/>
  <c r="F47" i="59"/>
  <c r="F48" i="59"/>
  <c r="V48" i="59" s="1"/>
  <c r="C27" i="59"/>
  <c r="D27" i="59" s="1"/>
  <c r="D26" i="59"/>
  <c r="C31" i="59"/>
  <c r="D31" i="59" s="1"/>
  <c r="D30" i="59"/>
  <c r="C35" i="59"/>
  <c r="D34" i="59"/>
  <c r="D42" i="59"/>
  <c r="D18" i="59"/>
  <c r="E50" i="59"/>
  <c r="T52" i="59"/>
  <c r="O52" i="59"/>
  <c r="D52" i="59"/>
  <c r="C51" i="59"/>
  <c r="P52" i="59"/>
  <c r="U52" i="59"/>
  <c r="C55" i="59"/>
  <c r="C54" i="59" s="1"/>
  <c r="E55" i="59"/>
  <c r="E54" i="59"/>
  <c r="D56" i="59"/>
  <c r="C59" i="59"/>
  <c r="D59" i="59" s="1"/>
  <c r="E59" i="59"/>
  <c r="E58" i="59"/>
  <c r="C63" i="59"/>
  <c r="D63" i="59" s="1"/>
  <c r="E63" i="59"/>
  <c r="E62" i="59"/>
  <c r="D64" i="59"/>
  <c r="C67" i="59"/>
  <c r="C66" i="59" s="1"/>
  <c r="C71" i="59"/>
  <c r="U16" i="4"/>
  <c r="S16" i="4"/>
  <c r="Q16" i="4"/>
  <c r="O16" i="4"/>
  <c r="M16" i="4"/>
  <c r="L16" i="4" s="1"/>
  <c r="K16" i="4"/>
  <c r="P49" i="59"/>
  <c r="P50" i="59"/>
  <c r="D71" i="59"/>
  <c r="C70" i="59"/>
  <c r="D70" i="59"/>
  <c r="C62" i="59"/>
  <c r="D62" i="59" s="1"/>
  <c r="D54" i="59"/>
  <c r="O51" i="59"/>
  <c r="D67" i="59"/>
  <c r="D66" i="59"/>
  <c r="C58" i="59"/>
  <c r="D58" i="59" s="1"/>
  <c r="C20" i="59"/>
  <c r="D20" i="59" s="1"/>
  <c r="D43" i="59"/>
  <c r="C36" i="59"/>
  <c r="D36" i="59" s="1"/>
  <c r="D35" i="59"/>
  <c r="C28" i="59"/>
  <c r="D28" i="59" s="1"/>
  <c r="N16" i="4"/>
  <c r="T44" i="59"/>
  <c r="T3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21" i="21"/>
  <c r="AA21" i="21"/>
  <c r="C21" i="21"/>
  <c r="Z27" i="40"/>
  <c r="Q27" i="40"/>
  <c r="D96" i="40"/>
  <c r="E96" i="40" s="1"/>
  <c r="F27" i="40"/>
  <c r="Z31" i="39"/>
  <c r="Q31" i="39"/>
  <c r="D105" i="39"/>
  <c r="E105" i="39" s="1"/>
  <c r="F31" i="39"/>
  <c r="AA31" i="39" s="1"/>
  <c r="G20" i="20"/>
  <c r="C22" i="20"/>
  <c r="S18" i="36"/>
  <c r="S21" i="37"/>
  <c r="S21" i="21"/>
  <c r="S31" i="39"/>
  <c r="C31" i="39"/>
  <c r="B74" i="46"/>
  <c r="E66" i="36"/>
  <c r="H18" i="35"/>
  <c r="J18" i="35"/>
  <c r="H21" i="37"/>
  <c r="J21" i="37"/>
  <c r="E84" i="34"/>
  <c r="F84" i="34" s="1"/>
  <c r="G84" i="34"/>
  <c r="J21" i="34"/>
  <c r="H21" i="34"/>
  <c r="F21" i="33"/>
  <c r="H21" i="33"/>
  <c r="J21" i="33"/>
  <c r="F83" i="21"/>
  <c r="H21" i="21"/>
  <c r="G83" i="21"/>
  <c r="J21" i="21"/>
  <c r="F96" i="40"/>
  <c r="H27" i="40"/>
  <c r="F105" i="39"/>
  <c r="H31" i="39"/>
  <c r="F23" i="15"/>
  <c r="D22" i="15"/>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G6" i="1" s="1"/>
  <c r="D7" i="1"/>
  <c r="D8" i="1"/>
  <c r="D9" i="1"/>
  <c r="F10" i="1"/>
  <c r="AP10" i="1" s="1"/>
  <c r="D10" i="1"/>
  <c r="B2" i="1"/>
  <c r="C42" i="1"/>
  <c r="C27" i="43"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I59" i="40" s="1"/>
  <c r="C59" i="40" s="1"/>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X7" i="46" s="1"/>
  <c r="G19" i="46"/>
  <c r="P25" i="46" s="1"/>
  <c r="B73" i="39"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c r="A3" i="51"/>
  <c r="R41" i="4"/>
  <c r="Q41" i="4"/>
  <c r="P41" i="4"/>
  <c r="O41" i="4"/>
  <c r="N41" i="4"/>
  <c r="M41" i="4"/>
  <c r="L41" i="4"/>
  <c r="K40" i="4"/>
  <c r="T40" i="4"/>
  <c r="F23" i="4"/>
  <c r="D19" i="4"/>
  <c r="I19" i="4"/>
  <c r="H19" i="4"/>
  <c r="G19" i="4"/>
  <c r="F9" i="1"/>
  <c r="G9" i="1" s="1"/>
  <c r="F19" i="4"/>
  <c r="F8" i="1"/>
  <c r="E19" i="4"/>
  <c r="F7" i="1"/>
  <c r="G7" i="1" s="1"/>
  <c r="B2" i="52"/>
  <c r="E2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B5" i="3" s="1"/>
  <c r="E8" i="6" s="1"/>
  <c r="E53" i="40" s="1"/>
  <c r="BR13" i="3"/>
  <c r="C6" i="12"/>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114" i="34" s="1"/>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H100" i="40" s="1"/>
  <c r="D98" i="40"/>
  <c r="E98" i="40"/>
  <c r="B97" i="40"/>
  <c r="D94" i="40"/>
  <c r="D92" i="40"/>
  <c r="D90" i="40"/>
  <c r="E90" i="40" s="1"/>
  <c r="H21" i="40"/>
  <c r="AB21" i="40"/>
  <c r="D88" i="40"/>
  <c r="E88" i="40"/>
  <c r="D86" i="40"/>
  <c r="E86" i="40"/>
  <c r="F86" i="40" s="1"/>
  <c r="J17" i="40"/>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B110" i="37"/>
  <c r="J39" i="37"/>
  <c r="B108" i="37"/>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D79" i="37"/>
  <c r="E79" i="37" s="1"/>
  <c r="F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W16" i="36" s="1"/>
  <c r="D62" i="36"/>
  <c r="E62" i="36"/>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AC24" i="35"/>
  <c r="B73" i="35"/>
  <c r="B57" i="35"/>
  <c r="B61" i="35"/>
  <c r="B59" i="35"/>
  <c r="H12" i="35" s="1"/>
  <c r="B131" i="34"/>
  <c r="B129" i="34"/>
  <c r="B127" i="34"/>
  <c r="B99" i="34"/>
  <c r="B97" i="34"/>
  <c r="B95" i="34"/>
  <c r="B93" i="34"/>
  <c r="B75" i="34"/>
  <c r="B73" i="34"/>
  <c r="B71" i="34"/>
  <c r="B130" i="33"/>
  <c r="B128" i="33"/>
  <c r="H45" i="33"/>
  <c r="B126" i="33"/>
  <c r="J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E80" i="35" s="1"/>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S39" i="34" s="1"/>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F109" i="33"/>
  <c r="E109" i="33"/>
  <c r="D109" i="33"/>
  <c r="C109" i="33"/>
  <c r="D91" i="33"/>
  <c r="E91" i="33"/>
  <c r="F91" i="33" s="1"/>
  <c r="G91" i="33"/>
  <c r="H91" i="33" s="1"/>
  <c r="I91" i="33" s="1"/>
  <c r="J91" i="33" s="1"/>
  <c r="K91" i="33"/>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U8" i="33" s="1"/>
  <c r="F8" i="33"/>
  <c r="C7" i="33"/>
  <c r="C58" i="33" s="1"/>
  <c r="D58" i="33" s="1"/>
  <c r="E58" i="33" s="1"/>
  <c r="F58" i="33" s="1"/>
  <c r="G58" i="33" s="1"/>
  <c r="H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W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J101" i="21" s="1"/>
  <c r="K101" i="21"/>
  <c r="L101" i="21" s="1"/>
  <c r="M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G58" i="21" s="1"/>
  <c r="H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H5" i="3" s="1"/>
  <c r="BI13" i="3"/>
  <c r="BI5" i="3" s="1"/>
  <c r="BJ13" i="3"/>
  <c r="BK13" i="3"/>
  <c r="BM13" i="3"/>
  <c r="BL13" i="3" s="1"/>
  <c r="BN13" i="3"/>
  <c r="BO13" i="3"/>
  <c r="BO5" i="3" s="1"/>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21" i="12" s="1"/>
  <c r="C21" i="12"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F43" i="21"/>
  <c r="H38" i="21"/>
  <c r="AB38" i="21" s="1"/>
  <c r="H43" i="21"/>
  <c r="AB43" i="21" s="1"/>
  <c r="F32" i="21"/>
  <c r="S32" i="21" s="1"/>
  <c r="F38" i="21"/>
  <c r="S38" i="21"/>
  <c r="F36" i="21"/>
  <c r="S36" i="21"/>
  <c r="F39" i="21"/>
  <c r="AA39" i="21"/>
  <c r="J40" i="21"/>
  <c r="W40" i="21"/>
  <c r="H35" i="21"/>
  <c r="AB35" i="21"/>
  <c r="J8" i="21"/>
  <c r="AC8" i="21"/>
  <c r="J9" i="21"/>
  <c r="AC9" i="21"/>
  <c r="H8" i="21"/>
  <c r="H9" i="21"/>
  <c r="H10" i="21"/>
  <c r="H39" i="21"/>
  <c r="AB39" i="21" s="1"/>
  <c r="J34" i="21"/>
  <c r="W34" i="21" s="1"/>
  <c r="H36" i="21"/>
  <c r="U36" i="21" s="1"/>
  <c r="F35" i="21"/>
  <c r="AA35" i="21" s="1"/>
  <c r="J33" i="21"/>
  <c r="H33" i="21"/>
  <c r="F33" i="21"/>
  <c r="S33" i="21" s="1"/>
  <c r="J10" i="21"/>
  <c r="AC10" i="21"/>
  <c r="H26" i="21"/>
  <c r="F19" i="21"/>
  <c r="H19" i="21"/>
  <c r="AB19" i="21" s="1"/>
  <c r="J19" i="21"/>
  <c r="W19" i="21" s="1"/>
  <c r="J12" i="21"/>
  <c r="AC12" i="21" s="1"/>
  <c r="J26" i="21"/>
  <c r="W26" i="21"/>
  <c r="F26" i="21"/>
  <c r="AA26" i="21"/>
  <c r="S41" i="21"/>
  <c r="AA41" i="21"/>
  <c r="W41" i="21"/>
  <c r="S10" i="39"/>
  <c r="U30" i="37"/>
  <c r="E103" i="37"/>
  <c r="F103" i="37"/>
  <c r="G103" i="37" s="1"/>
  <c r="F39" i="37"/>
  <c r="S39" i="37"/>
  <c r="F29" i="36"/>
  <c r="AA29" i="36" s="1"/>
  <c r="F16" i="36"/>
  <c r="AA16" i="36" s="1"/>
  <c r="W22" i="36"/>
  <c r="AC31" i="36"/>
  <c r="J33" i="36"/>
  <c r="W33" i="36"/>
  <c r="AC27" i="35"/>
  <c r="W36" i="35"/>
  <c r="S31" i="35"/>
  <c r="W31" i="35"/>
  <c r="F36" i="34"/>
  <c r="S36" i="34"/>
  <c r="W9" i="34"/>
  <c r="H39" i="33"/>
  <c r="AB39" i="33" s="1"/>
  <c r="F26" i="33"/>
  <c r="AA26" i="33" s="1"/>
  <c r="U9" i="33"/>
  <c r="W38" i="33"/>
  <c r="S33" i="33"/>
  <c r="S8" i="21"/>
  <c r="W8" i="21"/>
  <c r="H39" i="37"/>
  <c r="AB39" i="37"/>
  <c r="AB27" i="35"/>
  <c r="S10" i="40"/>
  <c r="W10" i="40"/>
  <c r="S11" i="40"/>
  <c r="U11" i="40"/>
  <c r="S36" i="40"/>
  <c r="U36" i="40"/>
  <c r="S40" i="39"/>
  <c r="S36" i="39"/>
  <c r="F11" i="21"/>
  <c r="S11" i="21" s="1"/>
  <c r="AC40" i="21"/>
  <c r="AA38" i="21"/>
  <c r="AB36" i="21"/>
  <c r="AC35" i="21"/>
  <c r="C29" i="39"/>
  <c r="C23" i="39"/>
  <c r="U36" i="39"/>
  <c r="S42" i="39"/>
  <c r="H32" i="33"/>
  <c r="H11" i="21"/>
  <c r="U11" i="21" s="1"/>
  <c r="J11" i="21"/>
  <c r="W11" i="21" s="1"/>
  <c r="AA12" i="33"/>
  <c r="J27" i="36"/>
  <c r="W27" i="36" s="1"/>
  <c r="J34" i="36"/>
  <c r="W34" i="36" s="1"/>
  <c r="J30" i="35"/>
  <c r="W30" i="35" s="1"/>
  <c r="F22" i="35"/>
  <c r="H10" i="35"/>
  <c r="AC24" i="36"/>
  <c r="U29" i="36"/>
  <c r="U24" i="36"/>
  <c r="F85" i="36"/>
  <c r="G85" i="36" s="1"/>
  <c r="H85" i="36"/>
  <c r="I85" i="36" s="1"/>
  <c r="J85" i="36" s="1"/>
  <c r="K85" i="36" s="1"/>
  <c r="L85" i="36"/>
  <c r="M85" i="36" s="1"/>
  <c r="J29" i="36"/>
  <c r="AC29" i="36" s="1"/>
  <c r="F12" i="36"/>
  <c r="S12" i="36" s="1"/>
  <c r="F24" i="36"/>
  <c r="AA24" i="36" s="1"/>
  <c r="F34" i="36"/>
  <c r="S34" i="36" s="1"/>
  <c r="H16" i="35"/>
  <c r="H33" i="35"/>
  <c r="AB33" i="35" s="1"/>
  <c r="W8" i="35"/>
  <c r="F35" i="37"/>
  <c r="S35" i="37" s="1"/>
  <c r="F101" i="37"/>
  <c r="G101" i="37" s="1"/>
  <c r="H101" i="37" s="1"/>
  <c r="I101" i="37" s="1"/>
  <c r="J101" i="37"/>
  <c r="K101" i="37" s="1"/>
  <c r="L101" i="37" s="1"/>
  <c r="M101" i="37" s="1"/>
  <c r="J34" i="37"/>
  <c r="W34" i="37" s="1"/>
  <c r="AA39" i="37"/>
  <c r="H43" i="34"/>
  <c r="U42" i="34"/>
  <c r="H36" i="34"/>
  <c r="F37" i="34"/>
  <c r="AA37" i="34" s="1"/>
  <c r="F33" i="34"/>
  <c r="S33" i="34" s="1"/>
  <c r="F19" i="34"/>
  <c r="AA19" i="34"/>
  <c r="J10" i="34"/>
  <c r="AC10" i="34"/>
  <c r="U9" i="34"/>
  <c r="W8" i="34"/>
  <c r="J28" i="34"/>
  <c r="W28" i="34"/>
  <c r="E113" i="33"/>
  <c r="F113" i="33" s="1"/>
  <c r="G113" i="33" s="1"/>
  <c r="F36" i="33"/>
  <c r="S36" i="33"/>
  <c r="F19" i="33"/>
  <c r="S19" i="33"/>
  <c r="J19" i="33"/>
  <c r="S10" i="21"/>
  <c r="G86" i="40"/>
  <c r="AB30" i="36"/>
  <c r="AC34" i="36"/>
  <c r="H29" i="35"/>
  <c r="U29" i="35" s="1"/>
  <c r="S34" i="37"/>
  <c r="AA34" i="37"/>
  <c r="AC43" i="34"/>
  <c r="AB40" i="34"/>
  <c r="J19" i="34"/>
  <c r="AC19" i="34" s="1"/>
  <c r="H113" i="33"/>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W10" i="35" s="1"/>
  <c r="AL5" i="3"/>
  <c r="BQ13" i="3"/>
  <c r="BQ5" i="3" s="1"/>
  <c r="F28" i="6" s="1"/>
  <c r="F14" i="21"/>
  <c r="AA14" i="21" s="1"/>
  <c r="H14" i="21"/>
  <c r="H28" i="21"/>
  <c r="F28" i="21"/>
  <c r="S28" i="21" s="1"/>
  <c r="AC28" i="21"/>
  <c r="J44" i="21"/>
  <c r="AC44" i="21" s="1"/>
  <c r="H44" i="21"/>
  <c r="U44" i="21" s="1"/>
  <c r="F44" i="21"/>
  <c r="AA44" i="21" s="1"/>
  <c r="H46" i="21"/>
  <c r="J46" i="21"/>
  <c r="W46" i="21" s="1"/>
  <c r="F46" i="21"/>
  <c r="H26" i="33"/>
  <c r="U26" i="33" s="1"/>
  <c r="H28" i="33"/>
  <c r="U28" i="33" s="1"/>
  <c r="F28" i="33"/>
  <c r="AA28" i="33"/>
  <c r="J28" i="33"/>
  <c r="W28" i="33"/>
  <c r="F33" i="35"/>
  <c r="S33" i="35"/>
  <c r="J33" i="35"/>
  <c r="W33" i="35"/>
  <c r="F30" i="35"/>
  <c r="AA30" i="35"/>
  <c r="E89" i="35"/>
  <c r="F89" i="35"/>
  <c r="G89" i="35" s="1"/>
  <c r="H89" i="35" s="1"/>
  <c r="I89" i="35" s="1"/>
  <c r="J89" i="35"/>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H28" i="36"/>
  <c r="U28" i="36"/>
  <c r="J11" i="36"/>
  <c r="H13" i="36"/>
  <c r="AB13" i="36" s="1"/>
  <c r="J13" i="36"/>
  <c r="W13" i="36" s="1"/>
  <c r="F13" i="36"/>
  <c r="S13" i="36" s="1"/>
  <c r="G89" i="37"/>
  <c r="H89" i="37" s="1"/>
  <c r="I89" i="37" s="1"/>
  <c r="J89" i="37" s="1"/>
  <c r="K89" i="37" s="1"/>
  <c r="L89" i="37" s="1"/>
  <c r="M89" i="37" s="1"/>
  <c r="J29" i="37"/>
  <c r="W29" i="37"/>
  <c r="F29" i="37"/>
  <c r="AA29" i="37"/>
  <c r="AB36" i="37"/>
  <c r="J37" i="37"/>
  <c r="H37" i="37"/>
  <c r="U37" i="37" s="1"/>
  <c r="H40" i="37"/>
  <c r="J40" i="37"/>
  <c r="AC40" i="37" s="1"/>
  <c r="F40" i="37"/>
  <c r="AA40" i="37"/>
  <c r="H44" i="33"/>
  <c r="F44" i="33"/>
  <c r="S44" i="33" s="1"/>
  <c r="J46" i="33"/>
  <c r="F46" i="33"/>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J36" i="37"/>
  <c r="AC36" i="37" s="1"/>
  <c r="G105" i="37"/>
  <c r="AB28" i="36"/>
  <c r="AB31" i="21"/>
  <c r="AA28" i="21"/>
  <c r="W14" i="21"/>
  <c r="W42" i="21"/>
  <c r="AC13" i="36"/>
  <c r="AB31" i="33"/>
  <c r="AB27" i="33"/>
  <c r="AC28" i="33"/>
  <c r="AB44" i="21"/>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BA562" i="3"/>
  <c r="BA558" i="3"/>
  <c r="BA554" i="3"/>
  <c r="BA544" i="3"/>
  <c r="BA536" i="3"/>
  <c r="BA528" i="3"/>
  <c r="BA520" i="3"/>
  <c r="BA516" i="3"/>
  <c r="AZ516" i="3" s="1"/>
  <c r="BA508" i="3"/>
  <c r="BA492" i="3"/>
  <c r="BA488" i="3"/>
  <c r="G562" i="3"/>
  <c r="G558" i="3"/>
  <c r="G554" i="3"/>
  <c r="G546" i="3"/>
  <c r="AC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c r="K123" i="33" s="1"/>
  <c r="L123" i="33" s="1"/>
  <c r="M123" i="33" s="1"/>
  <c r="H42" i="33"/>
  <c r="U42" i="33" s="1"/>
  <c r="J43" i="33"/>
  <c r="AC43" i="33" s="1"/>
  <c r="G79" i="37"/>
  <c r="J23" i="37"/>
  <c r="W23" i="37"/>
  <c r="F17" i="37"/>
  <c r="AA17" i="37"/>
  <c r="AB43" i="33"/>
  <c r="D3" i="21"/>
  <c r="AC33" i="36"/>
  <c r="AC23" i="37"/>
  <c r="U39" i="37"/>
  <c r="AC8" i="37"/>
  <c r="AB8" i="34"/>
  <c r="AA13" i="33"/>
  <c r="AC45" i="33"/>
  <c r="U19" i="21"/>
  <c r="AA36" i="21"/>
  <c r="S39" i="33"/>
  <c r="F43" i="33"/>
  <c r="AA43" i="33" s="1"/>
  <c r="AA23"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W15" i="37" s="1"/>
  <c r="U12" i="37"/>
  <c r="AB10" i="37"/>
  <c r="J11" i="37"/>
  <c r="W11" i="37" s="1"/>
  <c r="U31" i="37"/>
  <c r="F21" i="40"/>
  <c r="S21" i="40" s="1"/>
  <c r="W36" i="40"/>
  <c r="U40" i="39"/>
  <c r="F90" i="40"/>
  <c r="G90" i="40" s="1"/>
  <c r="J21" i="40"/>
  <c r="AC21" i="40"/>
  <c r="S27" i="31"/>
  <c r="G483" i="3"/>
  <c r="G507" i="3"/>
  <c r="BA15" i="3"/>
  <c r="BL17" i="3"/>
  <c r="BL15" i="3"/>
  <c r="BA14" i="3"/>
  <c r="AZ14" i="3"/>
  <c r="J57" i="39"/>
  <c r="H13" i="40"/>
  <c r="U13" i="40"/>
  <c r="I4" i="4"/>
  <c r="K143" i="2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C12" i="46"/>
  <c r="AB15" i="37"/>
  <c r="U43" i="21"/>
  <c r="AA13" i="40"/>
  <c r="E78" i="40"/>
  <c r="F78" i="40" s="1"/>
  <c r="G78" i="40" s="1"/>
  <c r="H78" i="40" s="1"/>
  <c r="I78" i="40" s="1"/>
  <c r="J78" i="40" s="1"/>
  <c r="K78" i="40" s="1"/>
  <c r="L78" i="40" s="1"/>
  <c r="M78" i="40" s="1"/>
  <c r="R16" i="4"/>
  <c r="P16" i="4"/>
  <c r="D3" i="35"/>
  <c r="G4" i="4"/>
  <c r="S37" i="34"/>
  <c r="J16" i="35"/>
  <c r="W16" i="35"/>
  <c r="U42" i="21"/>
  <c r="AC26" i="36"/>
  <c r="AZ300" i="3"/>
  <c r="AZ322" i="3"/>
  <c r="H13" i="39"/>
  <c r="AB13" i="39"/>
  <c r="F13" i="39"/>
  <c r="J13" i="39"/>
  <c r="AC13" i="39" s="1"/>
  <c r="AA36" i="35"/>
  <c r="H11" i="37"/>
  <c r="AB11" i="37"/>
  <c r="S42" i="33"/>
  <c r="AB17" i="37"/>
  <c r="AA45" i="33"/>
  <c r="AC10" i="36"/>
  <c r="AC14" i="37"/>
  <c r="S25" i="35"/>
  <c r="AC29" i="37"/>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U26" i="21"/>
  <c r="AA33" i="21"/>
  <c r="U39" i="21"/>
  <c r="W9" i="21"/>
  <c r="J32" i="21"/>
  <c r="AC32" i="21" s="1"/>
  <c r="G13" i="3"/>
  <c r="F17" i="21"/>
  <c r="S17" i="21" s="1"/>
  <c r="H17" i="2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c r="J43" i="39"/>
  <c r="F99" i="37"/>
  <c r="U25" i="35"/>
  <c r="U31" i="34"/>
  <c r="W40" i="37"/>
  <c r="AC45" i="21"/>
  <c r="S28" i="33"/>
  <c r="S14" i="21"/>
  <c r="AB29" i="35"/>
  <c r="AC19" i="33"/>
  <c r="W19" i="33"/>
  <c r="U43" i="34"/>
  <c r="AB43" i="34"/>
  <c r="AC34" i="37"/>
  <c r="AA35" i="37"/>
  <c r="AA32" i="21"/>
  <c r="U38" i="21"/>
  <c r="BL571"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AC16" i="36"/>
  <c r="E78" i="36"/>
  <c r="F78" i="36"/>
  <c r="G78" i="36" s="1"/>
  <c r="H78" i="36"/>
  <c r="I78" i="36" s="1"/>
  <c r="J78" i="36" s="1"/>
  <c r="K78" i="36" s="1"/>
  <c r="L78" i="36" s="1"/>
  <c r="M78" i="36" s="1"/>
  <c r="F26" i="36"/>
  <c r="S26" i="36" s="1"/>
  <c r="U34" i="36"/>
  <c r="H33" i="36"/>
  <c r="U33" i="36" s="1"/>
  <c r="F33" i="36"/>
  <c r="AA33" i="36" s="1"/>
  <c r="H27" i="36"/>
  <c r="AB27" i="36" s="1"/>
  <c r="AA31" i="36"/>
  <c r="AC26" i="37"/>
  <c r="AB29" i="37"/>
  <c r="AA30" i="37"/>
  <c r="S30" i="37"/>
  <c r="AC30" i="37"/>
  <c r="AC31" i="37"/>
  <c r="AB14" i="37"/>
  <c r="F17" i="39"/>
  <c r="AA17" i="39"/>
  <c r="H17" i="39"/>
  <c r="U17" i="39"/>
  <c r="J17" i="39"/>
  <c r="W17" i="39"/>
  <c r="F21" i="39"/>
  <c r="S21" i="39"/>
  <c r="H21" i="39"/>
  <c r="J21" i="39"/>
  <c r="W21" i="39" s="1"/>
  <c r="F33" i="39"/>
  <c r="S33" i="39" s="1"/>
  <c r="H33" i="39"/>
  <c r="U33" i="39"/>
  <c r="J33" i="39"/>
  <c r="F44" i="39"/>
  <c r="S44" i="39" s="1"/>
  <c r="H44" i="39"/>
  <c r="J44" i="39"/>
  <c r="W44" i="39" s="1"/>
  <c r="E128" i="39"/>
  <c r="F128" i="39" s="1"/>
  <c r="G128" i="39"/>
  <c r="H128" i="39" s="1"/>
  <c r="I128" i="39" s="1"/>
  <c r="J128" i="39" s="1"/>
  <c r="K128" i="39" s="1"/>
  <c r="L128" i="39" s="1"/>
  <c r="M128" i="39" s="1"/>
  <c r="F29" i="39"/>
  <c r="AA29" i="39"/>
  <c r="E103" i="39"/>
  <c r="F103" i="39"/>
  <c r="G103" i="39" s="1"/>
  <c r="H29" i="39"/>
  <c r="F34" i="39"/>
  <c r="AA34" i="39" s="1"/>
  <c r="H34" i="39"/>
  <c r="AB34" i="39" s="1"/>
  <c r="J34" i="39"/>
  <c r="AC34" i="39" s="1"/>
  <c r="F39" i="39"/>
  <c r="S39" i="39" s="1"/>
  <c r="J29" i="35"/>
  <c r="F29" i="35"/>
  <c r="W30" i="36"/>
  <c r="F37" i="39"/>
  <c r="S37" i="39" s="1"/>
  <c r="H37" i="39"/>
  <c r="U37" i="39" s="1"/>
  <c r="J37" i="39"/>
  <c r="W37" i="39" s="1"/>
  <c r="BL568" i="3"/>
  <c r="BA567" i="3"/>
  <c r="BL566" i="3"/>
  <c r="BL565" i="3"/>
  <c r="BA564" i="3"/>
  <c r="AZ564" i="3" s="1"/>
  <c r="BA563" i="3"/>
  <c r="BL554" i="3"/>
  <c r="BA553" i="3"/>
  <c r="BA552" i="3"/>
  <c r="BL549" i="3"/>
  <c r="BL548" i="3"/>
  <c r="BL547" i="3"/>
  <c r="BL539" i="3"/>
  <c r="BA537" i="3"/>
  <c r="BA530" i="3"/>
  <c r="BA529" i="3"/>
  <c r="BA523" i="3"/>
  <c r="BL522" i="3"/>
  <c r="BA518" i="3"/>
  <c r="BL517" i="3"/>
  <c r="BA515" i="3"/>
  <c r="BA513" i="3"/>
  <c r="BL512" i="3"/>
  <c r="BA511" i="3"/>
  <c r="AZ511" i="3" s="1"/>
  <c r="BA510" i="3"/>
  <c r="BL509" i="3"/>
  <c r="BL507" i="3"/>
  <c r="BA506" i="3"/>
  <c r="BL505" i="3"/>
  <c r="BL504" i="3"/>
  <c r="BA503" i="3"/>
  <c r="AZ503" i="3" s="1"/>
  <c r="BA500" i="3"/>
  <c r="BL499" i="3"/>
  <c r="BA497" i="3"/>
  <c r="BA496" i="3"/>
  <c r="BA495" i="3"/>
  <c r="BL494" i="3"/>
  <c r="BA491" i="3"/>
  <c r="AZ491" i="3" s="1"/>
  <c r="BL490" i="3"/>
  <c r="BA489" i="3"/>
  <c r="BL487" i="3"/>
  <c r="BL486" i="3"/>
  <c r="BA485" i="3"/>
  <c r="AZ485" i="3" s="1"/>
  <c r="BA483" i="3"/>
  <c r="BA482" i="3"/>
  <c r="AZ482" i="3" s="1"/>
  <c r="BL481" i="3"/>
  <c r="BA481" i="3"/>
  <c r="G114" i="34"/>
  <c r="H114" i="34" s="1"/>
  <c r="I114" i="34"/>
  <c r="J114" i="34" s="1"/>
  <c r="K114" i="34" s="1"/>
  <c r="L114" i="34" s="1"/>
  <c r="M114" i="34" s="1"/>
  <c r="H38" i="34"/>
  <c r="U38" i="34"/>
  <c r="H30" i="40"/>
  <c r="AB30" i="40"/>
  <c r="J30" i="40"/>
  <c r="AC30" i="40" s="1"/>
  <c r="F38" i="40"/>
  <c r="AA38" i="40" s="1"/>
  <c r="AA36" i="34"/>
  <c r="W12" i="21"/>
  <c r="S35" i="21"/>
  <c r="U8" i="21"/>
  <c r="AB8" i="21"/>
  <c r="S34" i="21"/>
  <c r="AC36" i="21"/>
  <c r="AB8" i="33"/>
  <c r="E106" i="33"/>
  <c r="F106" i="33" s="1"/>
  <c r="H34" i="33"/>
  <c r="U34" i="33"/>
  <c r="F34" i="33"/>
  <c r="S34" i="33"/>
  <c r="F41" i="33"/>
  <c r="AC34" i="34"/>
  <c r="W34" i="34"/>
  <c r="AA39" i="34"/>
  <c r="S43" i="34"/>
  <c r="E78" i="34"/>
  <c r="F15" i="34"/>
  <c r="S15" i="34" s="1"/>
  <c r="W28" i="35"/>
  <c r="J20" i="35"/>
  <c r="AC20" i="35"/>
  <c r="E72" i="35"/>
  <c r="F72" i="35"/>
  <c r="G72" i="35" s="1"/>
  <c r="H22" i="35"/>
  <c r="AB22" i="35" s="1"/>
  <c r="H23" i="35"/>
  <c r="U23" i="35" s="1"/>
  <c r="F23" i="35"/>
  <c r="AA23" i="35"/>
  <c r="U36" i="35"/>
  <c r="AC12" i="36"/>
  <c r="U31" i="36"/>
  <c r="S8" i="37"/>
  <c r="AA8" i="37"/>
  <c r="F14" i="39"/>
  <c r="AA14" i="39" s="1"/>
  <c r="H14" i="39"/>
  <c r="AB14" i="39" s="1"/>
  <c r="J14" i="39"/>
  <c r="AC14" i="39" s="1"/>
  <c r="F16" i="39"/>
  <c r="AA16" i="39" s="1"/>
  <c r="H16" i="39"/>
  <c r="J16" i="39"/>
  <c r="AC16" i="39" s="1"/>
  <c r="F23" i="39"/>
  <c r="AA23" i="39" s="1"/>
  <c r="E97" i="39"/>
  <c r="F27" i="39"/>
  <c r="AA27" i="39"/>
  <c r="H27" i="39"/>
  <c r="AB27" i="39"/>
  <c r="J27" i="39"/>
  <c r="AC27" i="39"/>
  <c r="F15" i="40"/>
  <c r="AA15" i="40"/>
  <c r="J15" i="40"/>
  <c r="H15" i="40"/>
  <c r="AB15" i="40" s="1"/>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G94" i="40" s="1"/>
  <c r="J25" i="40"/>
  <c r="AC25" i="40"/>
  <c r="J32" i="40"/>
  <c r="AC32" i="40"/>
  <c r="H32" i="40"/>
  <c r="U32" i="40"/>
  <c r="J38" i="39"/>
  <c r="W38" i="39"/>
  <c r="H38" i="39"/>
  <c r="U38" i="39"/>
  <c r="H42" i="40"/>
  <c r="H40" i="40"/>
  <c r="U40" i="40" s="1"/>
  <c r="H34" i="40"/>
  <c r="U34" i="40" s="1"/>
  <c r="AZ391" i="3"/>
  <c r="AZ399" i="3"/>
  <c r="AZ403" i="3"/>
  <c r="AZ407" i="3"/>
  <c r="AZ415" i="3"/>
  <c r="AZ423" i="3"/>
  <c r="AZ431" i="3"/>
  <c r="AZ439" i="3"/>
  <c r="AZ454" i="3"/>
  <c r="B41" i="1"/>
  <c r="J42" i="40"/>
  <c r="AC42" i="40" s="1"/>
  <c r="J40" i="40"/>
  <c r="J34" i="40"/>
  <c r="H16" i="40"/>
  <c r="AB16" i="40" s="1"/>
  <c r="H14" i="40"/>
  <c r="U14" i="40" s="1"/>
  <c r="F32" i="40"/>
  <c r="AA32" i="40" s="1"/>
  <c r="AZ401" i="3"/>
  <c r="AZ428" i="3"/>
  <c r="AZ433" i="3"/>
  <c r="AZ436" i="3"/>
  <c r="AZ441" i="3"/>
  <c r="AZ444" i="3"/>
  <c r="AZ449" i="3"/>
  <c r="AZ452" i="3"/>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AZ164" i="3"/>
  <c r="AZ167" i="3"/>
  <c r="AZ177" i="3"/>
  <c r="AZ180" i="3"/>
  <c r="AZ24" i="3"/>
  <c r="AZ32" i="3"/>
  <c r="AZ40" i="3"/>
  <c r="AZ48" i="3"/>
  <c r="AZ56" i="3"/>
  <c r="AZ63" i="3"/>
  <c r="AZ71" i="3"/>
  <c r="AZ79" i="3"/>
  <c r="AZ91" i="3"/>
  <c r="AZ99" i="3"/>
  <c r="AZ107" i="3"/>
  <c r="AZ112" i="3"/>
  <c r="J13" i="40"/>
  <c r="W13" i="40" s="1"/>
  <c r="F34" i="44"/>
  <c r="F27" i="43"/>
  <c r="F66" i="9"/>
  <c r="P72" i="9" s="1"/>
  <c r="F71" i="9"/>
  <c r="F72" i="9"/>
  <c r="AB32" i="40"/>
  <c r="AC47" i="39"/>
  <c r="U37" i="34"/>
  <c r="AB37" i="34"/>
  <c r="W41" i="40"/>
  <c r="J23" i="40"/>
  <c r="AC23" i="40" s="1"/>
  <c r="G92" i="40"/>
  <c r="F23" i="40"/>
  <c r="S23" i="40"/>
  <c r="AC15" i="40"/>
  <c r="W15" i="40"/>
  <c r="W27" i="39"/>
  <c r="S23" i="39"/>
  <c r="W14" i="39"/>
  <c r="AB23" i="35"/>
  <c r="H20" i="35"/>
  <c r="F20" i="35"/>
  <c r="S20" i="35" s="1"/>
  <c r="H15" i="34"/>
  <c r="AB15" i="34" s="1"/>
  <c r="F78" i="34"/>
  <c r="G78" i="34" s="1"/>
  <c r="J15" i="34"/>
  <c r="H41" i="33"/>
  <c r="U41" i="33"/>
  <c r="G121" i="33"/>
  <c r="H121" i="33" s="1"/>
  <c r="I121" i="33" s="1"/>
  <c r="J121" i="33" s="1"/>
  <c r="K121" i="33" s="1"/>
  <c r="L121" i="33" s="1"/>
  <c r="M121" i="33" s="1"/>
  <c r="F30" i="40"/>
  <c r="AA30" i="40"/>
  <c r="I100" i="40"/>
  <c r="J100" i="40" s="1"/>
  <c r="K100" i="40" s="1"/>
  <c r="L100" i="40" s="1"/>
  <c r="M100" i="40" s="1"/>
  <c r="AB38" i="34"/>
  <c r="AB37" i="39"/>
  <c r="J29" i="39"/>
  <c r="AC29" i="39"/>
  <c r="AB21" i="39"/>
  <c r="U21" i="39"/>
  <c r="AB17" i="39"/>
  <c r="AB33" i="36"/>
  <c r="AA14" i="35"/>
  <c r="G99" i="37"/>
  <c r="F33" i="37"/>
  <c r="AB19" i="39"/>
  <c r="U19" i="39"/>
  <c r="U46" i="34"/>
  <c r="AC30" i="34"/>
  <c r="AA14" i="34"/>
  <c r="W12" i="34"/>
  <c r="U29" i="33"/>
  <c r="AC13" i="33"/>
  <c r="U17" i="34"/>
  <c r="W32" i="33"/>
  <c r="H15" i="33"/>
  <c r="U15" i="33"/>
  <c r="AA11" i="33"/>
  <c r="AA40" i="21"/>
  <c r="S13" i="39"/>
  <c r="AA13" i="39"/>
  <c r="U16" i="40"/>
  <c r="AB34" i="40"/>
  <c r="AB42" i="40"/>
  <c r="U42" i="40"/>
  <c r="W32" i="40"/>
  <c r="H25" i="40"/>
  <c r="AB25" i="40"/>
  <c r="W15" i="39"/>
  <c r="J37" i="34"/>
  <c r="AC37" i="34"/>
  <c r="J36" i="33"/>
  <c r="W36" i="33"/>
  <c r="U27" i="39"/>
  <c r="H23" i="39"/>
  <c r="AB23" i="39" s="1"/>
  <c r="J23" i="39"/>
  <c r="AC23" i="39" s="1"/>
  <c r="F97" i="39"/>
  <c r="G97" i="39" s="1"/>
  <c r="S16" i="39"/>
  <c r="AA15" i="34"/>
  <c r="AA34" i="33"/>
  <c r="G106" i="33"/>
  <c r="H106" i="33" s="1"/>
  <c r="I106" i="33"/>
  <c r="J106" i="33" s="1"/>
  <c r="K106" i="33" s="1"/>
  <c r="L106" i="33" s="1"/>
  <c r="M106" i="33" s="1"/>
  <c r="J34" i="33"/>
  <c r="AC34" i="33"/>
  <c r="U30" i="40"/>
  <c r="AA37" i="39"/>
  <c r="AA39" i="39"/>
  <c r="U34" i="39"/>
  <c r="AC33" i="39"/>
  <c r="W33" i="39"/>
  <c r="AA33" i="39"/>
  <c r="S17" i="39"/>
  <c r="F80" i="35"/>
  <c r="G80" i="35" s="1"/>
  <c r="H80" i="35"/>
  <c r="I80" i="35" s="1"/>
  <c r="J80" i="35" s="1"/>
  <c r="K80" i="35" s="1"/>
  <c r="L80" i="35" s="1"/>
  <c r="M80" i="35" s="1"/>
  <c r="W14" i="35"/>
  <c r="G90" i="34"/>
  <c r="H90" i="34" s="1"/>
  <c r="I90" i="34" s="1"/>
  <c r="J90" i="34" s="1"/>
  <c r="K90" i="34" s="1"/>
  <c r="L90" i="34" s="1"/>
  <c r="M90" i="34" s="1"/>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AC15" i="34"/>
  <c r="U20" i="35"/>
  <c r="AB20" i="35"/>
  <c r="W23" i="40"/>
  <c r="D73" i="9"/>
  <c r="N73" i="9" s="1"/>
  <c r="B11" i="1"/>
  <c r="E11" i="1" s="1"/>
  <c r="K11" i="1"/>
  <c r="M11" i="1" s="1"/>
  <c r="B9" i="1"/>
  <c r="E9" i="1" s="1"/>
  <c r="K9" i="1"/>
  <c r="M9" i="1" s="1"/>
  <c r="B7" i="1"/>
  <c r="E7" i="1" s="1"/>
  <c r="K7" i="1"/>
  <c r="M7" i="1" s="1"/>
  <c r="C20" i="43"/>
  <c r="F6" i="1"/>
  <c r="AP6" i="1" s="1"/>
  <c r="G11" i="1"/>
  <c r="F32" i="15"/>
  <c r="F59" i="15" s="1"/>
  <c r="F29" i="12"/>
  <c r="F70" i="9"/>
  <c r="D86" i="9"/>
  <c r="M20" i="44"/>
  <c r="F31" i="43"/>
  <c r="F30" i="44"/>
  <c r="C30" i="44" s="1"/>
  <c r="C25" i="12"/>
  <c r="AC25" i="36"/>
  <c r="S8" i="36"/>
  <c r="AA26" i="36"/>
  <c r="AA28" i="36"/>
  <c r="U25" i="36"/>
  <c r="H20" i="36"/>
  <c r="U20" i="36"/>
  <c r="F68" i="36"/>
  <c r="G68" i="36"/>
  <c r="J20" i="36"/>
  <c r="AC20" i="36"/>
  <c r="F20" i="36"/>
  <c r="S20" i="36"/>
  <c r="F62" i="36"/>
  <c r="G62" i="36"/>
  <c r="J14" i="36"/>
  <c r="H14" i="36"/>
  <c r="F14" i="36"/>
  <c r="AA14" i="36"/>
  <c r="W20" i="36"/>
  <c r="U27"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U15" i="40"/>
  <c r="S15" i="40"/>
  <c r="AB13" i="40"/>
  <c r="W11" i="40"/>
  <c r="AA21" i="40"/>
  <c r="U21" i="40"/>
  <c r="W25" i="40"/>
  <c r="U25" i="40"/>
  <c r="W42"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s="1"/>
  <c r="C24" i="12"/>
  <c r="F3" i="35"/>
  <c r="K1" i="43"/>
  <c r="K1" i="12"/>
  <c r="G1" i="44"/>
  <c r="I4" i="6"/>
  <c r="G3" i="46" s="1"/>
  <c r="AZ15" i="3"/>
  <c r="BK5" i="3"/>
  <c r="BP5" i="3"/>
  <c r="G29" i="6" s="1"/>
  <c r="BN5" i="3"/>
  <c r="BL18" i="3"/>
  <c r="BC5" i="3"/>
  <c r="BD5" i="3"/>
  <c r="BR5" i="3"/>
  <c r="G28" i="6" s="1"/>
  <c r="BS5" i="3"/>
  <c r="BL16" i="3"/>
  <c r="BA13" i="3"/>
  <c r="AZ13" i="3" s="1"/>
  <c r="G22" i="43"/>
  <c r="D24" i="44"/>
  <c r="G27" i="12"/>
  <c r="G21" i="43"/>
  <c r="E11" i="46"/>
  <c r="E10" i="46"/>
  <c r="F69" i="46"/>
  <c r="H75" i="46" s="1"/>
  <c r="E9" i="46"/>
  <c r="F38" i="46"/>
  <c r="C17" i="46"/>
  <c r="E8" i="46"/>
  <c r="C7" i="46" s="1"/>
  <c r="E17" i="46"/>
  <c r="D71" i="46"/>
  <c r="D84" i="46"/>
  <c r="D69" i="46"/>
  <c r="E69" i="46" s="1"/>
  <c r="B67" i="46" s="1"/>
  <c r="E47" i="46"/>
  <c r="E58" i="46"/>
  <c r="B56" i="46" s="1"/>
  <c r="A4" i="64"/>
  <c r="C51" i="10"/>
  <c r="A9" i="64" s="1"/>
  <c r="I100" i="46"/>
  <c r="N100" i="46"/>
  <c r="H100" i="46"/>
  <c r="F108" i="46"/>
  <c r="B45" i="46"/>
  <c r="E100" i="46"/>
  <c r="G100" i="46"/>
  <c r="C100" i="46"/>
  <c r="J100" i="46"/>
  <c r="M100" i="46"/>
  <c r="AA12" i="36"/>
  <c r="U12" i="35"/>
  <c r="AB12" i="35"/>
  <c r="W11" i="35"/>
  <c r="S14" i="37"/>
  <c r="U13" i="37"/>
  <c r="S13" i="21"/>
  <c r="C24" i="9"/>
  <c r="C25" i="9"/>
  <c r="AP7" i="1"/>
  <c r="AP9" i="1"/>
  <c r="AP8" i="1"/>
  <c r="I20" i="46"/>
  <c r="L5" i="54"/>
  <c r="B39" i="63"/>
  <c r="K5" i="54"/>
  <c r="B38" i="63"/>
  <c r="T41" i="4"/>
  <c r="A17" i="64"/>
  <c r="B46" i="50"/>
  <c r="B4" i="63"/>
  <c r="C46" i="36"/>
  <c r="D46" i="36" s="1"/>
  <c r="E46" i="36" s="1"/>
  <c r="F46" i="36" s="1"/>
  <c r="G46" i="36" s="1"/>
  <c r="C59" i="34"/>
  <c r="D59" i="34" s="1"/>
  <c r="E59" i="34" s="1"/>
  <c r="F59" i="34" s="1"/>
  <c r="G59" i="34" s="1"/>
  <c r="H59" i="34" s="1"/>
  <c r="C48" i="35"/>
  <c r="D48" i="35" s="1"/>
  <c r="E48" i="35" s="1"/>
  <c r="F48" i="35" s="1"/>
  <c r="G48" i="35" s="1"/>
  <c r="H48" i="35" s="1"/>
  <c r="I48" i="35" s="1"/>
  <c r="J48" i="35" s="1"/>
  <c r="K48" i="35" s="1"/>
  <c r="L48" i="35" s="1"/>
  <c r="M48" i="35" s="1"/>
  <c r="N48" i="35" s="1"/>
  <c r="O48" i="35" s="1"/>
  <c r="C67" i="40"/>
  <c r="P24" i="46"/>
  <c r="B68" i="40" s="1"/>
  <c r="P23" i="46"/>
  <c r="P22" i="46"/>
  <c r="D70" i="39"/>
  <c r="D72" i="39" s="1"/>
  <c r="K17" i="4"/>
  <c r="A22" i="51" s="1"/>
  <c r="B16" i="63" s="1"/>
  <c r="H63" i="46"/>
  <c r="O13" i="1"/>
  <c r="P13" i="1" s="1"/>
  <c r="K10" i="1"/>
  <c r="M10" i="1" s="1"/>
  <c r="S11" i="1"/>
  <c r="R11" i="1"/>
  <c r="S13" i="1"/>
  <c r="R13" i="1"/>
  <c r="B6" i="1"/>
  <c r="E6" i="1" s="1"/>
  <c r="B10" i="1"/>
  <c r="E10" i="1" s="1"/>
  <c r="S10" i="1"/>
  <c r="B8" i="1"/>
  <c r="E8" i="1"/>
  <c r="B12" i="1"/>
  <c r="E12" i="1"/>
  <c r="S12" i="1"/>
  <c r="K6" i="1"/>
  <c r="M6" i="1" s="1"/>
  <c r="O12" i="1"/>
  <c r="P12" i="1"/>
  <c r="G1" i="15"/>
  <c r="F66" i="36"/>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S34" i="39"/>
  <c r="W42" i="39"/>
  <c r="W36" i="39"/>
  <c r="W23" i="39"/>
  <c r="AC37"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F27" i="6"/>
  <c r="G30" i="6"/>
  <c r="G31" i="6" s="1"/>
  <c r="AZ16" i="3"/>
  <c r="H16" i="1"/>
  <c r="H70" i="46"/>
  <c r="A3" i="55"/>
  <c r="B56" i="63"/>
  <c r="E70" i="39"/>
  <c r="E72" i="39" s="1"/>
  <c r="E4" i="4"/>
  <c r="C4" i="4"/>
  <c r="G66" i="36"/>
  <c r="J18" i="36"/>
  <c r="AE8" i="1"/>
  <c r="AE7" i="1"/>
  <c r="AE6" i="1"/>
  <c r="W18" i="36"/>
  <c r="AC18" i="36"/>
  <c r="AG6" i="1"/>
  <c r="L20" i="6"/>
  <c r="L19" i="6"/>
  <c r="B21" i="55"/>
  <c r="B72" i="63" s="1"/>
  <c r="B20" i="55"/>
  <c r="B70" i="63" s="1"/>
  <c r="F70" i="39"/>
  <c r="G70" i="39" s="1"/>
  <c r="H70" i="39" s="1"/>
  <c r="H72" i="39" s="1"/>
  <c r="S7" i="1"/>
  <c r="S8" i="1"/>
  <c r="S9" i="1"/>
  <c r="F72" i="39"/>
  <c r="R9" i="1"/>
  <c r="R7" i="1"/>
  <c r="R8" i="1"/>
  <c r="C45" i="9"/>
  <c r="H14" i="66"/>
  <c r="B7" i="66" s="1"/>
  <c r="C44" i="9"/>
  <c r="O40" i="9"/>
  <c r="K31" i="9"/>
  <c r="K32" i="9" s="1"/>
  <c r="R7" i="54"/>
  <c r="B52" i="63" s="1"/>
  <c r="N69" i="9"/>
  <c r="K29" i="9"/>
  <c r="K30" i="9" s="1"/>
  <c r="M86" i="9"/>
  <c r="N86" i="9" s="1"/>
  <c r="M88" i="9"/>
  <c r="N88" i="9" s="1"/>
  <c r="M85" i="9"/>
  <c r="N85" i="9" s="1"/>
  <c r="N76" i="9"/>
  <c r="C46" i="9"/>
  <c r="F33" i="44"/>
  <c r="F31" i="15"/>
  <c r="F9" i="67"/>
  <c r="F13" i="67"/>
  <c r="E10" i="67"/>
  <c r="E14" i="67"/>
  <c r="B8" i="67"/>
  <c r="B10" i="67"/>
  <c r="F14" i="67"/>
  <c r="E13" i="67"/>
  <c r="F12" i="67"/>
  <c r="F8" i="67"/>
  <c r="B9" i="67"/>
  <c r="F11" i="44"/>
  <c r="F26" i="15"/>
  <c r="M25" i="44"/>
  <c r="L48" i="44"/>
  <c r="F42" i="15"/>
  <c r="F10" i="44"/>
  <c r="F40" i="15"/>
  <c r="F40" i="44"/>
  <c r="M23" i="15"/>
  <c r="F37" i="15"/>
  <c r="F45" i="44"/>
  <c r="F43" i="44"/>
  <c r="J15" i="15"/>
  <c r="M21" i="15"/>
  <c r="M6" i="15"/>
  <c r="M28" i="15"/>
  <c r="M26" i="15"/>
  <c r="M8" i="44"/>
  <c r="F7" i="15"/>
  <c r="F8" i="15"/>
  <c r="F9" i="15"/>
  <c r="L49" i="44"/>
  <c r="J17" i="44"/>
  <c r="J36" i="15"/>
  <c r="M28" i="44"/>
  <c r="M31" i="44"/>
  <c r="M30" i="44"/>
  <c r="F41" i="15"/>
  <c r="F37" i="44"/>
  <c r="F35" i="15"/>
  <c r="F11" i="67"/>
  <c r="E8" i="67"/>
  <c r="E12" i="67"/>
  <c r="B14" i="67"/>
  <c r="B12" i="67"/>
  <c r="F10" i="67"/>
  <c r="E9" i="67"/>
  <c r="B13" i="67"/>
  <c r="B11" i="67"/>
  <c r="E11" i="67"/>
  <c r="L48" i="15"/>
  <c r="M11" i="44"/>
  <c r="M24" i="15"/>
  <c r="F15" i="44"/>
  <c r="F6" i="15"/>
  <c r="M29" i="44"/>
  <c r="M26" i="44"/>
  <c r="M22" i="15"/>
  <c r="M8" i="15"/>
  <c r="F9" i="44"/>
  <c r="F43" i="15"/>
  <c r="M29" i="15"/>
  <c r="M24" i="44"/>
  <c r="F46" i="44"/>
  <c r="M23" i="44"/>
  <c r="F18" i="44"/>
  <c r="F39" i="44"/>
  <c r="M10" i="44"/>
  <c r="F28" i="44"/>
  <c r="L47" i="15"/>
  <c r="F38" i="15"/>
  <c r="F13" i="15"/>
  <c r="M27" i="15"/>
  <c r="F16" i="15"/>
  <c r="F36" i="15"/>
  <c r="F8" i="44"/>
  <c r="M9" i="15"/>
  <c r="F38" i="44"/>
  <c r="C19" i="44"/>
  <c r="C110" i="9" l="1"/>
  <c r="C18" i="9"/>
  <c r="E80" i="46"/>
  <c r="B78" i="46" s="1"/>
  <c r="C24" i="46" s="1"/>
  <c r="H10" i="48"/>
  <c r="F34" i="46"/>
  <c r="H5" i="48"/>
  <c r="M3" i="46"/>
  <c r="M9" i="46"/>
  <c r="N10" i="46"/>
  <c r="F47" i="46"/>
  <c r="H55" i="46" s="1"/>
  <c r="M6" i="46"/>
  <c r="F37" i="46"/>
  <c r="H113" i="46"/>
  <c r="G17" i="46"/>
  <c r="H69" i="46"/>
  <c r="H71" i="46"/>
  <c r="I17" i="46"/>
  <c r="F39" i="46"/>
  <c r="J17" i="46"/>
  <c r="F36" i="46"/>
  <c r="H54" i="46"/>
  <c r="F35" i="46"/>
  <c r="H17" i="46"/>
  <c r="H64" i="46"/>
  <c r="H77" i="46"/>
  <c r="H65" i="46"/>
  <c r="H76" i="46"/>
  <c r="H61" i="46"/>
  <c r="H13" i="48"/>
  <c r="M12" i="46"/>
  <c r="N11" i="46"/>
  <c r="F80" i="46" s="1"/>
  <c r="H87" i="46" s="1"/>
  <c r="N4" i="46"/>
  <c r="N3" i="46"/>
  <c r="N2" i="46"/>
  <c r="H8" i="48"/>
  <c r="H12" i="48"/>
  <c r="M22" i="44"/>
  <c r="F36" i="44"/>
  <c r="C28" i="15"/>
  <c r="C31" i="43"/>
  <c r="E7" i="52"/>
  <c r="G23" i="43"/>
  <c r="D26" i="44"/>
  <c r="G26" i="12"/>
  <c r="G28" i="12"/>
  <c r="B11" i="52"/>
  <c r="B22" i="52"/>
  <c r="H22" i="46"/>
  <c r="AJ11" i="46"/>
  <c r="AJ13" i="46" s="1"/>
  <c r="AH11" i="46"/>
  <c r="AH13" i="46" s="1"/>
  <c r="Z11" i="46"/>
  <c r="Z13" i="46" s="1"/>
  <c r="E22" i="46"/>
  <c r="M101" i="46"/>
  <c r="M106" i="46" s="1"/>
  <c r="I101" i="46"/>
  <c r="I102" i="46" s="1"/>
  <c r="AB11" i="46"/>
  <c r="AB13" i="46" s="1"/>
  <c r="AA11" i="46"/>
  <c r="AD11" i="46"/>
  <c r="AD13" i="46" s="1"/>
  <c r="AG11" i="46"/>
  <c r="AG13" i="46" s="1"/>
  <c r="H101" i="46"/>
  <c r="H104" i="46" s="1"/>
  <c r="D101" i="46"/>
  <c r="D104" i="46" s="1"/>
  <c r="G22" i="46"/>
  <c r="J22" i="46"/>
  <c r="Q16" i="1"/>
  <c r="F33" i="12" s="1"/>
  <c r="C34" i="12" s="1"/>
  <c r="D33" i="12" s="1"/>
  <c r="E58" i="39"/>
  <c r="E28" i="6"/>
  <c r="K14" i="1" s="1"/>
  <c r="M14" i="1" s="1"/>
  <c r="M16" i="1" s="1"/>
  <c r="L27" i="6"/>
  <c r="H106" i="46"/>
  <c r="M103" i="46"/>
  <c r="D103" i="46"/>
  <c r="I107" i="46"/>
  <c r="C101" i="46"/>
  <c r="G101" i="46"/>
  <c r="J101" i="46"/>
  <c r="B113" i="46"/>
  <c r="N104" i="45"/>
  <c r="L101" i="46"/>
  <c r="F22" i="46"/>
  <c r="E101" i="46"/>
  <c r="Z7" i="46"/>
  <c r="K101" i="46"/>
  <c r="N101" i="46"/>
  <c r="F101" i="46"/>
  <c r="AC11" i="46"/>
  <c r="AC13" i="46" s="1"/>
  <c r="Y11" i="46"/>
  <c r="Y13" i="46" s="1"/>
  <c r="AI11" i="46"/>
  <c r="AF11" i="46"/>
  <c r="AF13" i="46" s="1"/>
  <c r="AE11" i="46"/>
  <c r="BM5" i="3"/>
  <c r="F29" i="6" s="1"/>
  <c r="E29" i="6" s="1"/>
  <c r="K15" i="1" s="1"/>
  <c r="E4" i="52"/>
  <c r="B5" i="52"/>
  <c r="B14" i="52"/>
  <c r="G8" i="1"/>
  <c r="A9" i="51"/>
  <c r="B9" i="63" s="1"/>
  <c r="AP16" i="1"/>
  <c r="F22" i="11" s="1"/>
  <c r="E16" i="52"/>
  <c r="E8" i="52"/>
  <c r="B13" i="52"/>
  <c r="E21" i="52"/>
  <c r="E6" i="52"/>
  <c r="H72" i="46"/>
  <c r="E5" i="52"/>
  <c r="B6" i="52"/>
  <c r="B16" i="52"/>
  <c r="B23" i="52"/>
  <c r="E10" i="52"/>
  <c r="E9" i="52"/>
  <c r="B8" i="52"/>
  <c r="B4" i="52"/>
  <c r="B9" i="52"/>
  <c r="B10" i="52"/>
  <c r="B7" i="52"/>
  <c r="E11" i="52"/>
  <c r="H83" i="46"/>
  <c r="H60" i="46"/>
  <c r="H59" i="46"/>
  <c r="H74" i="46"/>
  <c r="H73" i="46"/>
  <c r="H66" i="46"/>
  <c r="H62" i="46"/>
  <c r="H11" i="48"/>
  <c r="H14" i="48"/>
  <c r="H15" i="48"/>
  <c r="H6" i="48"/>
  <c r="M5" i="46"/>
  <c r="M8" i="46"/>
  <c r="M4" i="46"/>
  <c r="N9" i="46"/>
  <c r="M2" i="46"/>
  <c r="N1" i="46"/>
  <c r="N8" i="46"/>
  <c r="N6" i="46"/>
  <c r="M11" i="46"/>
  <c r="C6" i="46" s="1"/>
  <c r="N5" i="46"/>
  <c r="M10" i="46"/>
  <c r="M1" i="46"/>
  <c r="H9" i="48"/>
  <c r="A4" i="51"/>
  <c r="B6" i="63" s="1"/>
  <c r="D67" i="40"/>
  <c r="E65" i="40"/>
  <c r="A25" i="51"/>
  <c r="B18" i="63" s="1"/>
  <c r="C15" i="12"/>
  <c r="C15" i="43"/>
  <c r="O19" i="46"/>
  <c r="P21" i="46"/>
  <c r="C29" i="12"/>
  <c r="G13" i="1"/>
  <c r="G16" i="1" s="1"/>
  <c r="F62" i="15"/>
  <c r="C61" i="15" s="1"/>
  <c r="C34" i="15"/>
  <c r="C36" i="44"/>
  <c r="F68" i="15"/>
  <c r="C8" i="44"/>
  <c r="F63" i="15"/>
  <c r="Q72" i="15"/>
  <c r="J54" i="44"/>
  <c r="I55" i="44"/>
  <c r="J60" i="44"/>
  <c r="L57" i="44"/>
  <c r="J58" i="44"/>
  <c r="J56" i="44" s="1"/>
  <c r="J59" i="44" s="1"/>
  <c r="Q52" i="44" s="1"/>
  <c r="J61" i="44"/>
  <c r="Q50" i="44" s="1"/>
  <c r="F65" i="15"/>
  <c r="F50" i="15"/>
  <c r="L58" i="15"/>
  <c r="L59" i="15"/>
  <c r="F49" i="15"/>
  <c r="M7" i="15"/>
  <c r="J6" i="15" s="1"/>
  <c r="C29" i="44"/>
  <c r="J22" i="44"/>
  <c r="J20" i="15"/>
  <c r="Q73" i="44"/>
  <c r="F70" i="15"/>
  <c r="F64" i="15"/>
  <c r="M9" i="44"/>
  <c r="F67" i="15"/>
  <c r="C6" i="15"/>
  <c r="L60" i="44"/>
  <c r="L59" i="44"/>
  <c r="C27" i="15"/>
  <c r="J57" i="15"/>
  <c r="J55" i="15" s="1"/>
  <c r="J58" i="15" s="1"/>
  <c r="Q51" i="15" s="1"/>
  <c r="I54" i="15"/>
  <c r="L56" i="15"/>
  <c r="H46" i="36"/>
  <c r="I46" i="36" s="1"/>
  <c r="J46" i="36" s="1"/>
  <c r="K46" i="36" s="1"/>
  <c r="L46" i="36" s="1"/>
  <c r="M46" i="36" s="1"/>
  <c r="N46" i="36" s="1"/>
  <c r="O46" i="36" s="1"/>
  <c r="H7" i="36"/>
  <c r="K52" i="37"/>
  <c r="L52" i="37" s="1"/>
  <c r="M52" i="37" s="1"/>
  <c r="N52" i="37" s="1"/>
  <c r="O52" i="37" s="1"/>
  <c r="H7" i="37"/>
  <c r="I59" i="34"/>
  <c r="J59" i="34" s="1"/>
  <c r="K59" i="34" s="1"/>
  <c r="L59" i="34" s="1"/>
  <c r="M59" i="34" s="1"/>
  <c r="N59" i="34" s="1"/>
  <c r="O59" i="34" s="1"/>
  <c r="H7" i="34"/>
  <c r="F18" i="11"/>
  <c r="C18" i="11" s="1"/>
  <c r="F24" i="43"/>
  <c r="C26" i="43" s="1"/>
  <c r="D24" i="43" s="1"/>
  <c r="O7" i="1"/>
  <c r="P7" i="1" s="1"/>
  <c r="O9" i="1"/>
  <c r="P9" i="1" s="1"/>
  <c r="O11" i="1"/>
  <c r="P11" i="1" s="1"/>
  <c r="O6" i="1"/>
  <c r="P6" i="1" s="1"/>
  <c r="K33" i="9"/>
  <c r="O41" i="9"/>
  <c r="R8" i="54" s="1"/>
  <c r="B54" i="63" s="1"/>
  <c r="I14" i="66"/>
  <c r="B8" i="66" s="1"/>
  <c r="M83" i="9"/>
  <c r="N83" i="9" s="1"/>
  <c r="N89" i="9" s="1"/>
  <c r="O89" i="9" s="1"/>
  <c r="M87" i="9"/>
  <c r="N87" i="9" s="1"/>
  <c r="M84" i="9"/>
  <c r="N84" i="9" s="1"/>
  <c r="G14" i="66"/>
  <c r="B6" i="66" s="1"/>
  <c r="O39" i="9"/>
  <c r="R6" i="54" s="1"/>
  <c r="B50" i="63" s="1"/>
  <c r="I70" i="39"/>
  <c r="G72" i="39"/>
  <c r="F7" i="37"/>
  <c r="J7" i="36"/>
  <c r="H7" i="35"/>
  <c r="J7" i="35"/>
  <c r="J7" i="34"/>
  <c r="E30" i="6"/>
  <c r="O10" i="1"/>
  <c r="P10" i="1" s="1"/>
  <c r="F7" i="36"/>
  <c r="I58" i="21"/>
  <c r="I58" i="33"/>
  <c r="J58" i="33" s="1"/>
  <c r="K58" i="33" s="1"/>
  <c r="L58" i="33" s="1"/>
  <c r="M58" i="33" s="1"/>
  <c r="N58" i="33" s="1"/>
  <c r="O58" i="33" s="1"/>
  <c r="H7" i="33"/>
  <c r="H47" i="46"/>
  <c r="AC34" i="40"/>
  <c r="W34" i="40"/>
  <c r="AA47" i="39"/>
  <c r="S47" i="39"/>
  <c r="AA41" i="40"/>
  <c r="S41" i="40"/>
  <c r="S41" i="33"/>
  <c r="AA41" i="33"/>
  <c r="AZ489" i="3"/>
  <c r="AZ497" i="3"/>
  <c r="AZ506" i="3"/>
  <c r="AZ518" i="3"/>
  <c r="S29" i="35"/>
  <c r="AA29" i="35"/>
  <c r="S11" i="34"/>
  <c r="AA11" i="34"/>
  <c r="AZ365" i="3"/>
  <c r="AZ377" i="3"/>
  <c r="AZ544" i="3"/>
  <c r="AZ572" i="3"/>
  <c r="AC25" i="35"/>
  <c r="W25" i="35"/>
  <c r="AC31" i="34"/>
  <c r="W31" i="34"/>
  <c r="AA46" i="33"/>
  <c r="S46" i="33"/>
  <c r="AC27" i="33"/>
  <c r="W27" i="33"/>
  <c r="AA45" i="21"/>
  <c r="S45" i="21"/>
  <c r="AA46" i="21"/>
  <c r="S46" i="21"/>
  <c r="AB46" i="21"/>
  <c r="U46" i="21"/>
  <c r="S44" i="34"/>
  <c r="AA44" i="34"/>
  <c r="U36" i="34"/>
  <c r="AB36" i="34"/>
  <c r="U16" i="35"/>
  <c r="AB16" i="35"/>
  <c r="AA22" i="35"/>
  <c r="S22" i="35"/>
  <c r="S9" i="21"/>
  <c r="AA9" i="21"/>
  <c r="S28" i="34"/>
  <c r="AA28" i="34"/>
  <c r="W36" i="34"/>
  <c r="AC36" i="34"/>
  <c r="D12" i="11"/>
  <c r="C12" i="11" s="1"/>
  <c r="H107" i="46"/>
  <c r="M109" i="46"/>
  <c r="C23" i="46" s="1"/>
  <c r="C21" i="46" s="1"/>
  <c r="D107" i="46"/>
  <c r="D105" i="46"/>
  <c r="I106" i="46"/>
  <c r="I103" i="46"/>
  <c r="I104" i="46"/>
  <c r="J7" i="37"/>
  <c r="F7" i="35"/>
  <c r="F7" i="34"/>
  <c r="AC13" i="40"/>
  <c r="AB23" i="40"/>
  <c r="AB25" i="39"/>
  <c r="AB14" i="40"/>
  <c r="AC40" i="40"/>
  <c r="W40" i="40"/>
  <c r="AB47" i="39"/>
  <c r="U47" i="39"/>
  <c r="AB41" i="40"/>
  <c r="U41" i="40"/>
  <c r="U16" i="39"/>
  <c r="AB16" i="39"/>
  <c r="AZ481" i="3"/>
  <c r="AZ515" i="3"/>
  <c r="AC29" i="35"/>
  <c r="W29" i="35"/>
  <c r="U29" i="39"/>
  <c r="AB29" i="39"/>
  <c r="U44" i="39"/>
  <c r="AB44" i="39"/>
  <c r="AB17" i="21"/>
  <c r="U17" i="21"/>
  <c r="AZ379" i="3"/>
  <c r="AA10" i="35"/>
  <c r="S10" i="35"/>
  <c r="AZ554" i="3"/>
  <c r="AZ562" i="3"/>
  <c r="AZ487" i="3"/>
  <c r="AZ505" i="3"/>
  <c r="U44" i="33"/>
  <c r="AB44" i="33"/>
  <c r="AB28" i="21"/>
  <c r="U28" i="21"/>
  <c r="AB32" i="33"/>
  <c r="U32" i="33"/>
  <c r="U33" i="21"/>
  <c r="AB33" i="21"/>
  <c r="U10" i="21"/>
  <c r="AB10" i="21"/>
  <c r="S43" i="21"/>
  <c r="AA43" i="21"/>
  <c r="W8" i="33"/>
  <c r="AC8" i="33"/>
  <c r="AC33" i="33"/>
  <c r="W33" i="33"/>
  <c r="AB38" i="33"/>
  <c r="U38" i="33"/>
  <c r="AC40" i="33"/>
  <c r="W40" i="33"/>
  <c r="AA34" i="34"/>
  <c r="S34" i="34"/>
  <c r="U39" i="34"/>
  <c r="AB39" i="34"/>
  <c r="AC44" i="33"/>
  <c r="W44" i="33"/>
  <c r="AC23" i="36"/>
  <c r="W23" i="36"/>
  <c r="AC23" i="35"/>
  <c r="W23" i="35"/>
  <c r="F11" i="35"/>
  <c r="H11" i="35"/>
  <c r="U8" i="36"/>
  <c r="AB8" i="36"/>
  <c r="AB26" i="36"/>
  <c r="U26" i="36"/>
  <c r="H25" i="37"/>
  <c r="J25" i="37"/>
  <c r="F25" i="37"/>
  <c r="F46" i="39"/>
  <c r="H46" i="39"/>
  <c r="J46" i="39"/>
  <c r="F16" i="40"/>
  <c r="J16" i="40"/>
  <c r="H33" i="40"/>
  <c r="F33" i="40"/>
  <c r="J33" i="40"/>
  <c r="AA40" i="33"/>
  <c r="S40" i="33"/>
  <c r="BL567" i="3"/>
  <c r="AZ567" i="3" s="1"/>
  <c r="BA566" i="3"/>
  <c r="AZ566" i="3" s="1"/>
  <c r="BA565" i="3"/>
  <c r="AZ565" i="3" s="1"/>
  <c r="BL563" i="3"/>
  <c r="AZ563" i="3" s="1"/>
  <c r="BL561" i="3"/>
  <c r="AZ561" i="3" s="1"/>
  <c r="BL560" i="3"/>
  <c r="BA560" i="3"/>
  <c r="BL552" i="3"/>
  <c r="AZ552" i="3" s="1"/>
  <c r="BL551" i="3"/>
  <c r="BA551" i="3"/>
  <c r="AZ551" i="3" s="1"/>
  <c r="BA547" i="3"/>
  <c r="AZ547" i="3" s="1"/>
  <c r="BL540" i="3"/>
  <c r="BA540" i="3"/>
  <c r="BA539" i="3"/>
  <c r="AZ539" i="3" s="1"/>
  <c r="BL538" i="3"/>
  <c r="BA538" i="3"/>
  <c r="AZ538" i="3" s="1"/>
  <c r="BL537" i="3"/>
  <c r="AZ537" i="3" s="1"/>
  <c r="BL536" i="3"/>
  <c r="AZ536" i="3" s="1"/>
  <c r="BA532" i="3"/>
  <c r="AZ532" i="3" s="1"/>
  <c r="BA526" i="3"/>
  <c r="AZ526" i="3" s="1"/>
  <c r="BA525" i="3"/>
  <c r="AZ525" i="3" s="1"/>
  <c r="BA524" i="3"/>
  <c r="AZ524" i="3" s="1"/>
  <c r="BL518" i="3"/>
  <c r="BA517" i="3"/>
  <c r="AZ517" i="3" s="1"/>
  <c r="BL515" i="3"/>
  <c r="BA514" i="3"/>
  <c r="AZ514" i="3" s="1"/>
  <c r="BL513" i="3"/>
  <c r="AZ513" i="3" s="1"/>
  <c r="BA512" i="3"/>
  <c r="AZ512" i="3" s="1"/>
  <c r="BL508" i="3"/>
  <c r="AZ508" i="3" s="1"/>
  <c r="BA507" i="3"/>
  <c r="AZ507" i="3" s="1"/>
  <c r="BL506" i="3"/>
  <c r="G506" i="3"/>
  <c r="BL502" i="3"/>
  <c r="BA502" i="3"/>
  <c r="AZ502" i="3" s="1"/>
  <c r="BL501" i="3"/>
  <c r="BA501" i="3"/>
  <c r="AZ501" i="3" s="1"/>
  <c r="BL500" i="3"/>
  <c r="AZ500" i="3" s="1"/>
  <c r="BA499" i="3"/>
  <c r="AZ499" i="3" s="1"/>
  <c r="BL498" i="3"/>
  <c r="BA498" i="3"/>
  <c r="AZ498" i="3" s="1"/>
  <c r="BL497" i="3"/>
  <c r="BA494" i="3"/>
  <c r="AZ494" i="3" s="1"/>
  <c r="G494" i="3"/>
  <c r="BA490" i="3"/>
  <c r="AZ490" i="3" s="1"/>
  <c r="BL489" i="3"/>
  <c r="BA484" i="3"/>
  <c r="AZ484" i="3" s="1"/>
  <c r="BL483" i="3"/>
  <c r="AZ483" i="3" s="1"/>
  <c r="BJ5" i="3"/>
  <c r="G14" i="3"/>
  <c r="AC5" i="3"/>
  <c r="S36" i="37"/>
  <c r="AA36" i="37"/>
  <c r="W41" i="34"/>
  <c r="AC41" i="34"/>
  <c r="AZ492" i="3"/>
  <c r="AZ558" i="3"/>
  <c r="AZ493" i="3"/>
  <c r="AZ559" i="3"/>
  <c r="W27" i="37"/>
  <c r="AC27" i="37"/>
  <c r="AA27" i="37"/>
  <c r="S27" i="37"/>
  <c r="U35" i="35"/>
  <c r="AB35" i="35"/>
  <c r="AC35" i="35"/>
  <c r="W35" i="35"/>
  <c r="AA45" i="34"/>
  <c r="S45" i="34"/>
  <c r="U45" i="34"/>
  <c r="AB45" i="34"/>
  <c r="AC46" i="33"/>
  <c r="W46" i="33"/>
  <c r="U40" i="37"/>
  <c r="AB40" i="37"/>
  <c r="AC37" i="37"/>
  <c r="W37" i="37"/>
  <c r="W11" i="36"/>
  <c r="AC11" i="36"/>
  <c r="W29" i="33"/>
  <c r="AC29" i="33"/>
  <c r="S27" i="33"/>
  <c r="AA27" i="33"/>
  <c r="U13" i="21"/>
  <c r="AB13" i="21"/>
  <c r="U14" i="21"/>
  <c r="AB14" i="21"/>
  <c r="W37" i="33"/>
  <c r="AC37" i="33"/>
  <c r="S10" i="36"/>
  <c r="U10" i="35"/>
  <c r="AB10" i="35"/>
  <c r="U31" i="35"/>
  <c r="U22" i="36"/>
  <c r="AA19" i="21"/>
  <c r="S19" i="21"/>
  <c r="W33" i="21"/>
  <c r="AC33" i="21"/>
  <c r="AB9" i="21"/>
  <c r="U9" i="21"/>
  <c r="U34" i="21"/>
  <c r="AB34" i="21"/>
  <c r="H5" i="3"/>
  <c r="BL572" i="3"/>
  <c r="BA571" i="3"/>
  <c r="AZ571" i="3" s="1"/>
  <c r="BL570" i="3"/>
  <c r="AZ570" i="3" s="1"/>
  <c r="BG5" i="3"/>
  <c r="F12" i="21"/>
  <c r="H12" i="21"/>
  <c r="H30" i="21"/>
  <c r="F30" i="21"/>
  <c r="J30" i="21"/>
  <c r="AB33" i="33"/>
  <c r="U33" i="33"/>
  <c r="AA38" i="33"/>
  <c r="S38" i="33"/>
  <c r="AC39" i="34"/>
  <c r="W39" i="34"/>
  <c r="J27" i="34"/>
  <c r="H27" i="34"/>
  <c r="F27" i="34"/>
  <c r="AA9" i="35"/>
  <c r="S9" i="35"/>
  <c r="J12" i="35"/>
  <c r="H14" i="33"/>
  <c r="F14" i="33"/>
  <c r="J14" i="33"/>
  <c r="H30" i="33"/>
  <c r="F30" i="33"/>
  <c r="J30" i="33"/>
  <c r="U45" i="33"/>
  <c r="AB45" i="33"/>
  <c r="J34" i="35"/>
  <c r="H34" i="35"/>
  <c r="F34" i="35"/>
  <c r="H12" i="36"/>
  <c r="F23" i="36"/>
  <c r="H11" i="36"/>
  <c r="F11" i="36"/>
  <c r="F32" i="36"/>
  <c r="H32" i="36"/>
  <c r="J32" i="36"/>
  <c r="AC39" i="37"/>
  <c r="W39" i="37"/>
  <c r="H39" i="39"/>
  <c r="J39" i="39"/>
  <c r="F14" i="40"/>
  <c r="J14" i="40"/>
  <c r="H35" i="40"/>
  <c r="F35" i="40"/>
  <c r="J35" i="40"/>
  <c r="U41" i="21"/>
  <c r="AB41" i="21"/>
  <c r="AB34" i="37"/>
  <c r="U34" i="37"/>
  <c r="BL569" i="3"/>
  <c r="AZ569" i="3" s="1"/>
  <c r="BA568" i="3"/>
  <c r="AZ568" i="3" s="1"/>
  <c r="BL558" i="3"/>
  <c r="BA557" i="3"/>
  <c r="AZ557" i="3" s="1"/>
  <c r="BL556" i="3"/>
  <c r="BA556" i="3"/>
  <c r="AZ556" i="3" s="1"/>
  <c r="BA555" i="3"/>
  <c r="AZ555" i="3" s="1"/>
  <c r="BL553" i="3"/>
  <c r="AZ553" i="3" s="1"/>
  <c r="BL550" i="3"/>
  <c r="BA550" i="3"/>
  <c r="AZ550" i="3" s="1"/>
  <c r="BA549" i="3"/>
  <c r="AZ549" i="3" s="1"/>
  <c r="BA548" i="3"/>
  <c r="AZ548" i="3" s="1"/>
  <c r="BA546" i="3"/>
  <c r="AZ546" i="3" s="1"/>
  <c r="BA545" i="3"/>
  <c r="AZ545" i="3" s="1"/>
  <c r="BL543" i="3"/>
  <c r="AZ543" i="3" s="1"/>
  <c r="BL542" i="3"/>
  <c r="BA542" i="3"/>
  <c r="G542" i="3"/>
  <c r="BA541" i="3"/>
  <c r="AZ541" i="3" s="1"/>
  <c r="G536" i="3"/>
  <c r="BL535" i="3"/>
  <c r="BA535" i="3"/>
  <c r="AZ535" i="3" s="1"/>
  <c r="BA534" i="3"/>
  <c r="AZ534" i="3" s="1"/>
  <c r="BL533" i="3"/>
  <c r="BA533" i="3"/>
  <c r="BL531" i="3"/>
  <c r="BA531" i="3"/>
  <c r="BL530" i="3"/>
  <c r="AZ530" i="3" s="1"/>
  <c r="BL529" i="3"/>
  <c r="AZ529" i="3" s="1"/>
  <c r="BL528" i="3"/>
  <c r="AZ528" i="3" s="1"/>
  <c r="BA527" i="3"/>
  <c r="AZ527" i="3" s="1"/>
  <c r="G524" i="3"/>
  <c r="BL523" i="3"/>
  <c r="AZ523" i="3" s="1"/>
  <c r="BA522" i="3"/>
  <c r="AZ522" i="3" s="1"/>
  <c r="BL521" i="3"/>
  <c r="AZ521" i="3" s="1"/>
  <c r="BL520" i="3"/>
  <c r="AZ520" i="3" s="1"/>
  <c r="BL519" i="3"/>
  <c r="BA519" i="3"/>
  <c r="AZ519" i="3" s="1"/>
  <c r="G512" i="3"/>
  <c r="BL510" i="3"/>
  <c r="AZ510" i="3" s="1"/>
  <c r="BA509" i="3"/>
  <c r="AZ509" i="3" s="1"/>
  <c r="BA504" i="3"/>
  <c r="AZ504" i="3" s="1"/>
  <c r="BL496" i="3"/>
  <c r="AZ496" i="3" s="1"/>
  <c r="BL495" i="3"/>
  <c r="AZ495" i="3" s="1"/>
  <c r="G489" i="3"/>
  <c r="BL488" i="3"/>
  <c r="AZ488" i="3" s="1"/>
  <c r="BA486" i="3"/>
  <c r="AZ486" i="3" s="1"/>
  <c r="G481" i="3"/>
  <c r="BA20" i="3"/>
  <c r="AZ20" i="3" s="1"/>
  <c r="BL19" i="3"/>
  <c r="BL5" i="3" s="1"/>
  <c r="BA19" i="3"/>
  <c r="BE5" i="3"/>
  <c r="BA18" i="3"/>
  <c r="K141" i="21"/>
  <c r="K144" i="21"/>
  <c r="K145" i="21"/>
  <c r="B85" i="46"/>
  <c r="C27" i="40"/>
  <c r="A30" i="51"/>
  <c r="B22" i="63" s="1"/>
  <c r="A30" i="64"/>
  <c r="AZ396" i="3"/>
  <c r="AZ400" i="3"/>
  <c r="AZ409" i="3"/>
  <c r="AZ429" i="3"/>
  <c r="AZ435" i="3"/>
  <c r="AZ448" i="3"/>
  <c r="AZ453" i="3"/>
  <c r="AZ464" i="3"/>
  <c r="AZ468" i="3"/>
  <c r="AZ480" i="3"/>
  <c r="AZ210" i="3"/>
  <c r="AZ214" i="3"/>
  <c r="AZ226" i="3"/>
  <c r="AZ230" i="3"/>
  <c r="AZ242" i="3"/>
  <c r="AZ246" i="3"/>
  <c r="AZ258" i="3"/>
  <c r="AZ262" i="3"/>
  <c r="AZ272" i="3"/>
  <c r="AZ277" i="3"/>
  <c r="AZ288" i="3"/>
  <c r="AZ293" i="3"/>
  <c r="AZ296" i="3"/>
  <c r="AZ125" i="3"/>
  <c r="AZ128" i="3"/>
  <c r="AZ141" i="3"/>
  <c r="AZ144" i="3"/>
  <c r="AZ155" i="3"/>
  <c r="AZ168" i="3"/>
  <c r="AZ171" i="3"/>
  <c r="AZ186" i="3"/>
  <c r="AZ194" i="3"/>
  <c r="AZ204" i="3"/>
  <c r="AZ22" i="3"/>
  <c r="AZ26" i="3"/>
  <c r="I21" i="57"/>
  <c r="D1" i="57" s="1"/>
  <c r="E10" i="57" s="1"/>
  <c r="Y13" i="59"/>
  <c r="Z13" i="59" s="1"/>
  <c r="C14" i="59"/>
  <c r="AA11" i="59"/>
  <c r="AA14" i="59"/>
  <c r="AA12" i="59"/>
  <c r="AA17" i="59"/>
  <c r="E18" i="59"/>
  <c r="E19" i="59" s="1"/>
  <c r="E20" i="59" s="1"/>
  <c r="U20" i="59" s="1"/>
  <c r="AA22" i="59"/>
  <c r="AA19" i="59"/>
  <c r="C12" i="59"/>
  <c r="Y5" i="59"/>
  <c r="Z5" i="59" s="1"/>
  <c r="Y9" i="59"/>
  <c r="Z9" i="59" s="1"/>
  <c r="Y10" i="59"/>
  <c r="Z10" i="59" s="1"/>
  <c r="Y11" i="59"/>
  <c r="Z11" i="59" s="1"/>
  <c r="Y12" i="59"/>
  <c r="Z12" i="59" s="1"/>
  <c r="Y3" i="59"/>
  <c r="Z3" i="59" s="1"/>
  <c r="Y6" i="59"/>
  <c r="Z6" i="59" s="1"/>
  <c r="F12" i="59"/>
  <c r="AB12" i="59"/>
  <c r="AB9" i="59"/>
  <c r="AB11" i="59"/>
  <c r="AB6" i="59"/>
  <c r="X17" i="59"/>
  <c r="AA5" i="59"/>
  <c r="AA6" i="59"/>
  <c r="AA3" i="59"/>
  <c r="AB5" i="59"/>
  <c r="AB3" i="59"/>
  <c r="AZ45" i="3"/>
  <c r="AZ49" i="3"/>
  <c r="AZ52" i="3"/>
  <c r="AZ54" i="3"/>
  <c r="AZ58" i="3"/>
  <c r="AZ76" i="3"/>
  <c r="AZ80" i="3"/>
  <c r="AZ83" i="3"/>
  <c r="AZ96" i="3"/>
  <c r="AZ100" i="3"/>
  <c r="AZ103" i="3"/>
  <c r="AZ105" i="3"/>
  <c r="AZ109" i="3"/>
  <c r="J53" i="15"/>
  <c r="B65" i="46"/>
  <c r="B54" i="46"/>
  <c r="AA27" i="40"/>
  <c r="S27" i="40"/>
  <c r="AA21" i="34"/>
  <c r="S21" i="34"/>
  <c r="AA18" i="35"/>
  <c r="S18" i="35"/>
  <c r="T20" i="59"/>
  <c r="T28" i="59"/>
  <c r="C40" i="59"/>
  <c r="C48" i="59"/>
  <c r="D55" i="59"/>
  <c r="C50" i="59"/>
  <c r="D51" i="59"/>
  <c r="D46" i="59"/>
  <c r="D38" i="59"/>
  <c r="E15" i="59"/>
  <c r="E16" i="59" s="1"/>
  <c r="U16" i="59" s="1"/>
  <c r="X11" i="59"/>
  <c r="C22" i="59"/>
  <c r="Y21" i="59"/>
  <c r="Z21" i="59" s="1"/>
  <c r="N52" i="59"/>
  <c r="B51" i="59"/>
  <c r="S52" i="59"/>
  <c r="V52" i="59"/>
  <c r="F51" i="59"/>
  <c r="Q52" i="59"/>
  <c r="T60" i="59"/>
  <c r="D60" i="59"/>
  <c r="AA21" i="59"/>
  <c r="X20" i="59"/>
  <c r="Y8" i="59"/>
  <c r="Z8" i="59" s="1"/>
  <c r="AB8" i="59"/>
  <c r="B21" i="63"/>
  <c r="N4" i="63"/>
  <c r="AA8" i="59"/>
  <c r="AA9" i="59"/>
  <c r="X5" i="59"/>
  <c r="X9" i="59"/>
  <c r="Y7" i="59"/>
  <c r="Z7" i="59" s="1"/>
  <c r="AA7" i="59"/>
  <c r="AB7" i="59"/>
  <c r="B14" i="59"/>
  <c r="B15" i="59" s="1"/>
  <c r="B16" i="59" s="1"/>
  <c r="S16" i="59" s="1"/>
  <c r="X10" i="59"/>
  <c r="X12" i="59"/>
  <c r="Y14" i="59"/>
  <c r="Z14" i="59" s="1"/>
  <c r="Y18" i="59"/>
  <c r="Z18" i="59" s="1"/>
  <c r="Y20" i="59"/>
  <c r="Z20" i="59" s="1"/>
  <c r="X21" i="59"/>
  <c r="B22" i="59"/>
  <c r="B23" i="59" s="1"/>
  <c r="B24" i="59" s="1"/>
  <c r="S24" i="59" s="1"/>
  <c r="S12" i="59"/>
  <c r="B11" i="59"/>
  <c r="B10" i="59" s="1"/>
  <c r="AI10" i="46"/>
  <c r="AI12" i="46"/>
  <c r="AE10" i="46"/>
  <c r="AE12" i="46"/>
  <c r="AA10" i="46"/>
  <c r="AA12" i="46"/>
  <c r="AA13" i="46" s="1"/>
  <c r="N1" i="65"/>
  <c r="H1" i="65"/>
  <c r="C7" i="59"/>
  <c r="T8" i="59"/>
  <c r="AB17" i="59"/>
  <c r="Y16" i="59"/>
  <c r="Z16" i="59" s="1"/>
  <c r="X13" i="59"/>
  <c r="F5" i="59"/>
  <c r="X3" i="59"/>
  <c r="AA13" i="59"/>
  <c r="AB14" i="59"/>
  <c r="Y15" i="59"/>
  <c r="Z15" i="59" s="1"/>
  <c r="AB16" i="59"/>
  <c r="Y17" i="59"/>
  <c r="Z17" i="59" s="1"/>
  <c r="X18" i="59"/>
  <c r="U12" i="59"/>
  <c r="E11" i="59"/>
  <c r="E10" i="59" s="1"/>
  <c r="K77" i="9"/>
  <c r="K79" i="9" s="1"/>
  <c r="K81" i="9" s="1"/>
  <c r="X8" i="59"/>
  <c r="X6" i="59"/>
  <c r="X7" i="59"/>
  <c r="F58" i="15"/>
  <c r="M17" i="15"/>
  <c r="M19" i="44"/>
  <c r="C17" i="15"/>
  <c r="C18" i="44"/>
  <c r="C16" i="15"/>
  <c r="D18" i="9" l="1"/>
  <c r="M44" i="9" s="1"/>
  <c r="M43" i="9"/>
  <c r="H49" i="46"/>
  <c r="H84" i="46"/>
  <c r="H82" i="46"/>
  <c r="C16" i="46"/>
  <c r="D5" i="46" s="1"/>
  <c r="H52" i="46"/>
  <c r="H48" i="46"/>
  <c r="H50" i="46"/>
  <c r="H53" i="46"/>
  <c r="H51" i="46"/>
  <c r="C5" i="46"/>
  <c r="H81" i="46"/>
  <c r="H80" i="46"/>
  <c r="H86" i="46"/>
  <c r="H85" i="46"/>
  <c r="M102" i="46"/>
  <c r="H103" i="46"/>
  <c r="K16" i="1"/>
  <c r="D22" i="46"/>
  <c r="AE13" i="46"/>
  <c r="AI13" i="46"/>
  <c r="H102" i="46"/>
  <c r="H109" i="46"/>
  <c r="H105" i="46"/>
  <c r="M107" i="46"/>
  <c r="M105" i="46"/>
  <c r="M104" i="46"/>
  <c r="D106" i="46"/>
  <c r="D109" i="46"/>
  <c r="D102" i="46"/>
  <c r="I105" i="46"/>
  <c r="I109" i="46"/>
  <c r="N103" i="46"/>
  <c r="N104" i="46"/>
  <c r="N106" i="46"/>
  <c r="N109" i="46"/>
  <c r="N102" i="46"/>
  <c r="N105" i="46"/>
  <c r="N107" i="46"/>
  <c r="J107" i="46"/>
  <c r="J106" i="46"/>
  <c r="J104" i="46"/>
  <c r="J105" i="46"/>
  <c r="J109" i="46"/>
  <c r="J102" i="46"/>
  <c r="J103" i="46"/>
  <c r="C104" i="46"/>
  <c r="C107" i="46"/>
  <c r="C109" i="46"/>
  <c r="C103" i="46"/>
  <c r="C106" i="46"/>
  <c r="C105" i="46"/>
  <c r="C102" i="46"/>
  <c r="O14" i="1"/>
  <c r="P14" i="1" s="1"/>
  <c r="P16" i="1" s="1"/>
  <c r="C13" i="12" s="1"/>
  <c r="F106" i="46"/>
  <c r="F103" i="46"/>
  <c r="F104" i="46"/>
  <c r="F109" i="46"/>
  <c r="F102" i="46"/>
  <c r="F107" i="46"/>
  <c r="F105" i="46"/>
  <c r="K107" i="46"/>
  <c r="K102" i="46"/>
  <c r="K106" i="46"/>
  <c r="K109" i="46"/>
  <c r="K104" i="46"/>
  <c r="K103" i="46"/>
  <c r="K105" i="46"/>
  <c r="E103" i="46"/>
  <c r="E107" i="46"/>
  <c r="E102" i="46"/>
  <c r="E104" i="46"/>
  <c r="E105" i="46"/>
  <c r="E106" i="46"/>
  <c r="E109" i="46"/>
  <c r="L106" i="46"/>
  <c r="L107" i="46"/>
  <c r="L109" i="46"/>
  <c r="L103" i="46"/>
  <c r="L105" i="46"/>
  <c r="L102" i="46"/>
  <c r="L104" i="46"/>
  <c r="I115" i="46"/>
  <c r="J115" i="46" s="1"/>
  <c r="K115" i="46" s="1"/>
  <c r="L115" i="46" s="1"/>
  <c r="M115" i="46" s="1"/>
  <c r="B117" i="46"/>
  <c r="C117" i="46" s="1"/>
  <c r="D115" i="46"/>
  <c r="E115" i="46" s="1"/>
  <c r="F115" i="46" s="1"/>
  <c r="G115" i="46" s="1"/>
  <c r="H115" i="46" s="1"/>
  <c r="I117" i="46"/>
  <c r="J117" i="46" s="1"/>
  <c r="K117" i="46" s="1"/>
  <c r="L117" i="46" s="1"/>
  <c r="M117" i="46" s="1"/>
  <c r="B116" i="46"/>
  <c r="C116" i="46" s="1"/>
  <c r="D117" i="46"/>
  <c r="E117" i="46" s="1"/>
  <c r="F117" i="46" s="1"/>
  <c r="G117" i="46" s="1"/>
  <c r="H117" i="46" s="1"/>
  <c r="B118" i="46"/>
  <c r="C118" i="46" s="1"/>
  <c r="D118" i="46"/>
  <c r="E118" i="46" s="1"/>
  <c r="F118" i="46" s="1"/>
  <c r="B115" i="46"/>
  <c r="I116" i="46"/>
  <c r="J116" i="46" s="1"/>
  <c r="K116" i="46" s="1"/>
  <c r="L116" i="46" s="1"/>
  <c r="M116" i="46" s="1"/>
  <c r="I118" i="46"/>
  <c r="J118" i="46" s="1"/>
  <c r="K118" i="46" s="1"/>
  <c r="L118" i="46" s="1"/>
  <c r="M118" i="46" s="1"/>
  <c r="D116" i="46"/>
  <c r="E116" i="46" s="1"/>
  <c r="F116" i="46" s="1"/>
  <c r="G116" i="46" s="1"/>
  <c r="H116" i="46" s="1"/>
  <c r="G118" i="46"/>
  <c r="H118" i="46" s="1"/>
  <c r="G107" i="46"/>
  <c r="G109" i="46"/>
  <c r="G105" i="46"/>
  <c r="G104" i="46"/>
  <c r="G102" i="46"/>
  <c r="G103" i="46"/>
  <c r="G106" i="46"/>
  <c r="F30" i="6"/>
  <c r="F31" i="6" s="1"/>
  <c r="C48" i="15"/>
  <c r="L47" i="44"/>
  <c r="J12" i="40"/>
  <c r="H12" i="40"/>
  <c r="F12" i="40"/>
  <c r="H12" i="39"/>
  <c r="U12" i="39" s="1"/>
  <c r="J12" i="39"/>
  <c r="AC12" i="39" s="1"/>
  <c r="F12" i="39"/>
  <c r="S12" i="39" s="1"/>
  <c r="E67" i="40"/>
  <c r="F65" i="40"/>
  <c r="F7" i="33"/>
  <c r="J7" i="33"/>
  <c r="C6" i="59"/>
  <c r="D7" i="59"/>
  <c r="B50" i="59"/>
  <c r="N51" i="59"/>
  <c r="D40" i="59"/>
  <c r="T40" i="59"/>
  <c r="F11" i="59"/>
  <c r="F10" i="59" s="1"/>
  <c r="V12" i="59"/>
  <c r="C11" i="59"/>
  <c r="D12" i="59"/>
  <c r="T12" i="59"/>
  <c r="D14" i="59"/>
  <c r="C15" i="59"/>
  <c r="E14" i="6"/>
  <c r="E15" i="6"/>
  <c r="E13" i="6"/>
  <c r="E12" i="6"/>
  <c r="E11" i="6"/>
  <c r="E10" i="6"/>
  <c r="W35" i="40"/>
  <c r="AC35" i="40"/>
  <c r="AB35" i="40"/>
  <c r="U35" i="40"/>
  <c r="AA14" i="40"/>
  <c r="S14" i="40"/>
  <c r="AB39" i="39"/>
  <c r="U39" i="39"/>
  <c r="AB32" i="36"/>
  <c r="U32" i="36"/>
  <c r="AA11" i="36"/>
  <c r="S11" i="36"/>
  <c r="AA23" i="36"/>
  <c r="S23" i="36"/>
  <c r="S34" i="35"/>
  <c r="AA34" i="35"/>
  <c r="AC34" i="35"/>
  <c r="W34" i="35"/>
  <c r="S30" i="33"/>
  <c r="AA30" i="33"/>
  <c r="AC14" i="33"/>
  <c r="W14" i="33"/>
  <c r="U14" i="33"/>
  <c r="AB14" i="33"/>
  <c r="S27" i="34"/>
  <c r="AA27" i="34"/>
  <c r="W27" i="34"/>
  <c r="AC27" i="34"/>
  <c r="S30" i="21"/>
  <c r="AA30" i="21"/>
  <c r="AB12" i="21"/>
  <c r="U12" i="21"/>
  <c r="AC33" i="40"/>
  <c r="W33" i="40"/>
  <c r="AB33" i="40"/>
  <c r="U33" i="40"/>
  <c r="AA16" i="40"/>
  <c r="S16" i="40"/>
  <c r="U46" i="39"/>
  <c r="AB46" i="39"/>
  <c r="AA25" i="37"/>
  <c r="S25" i="37"/>
  <c r="U25" i="37"/>
  <c r="AB25" i="37"/>
  <c r="S11" i="35"/>
  <c r="AA11" i="35"/>
  <c r="S7" i="34"/>
  <c r="AA7" i="34"/>
  <c r="R49" i="34" s="1"/>
  <c r="W7" i="37"/>
  <c r="AC7" i="37"/>
  <c r="V42" i="37" s="1"/>
  <c r="I42" i="37" s="1"/>
  <c r="AA7" i="33"/>
  <c r="R48" i="33" s="1"/>
  <c r="S7" i="33"/>
  <c r="AC7" i="33"/>
  <c r="V48" i="33" s="1"/>
  <c r="I48" i="33" s="1"/>
  <c r="W7" i="33"/>
  <c r="AA7" i="36"/>
  <c r="R36" i="36" s="1"/>
  <c r="S7" i="36"/>
  <c r="AC7" i="35"/>
  <c r="V38" i="35" s="1"/>
  <c r="I38" i="35" s="1"/>
  <c r="W7" i="35"/>
  <c r="W7" i="36"/>
  <c r="AC7" i="36"/>
  <c r="V36" i="36" s="1"/>
  <c r="I36" i="36" s="1"/>
  <c r="AB12" i="39"/>
  <c r="AB7" i="34"/>
  <c r="T49" i="34" s="1"/>
  <c r="G49" i="34" s="1"/>
  <c r="U7" i="34"/>
  <c r="AB7" i="37"/>
  <c r="T42" i="37" s="1"/>
  <c r="G42" i="37" s="1"/>
  <c r="U7" i="37"/>
  <c r="AB7" i="36"/>
  <c r="T36" i="36" s="1"/>
  <c r="G36" i="36" s="1"/>
  <c r="U7" i="36"/>
  <c r="Q75" i="44"/>
  <c r="Q62" i="44"/>
  <c r="J8" i="44"/>
  <c r="Q62" i="15"/>
  <c r="Q75" i="15"/>
  <c r="F50" i="59"/>
  <c r="Q51" i="59"/>
  <c r="D22" i="59"/>
  <c r="C23" i="59"/>
  <c r="D50" i="59"/>
  <c r="O49" i="59"/>
  <c r="O50" i="59"/>
  <c r="D48" i="59"/>
  <c r="T48" i="59"/>
  <c r="F1" i="15"/>
  <c r="Q53" i="15"/>
  <c r="AZ18" i="3"/>
  <c r="BA5" i="3"/>
  <c r="E27" i="6" s="1"/>
  <c r="AZ19" i="3"/>
  <c r="AZ531" i="3"/>
  <c r="AZ533" i="3"/>
  <c r="AZ542" i="3"/>
  <c r="AA35" i="40"/>
  <c r="S35" i="40"/>
  <c r="AC14" i="40"/>
  <c r="W14" i="40"/>
  <c r="W39" i="39"/>
  <c r="AC39" i="39"/>
  <c r="W32" i="36"/>
  <c r="AC32" i="36"/>
  <c r="S32" i="36"/>
  <c r="AA32" i="36"/>
  <c r="U11" i="36"/>
  <c r="AB11" i="36"/>
  <c r="U12" i="36"/>
  <c r="AB12" i="36"/>
  <c r="U34" i="35"/>
  <c r="AB34" i="35"/>
  <c r="W30" i="33"/>
  <c r="AC30" i="33"/>
  <c r="AB30" i="33"/>
  <c r="U30" i="33"/>
  <c r="AA14" i="33"/>
  <c r="S14" i="33"/>
  <c r="W12" i="35"/>
  <c r="AC12" i="35"/>
  <c r="AB27" i="34"/>
  <c r="U27" i="34"/>
  <c r="W30" i="21"/>
  <c r="AC30" i="21"/>
  <c r="U30" i="21"/>
  <c r="AB30" i="21"/>
  <c r="S12" i="21"/>
  <c r="AA12" i="21"/>
  <c r="G5" i="3"/>
  <c r="B3" i="3" s="1"/>
  <c r="E14" i="3"/>
  <c r="E494" i="3"/>
  <c r="AZ540" i="3"/>
  <c r="AZ560" i="3"/>
  <c r="AA33" i="40"/>
  <c r="S33" i="40"/>
  <c r="AC16" i="40"/>
  <c r="W16" i="40"/>
  <c r="AC46" i="39"/>
  <c r="W46" i="39"/>
  <c r="AA46" i="39"/>
  <c r="S46" i="39"/>
  <c r="AC25" i="37"/>
  <c r="W25" i="37"/>
  <c r="U11" i="35"/>
  <c r="AB11" i="35"/>
  <c r="AA7" i="35"/>
  <c r="R38" i="35" s="1"/>
  <c r="S7" i="35"/>
  <c r="AB7" i="33"/>
  <c r="T48" i="33" s="1"/>
  <c r="G48" i="33" s="1"/>
  <c r="U7" i="33"/>
  <c r="J58" i="21"/>
  <c r="W7" i="34"/>
  <c r="AC7" i="34"/>
  <c r="V49" i="34" s="1"/>
  <c r="I49" i="34" s="1"/>
  <c r="AB7" i="35"/>
  <c r="T38" i="35" s="1"/>
  <c r="G38" i="35" s="1"/>
  <c r="U7" i="35"/>
  <c r="AA7" i="37"/>
  <c r="R42" i="37" s="1"/>
  <c r="S7" i="37"/>
  <c r="J70" i="39"/>
  <c r="I72" i="39"/>
  <c r="K34" i="9"/>
  <c r="C13" i="43"/>
  <c r="N16" i="1"/>
  <c r="C29" i="43" s="1"/>
  <c r="L16" i="1"/>
  <c r="Q63" i="44"/>
  <c r="Q76" i="44"/>
  <c r="Q74" i="15"/>
  <c r="Q61" i="15"/>
  <c r="Q54" i="44"/>
  <c r="F1" i="44"/>
  <c r="N3" i="65"/>
  <c r="N7" i="65"/>
  <c r="I7" i="65"/>
  <c r="I6" i="65"/>
  <c r="N4" i="65"/>
  <c r="I3" i="65"/>
  <c r="J5" i="65"/>
  <c r="N6" i="65"/>
  <c r="I4" i="65"/>
  <c r="I5" i="65"/>
  <c r="J3" i="65"/>
  <c r="N5" i="65"/>
  <c r="J6" i="65"/>
  <c r="J7" i="65"/>
  <c r="J4" i="65"/>
  <c r="AA12" i="39" l="1"/>
  <c r="O16" i="1"/>
  <c r="E16" i="6"/>
  <c r="S5" i="46"/>
  <c r="S4" i="46"/>
  <c r="S2" i="46"/>
  <c r="S3" i="46"/>
  <c r="S7" i="46"/>
  <c r="S6" i="46"/>
  <c r="W12" i="39"/>
  <c r="C115" i="46"/>
  <c r="D113" i="46"/>
  <c r="G65" i="40"/>
  <c r="F67" i="40"/>
  <c r="U12" i="40"/>
  <c r="AB12" i="40"/>
  <c r="AA12" i="40"/>
  <c r="S12" i="40"/>
  <c r="W12" i="40"/>
  <c r="AC12" i="40"/>
  <c r="I1" i="65"/>
  <c r="C4" i="65"/>
  <c r="B39" i="1" s="1"/>
  <c r="J1" i="65"/>
  <c r="E20" i="46"/>
  <c r="J72" i="39"/>
  <c r="K70" i="39"/>
  <c r="E42" i="37"/>
  <c r="R43" i="37"/>
  <c r="G43" i="35"/>
  <c r="H43" i="35" s="1"/>
  <c r="G42" i="35"/>
  <c r="H42" i="3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283" i="3"/>
  <c r="E23" i="3"/>
  <c r="E250" i="3"/>
  <c r="E265" i="3"/>
  <c r="E381" i="3"/>
  <c r="E194" i="3"/>
  <c r="E49" i="3"/>
  <c r="AM6" i="3"/>
  <c r="E427" i="3"/>
  <c r="E78" i="3"/>
  <c r="E193"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Z6" i="3"/>
  <c r="E77" i="3"/>
  <c r="E62" i="3"/>
  <c r="E99" i="3"/>
  <c r="E454" i="3"/>
  <c r="E389" i="3"/>
  <c r="E520" i="3"/>
  <c r="E230" i="3"/>
  <c r="AK6" i="3"/>
  <c r="E143" i="3"/>
  <c r="AO6" i="3"/>
  <c r="E411" i="3"/>
  <c r="E395" i="3"/>
  <c r="E535" i="3"/>
  <c r="AN6" i="3"/>
  <c r="E443" i="3"/>
  <c r="E41" i="3"/>
  <c r="E156" i="3"/>
  <c r="E280" i="3"/>
  <c r="E471" i="3"/>
  <c r="E59" i="3"/>
  <c r="E418" i="3"/>
  <c r="E270" i="3"/>
  <c r="E408" i="3"/>
  <c r="E464" i="3"/>
  <c r="E92" i="3"/>
  <c r="E157" i="3"/>
  <c r="E337" i="3"/>
  <c r="E278" i="3"/>
  <c r="E390" i="3"/>
  <c r="E161" i="3"/>
  <c r="E44" i="3"/>
  <c r="E450" i="3"/>
  <c r="E202" i="3"/>
  <c r="E164" i="3"/>
  <c r="E434" i="3"/>
  <c r="E262" i="3"/>
  <c r="E552" i="3"/>
  <c r="E101" i="3"/>
  <c r="E57"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274" i="3"/>
  <c r="E32" i="3"/>
  <c r="E292" i="3"/>
  <c r="E426" i="3"/>
  <c r="E60" i="3"/>
  <c r="E75" i="3"/>
  <c r="E178" i="3"/>
  <c r="J6" i="3"/>
  <c r="E48" i="3"/>
  <c r="E438" i="3"/>
  <c r="E455" i="3"/>
  <c r="E232" i="3"/>
  <c r="E189" i="3"/>
  <c r="E507" i="3"/>
  <c r="E275" i="3"/>
  <c r="L6" i="3"/>
  <c r="E467" i="3"/>
  <c r="E67" i="3"/>
  <c r="E214" i="3"/>
  <c r="E486" i="3"/>
  <c r="E543" i="3"/>
  <c r="E154" i="3"/>
  <c r="E243" i="3"/>
  <c r="E309" i="3"/>
  <c r="E105" i="3"/>
  <c r="AG6" i="3"/>
  <c r="E121" i="3"/>
  <c r="E224" i="3"/>
  <c r="E123" i="3"/>
  <c r="E66" i="3"/>
  <c r="E386" i="3"/>
  <c r="E287" i="3"/>
  <c r="E188" i="3"/>
  <c r="E306" i="3"/>
  <c r="E180" i="3"/>
  <c r="E551" i="3"/>
  <c r="E246" i="3"/>
  <c r="E16" i="3"/>
  <c r="E385" i="3"/>
  <c r="E95" i="3"/>
  <c r="E498" i="3"/>
  <c r="E298" i="3"/>
  <c r="E361" i="3"/>
  <c r="E315" i="3"/>
  <c r="E323" i="3"/>
  <c r="E159" i="3"/>
  <c r="E501" i="3"/>
  <c r="E371" i="3"/>
  <c r="E567" i="3"/>
  <c r="E329" i="3"/>
  <c r="S6" i="3"/>
  <c r="E322" i="3"/>
  <c r="E17" i="3"/>
  <c r="E18" i="3"/>
  <c r="E509" i="3"/>
  <c r="E20" i="3"/>
  <c r="E463" i="3"/>
  <c r="E547" i="3"/>
  <c r="E447" i="3"/>
  <c r="E33" i="3"/>
  <c r="Q6" i="3"/>
  <c r="E119" i="3"/>
  <c r="E500" i="3"/>
  <c r="E97" i="3"/>
  <c r="AE6" i="3"/>
  <c r="E533" i="3"/>
  <c r="E37" i="3"/>
  <c r="E303" i="3"/>
  <c r="AT6" i="3"/>
  <c r="E429" i="3"/>
  <c r="E116" i="3"/>
  <c r="E372" i="3"/>
  <c r="E465" i="3"/>
  <c r="E264" i="3"/>
  <c r="E369" i="3"/>
  <c r="V6" i="3"/>
  <c r="E448" i="3"/>
  <c r="E74" i="3"/>
  <c r="E505" i="3"/>
  <c r="E419" i="3"/>
  <c r="E302" i="3"/>
  <c r="E76" i="3"/>
  <c r="E24" i="3"/>
  <c r="E271" i="3"/>
  <c r="E508" i="3"/>
  <c r="E493" i="3"/>
  <c r="E108" i="3"/>
  <c r="E81" i="3"/>
  <c r="E277" i="3"/>
  <c r="E19" i="3"/>
  <c r="E212" i="3"/>
  <c r="E35" i="3"/>
  <c r="E182" i="3"/>
  <c r="E267" i="3"/>
  <c r="E312" i="3"/>
  <c r="E514" i="3"/>
  <c r="E384" i="3"/>
  <c r="E310" i="3"/>
  <c r="E487" i="3"/>
  <c r="AB6" i="3"/>
  <c r="E26" i="3"/>
  <c r="E511" i="3"/>
  <c r="E377" i="3"/>
  <c r="E358" i="3"/>
  <c r="E564" i="3"/>
  <c r="E512" i="3"/>
  <c r="AZ5" i="3"/>
  <c r="D23" i="59"/>
  <c r="C24" i="59"/>
  <c r="G54" i="34"/>
  <c r="H54" i="34" s="1"/>
  <c r="G53" i="34"/>
  <c r="H53" i="34" s="1"/>
  <c r="I42" i="35"/>
  <c r="J42" i="35" s="1"/>
  <c r="E36" i="36"/>
  <c r="R37" i="36"/>
  <c r="I52" i="33"/>
  <c r="J52" i="33" s="1"/>
  <c r="R49" i="33"/>
  <c r="E48" i="33"/>
  <c r="E542" i="3"/>
  <c r="E524" i="3"/>
  <c r="E64" i="39"/>
  <c r="E59" i="40"/>
  <c r="E62" i="40"/>
  <c r="E67" i="39"/>
  <c r="D15" i="59"/>
  <c r="C16" i="59"/>
  <c r="D11" i="59"/>
  <c r="C10" i="59"/>
  <c r="D10" i="59" s="1"/>
  <c r="N50" i="59"/>
  <c r="N49" i="59"/>
  <c r="C17" i="43"/>
  <c r="C14" i="43"/>
  <c r="I53" i="34"/>
  <c r="J53" i="34" s="1"/>
  <c r="K58" i="21"/>
  <c r="G52" i="33"/>
  <c r="H52" i="33" s="1"/>
  <c r="G53" i="33"/>
  <c r="H53" i="33" s="1"/>
  <c r="R39" i="35"/>
  <c r="E38" i="35"/>
  <c r="E489" i="3"/>
  <c r="K19" i="6"/>
  <c r="S6" i="1" s="1"/>
  <c r="K20" i="6"/>
  <c r="M20" i="6" s="1"/>
  <c r="I20" i="6" s="1"/>
  <c r="S20" i="6" s="1"/>
  <c r="E31" i="6"/>
  <c r="K24" i="6"/>
  <c r="M24" i="6" s="1"/>
  <c r="I24" i="6" s="1"/>
  <c r="S24" i="6" s="1"/>
  <c r="K23" i="6"/>
  <c r="M23" i="6" s="1"/>
  <c r="I23" i="6" s="1"/>
  <c r="S23" i="6" s="1"/>
  <c r="K21" i="6"/>
  <c r="M21" i="6" s="1"/>
  <c r="I21" i="6" s="1"/>
  <c r="S21" i="6" s="1"/>
  <c r="K26" i="6"/>
  <c r="M26" i="6" s="1"/>
  <c r="I26" i="6" s="1"/>
  <c r="S26" i="6" s="1"/>
  <c r="K22" i="6"/>
  <c r="M22" i="6" s="1"/>
  <c r="I22" i="6" s="1"/>
  <c r="S22" i="6" s="1"/>
  <c r="K25" i="6"/>
  <c r="M25" i="6" s="1"/>
  <c r="I25" i="6" s="1"/>
  <c r="S25" i="6" s="1"/>
  <c r="Q49" i="59"/>
  <c r="Q50" i="59"/>
  <c r="G41" i="36"/>
  <c r="H41" i="36" s="1"/>
  <c r="G40" i="36"/>
  <c r="H40" i="36" s="1"/>
  <c r="G47" i="37"/>
  <c r="H47" i="37" s="1"/>
  <c r="G46" i="37"/>
  <c r="H46" i="37" s="1"/>
  <c r="C17" i="12"/>
  <c r="C14" i="12"/>
  <c r="I40" i="36"/>
  <c r="J40" i="36" s="1"/>
  <c r="I41" i="36"/>
  <c r="J41" i="36" s="1"/>
  <c r="I46" i="37"/>
  <c r="J46" i="37" s="1"/>
  <c r="I47" i="37"/>
  <c r="J47" i="37" s="1"/>
  <c r="R50" i="34"/>
  <c r="E49" i="34"/>
  <c r="E506" i="3"/>
  <c r="E536" i="3"/>
  <c r="E481" i="3"/>
  <c r="E58" i="40"/>
  <c r="E63" i="39"/>
  <c r="E65" i="39"/>
  <c r="E60" i="40"/>
  <c r="E66" i="39"/>
  <c r="E61" i="40"/>
  <c r="D6" i="59"/>
  <c r="C5" i="59"/>
  <c r="E2" i="65"/>
  <c r="E3" i="65"/>
  <c r="S16" i="1" l="1"/>
  <c r="T6" i="1"/>
  <c r="H6" i="3"/>
  <c r="AC6" i="3"/>
  <c r="H65" i="40"/>
  <c r="G67" i="40"/>
  <c r="F17" i="11"/>
  <c r="C17" i="11" s="1"/>
  <c r="C19" i="11" s="1"/>
  <c r="B40" i="1"/>
  <c r="D5" i="59"/>
  <c r="M20" i="46" s="1"/>
  <c r="C19" i="46" s="1"/>
  <c r="C49" i="34"/>
  <c r="C50" i="34"/>
  <c r="B3" i="34" s="1"/>
  <c r="B2" i="34" s="1"/>
  <c r="E54" i="34"/>
  <c r="F54" i="34" s="1"/>
  <c r="E53" i="34"/>
  <c r="F53" i="34" s="1"/>
  <c r="M19" i="6"/>
  <c r="K27" i="6"/>
  <c r="E42" i="35"/>
  <c r="F42" i="35" s="1"/>
  <c r="E43" i="35"/>
  <c r="F43" i="35" s="1"/>
  <c r="I54" i="34"/>
  <c r="J54" i="34" s="1"/>
  <c r="C49" i="33"/>
  <c r="B3" i="33" s="1"/>
  <c r="B2" i="33" s="1"/>
  <c r="C48" i="33"/>
  <c r="E40" i="36"/>
  <c r="F40" i="36" s="1"/>
  <c r="E41" i="36"/>
  <c r="F41" i="36" s="1"/>
  <c r="D24" i="59"/>
  <c r="T24" i="59"/>
  <c r="E3" i="6"/>
  <c r="AY6" i="3"/>
  <c r="E47" i="37"/>
  <c r="F47" i="37" s="1"/>
  <c r="E46" i="37"/>
  <c r="F46" i="37" s="1"/>
  <c r="O17" i="46"/>
  <c r="M17" i="46"/>
  <c r="P17" i="46"/>
  <c r="N17" i="46"/>
  <c r="F13" i="44"/>
  <c r="C12" i="44" s="1"/>
  <c r="C7" i="44" s="1"/>
  <c r="M11" i="15"/>
  <c r="J10" i="15" s="1"/>
  <c r="J5" i="15" s="1"/>
  <c r="F11" i="15"/>
  <c r="M13" i="44"/>
  <c r="J12" i="44" s="1"/>
  <c r="J7" i="44" s="1"/>
  <c r="C38" i="35"/>
  <c r="C39" i="35"/>
  <c r="B3" i="35" s="1"/>
  <c r="B2" i="35" s="1"/>
  <c r="L58" i="21"/>
  <c r="M58" i="21" s="1"/>
  <c r="N58" i="21" s="1"/>
  <c r="O58" i="21" s="1"/>
  <c r="H7" i="21"/>
  <c r="F7" i="21"/>
  <c r="D16" i="59"/>
  <c r="T16" i="59"/>
  <c r="E52" i="33"/>
  <c r="F52" i="33" s="1"/>
  <c r="E53" i="33"/>
  <c r="F53" i="33" s="1"/>
  <c r="I53" i="33"/>
  <c r="J53" i="33" s="1"/>
  <c r="C36" i="36"/>
  <c r="C37" i="36"/>
  <c r="B3" i="36" s="1"/>
  <c r="B2" i="36" s="1"/>
  <c r="I43" i="35"/>
  <c r="J43" i="35" s="1"/>
  <c r="E6" i="3"/>
  <c r="C43" i="37"/>
  <c r="B3" i="37" s="1"/>
  <c r="B2" i="37" s="1"/>
  <c r="C42" i="37"/>
  <c r="L70" i="39"/>
  <c r="K72" i="39"/>
  <c r="G20" i="46" l="1"/>
  <c r="C20" i="46" s="1"/>
  <c r="T10" i="46" s="1"/>
  <c r="V10" i="46" s="1"/>
  <c r="T10" i="1"/>
  <c r="T12" i="1"/>
  <c r="T11" i="1"/>
  <c r="T13" i="1"/>
  <c r="T8" i="1"/>
  <c r="T7" i="1"/>
  <c r="T9" i="1"/>
  <c r="H67" i="40"/>
  <c r="I65" i="40"/>
  <c r="T6" i="46"/>
  <c r="V6" i="46" s="1"/>
  <c r="U7" i="21"/>
  <c r="AB7" i="21"/>
  <c r="T48" i="21" s="1"/>
  <c r="G48" i="21" s="1"/>
  <c r="J20" i="44"/>
  <c r="J28" i="44"/>
  <c r="J31" i="44" s="1"/>
  <c r="J26" i="44"/>
  <c r="J18" i="15"/>
  <c r="J26" i="15"/>
  <c r="J29" i="15" s="1"/>
  <c r="J24" i="15"/>
  <c r="L72" i="39"/>
  <c r="M70" i="39"/>
  <c r="S7" i="21"/>
  <c r="AA7" i="21"/>
  <c r="R48" i="21" s="1"/>
  <c r="C52" i="15"/>
  <c r="C47" i="15" s="1"/>
  <c r="C10" i="15"/>
  <c r="C5" i="15" s="1"/>
  <c r="C40" i="44"/>
  <c r="C34" i="4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M27" i="6"/>
  <c r="I19" i="6"/>
  <c r="J7" i="21"/>
  <c r="F24" i="15"/>
  <c r="F26" i="44"/>
  <c r="F26" i="12"/>
  <c r="C27" i="12" s="1"/>
  <c r="D26" i="12" s="1"/>
  <c r="C32" i="12" s="1"/>
  <c r="D30" i="12" s="1"/>
  <c r="F21" i="43"/>
  <c r="C23" i="43" s="1"/>
  <c r="D21" i="43" s="1"/>
  <c r="D16" i="43"/>
  <c r="C16" i="43" s="1"/>
  <c r="C18" i="43" s="1"/>
  <c r="D16" i="12"/>
  <c r="E6" i="6"/>
  <c r="L38" i="9"/>
  <c r="B14" i="66" s="1"/>
  <c r="B1" i="66" s="1"/>
  <c r="D45" i="9"/>
  <c r="D46" i="9"/>
  <c r="C21" i="4"/>
  <c r="O5" i="54" s="1"/>
  <c r="B45" i="63" s="1"/>
  <c r="D10" i="11"/>
  <c r="D44" i="9"/>
  <c r="C20" i="11"/>
  <c r="C21" i="11" s="1"/>
  <c r="C22" i="11" s="1"/>
  <c r="C23" i="11" s="1"/>
  <c r="B2" i="11" s="1"/>
  <c r="C14" i="15"/>
  <c r="C16" i="44"/>
  <c r="L52" i="44"/>
  <c r="C34" i="46" l="1"/>
  <c r="G34" i="46" s="1"/>
  <c r="I34" i="46" s="1"/>
  <c r="T16" i="46"/>
  <c r="V16" i="46" s="1"/>
  <c r="T4" i="46"/>
  <c r="V4" i="46" s="1"/>
  <c r="C37" i="46"/>
  <c r="E37" i="46" s="1"/>
  <c r="T11" i="46"/>
  <c r="V11" i="46" s="1"/>
  <c r="C33" i="46"/>
  <c r="G33" i="46" s="1"/>
  <c r="I33" i="46" s="1"/>
  <c r="C29" i="46"/>
  <c r="E29" i="46" s="1"/>
  <c r="T3" i="46"/>
  <c r="V3" i="46" s="1"/>
  <c r="T13" i="46"/>
  <c r="V13" i="46" s="1"/>
  <c r="T8" i="46"/>
  <c r="V8" i="46" s="1"/>
  <c r="T14" i="46"/>
  <c r="V14" i="46" s="1"/>
  <c r="C35" i="46"/>
  <c r="E35" i="46" s="1"/>
  <c r="T7" i="46"/>
  <c r="V7" i="46" s="1"/>
  <c r="C38" i="46"/>
  <c r="E38" i="46" s="1"/>
  <c r="C36" i="46"/>
  <c r="G36" i="46" s="1"/>
  <c r="I36" i="46" s="1"/>
  <c r="T2" i="46"/>
  <c r="V2" i="46" s="1"/>
  <c r="C39" i="46"/>
  <c r="G39" i="46" s="1"/>
  <c r="I39" i="46" s="1"/>
  <c r="T9" i="46"/>
  <c r="V9" i="46" s="1"/>
  <c r="T12" i="46"/>
  <c r="V12" i="46" s="1"/>
  <c r="T15" i="46"/>
  <c r="V15" i="46" s="1"/>
  <c r="T5" i="46"/>
  <c r="V5" i="46" s="1"/>
  <c r="C15" i="15"/>
  <c r="C18" i="15"/>
  <c r="C17" i="44"/>
  <c r="C20" i="44"/>
  <c r="T16" i="1"/>
  <c r="J65" i="40"/>
  <c r="I67" i="40"/>
  <c r="Q69" i="44"/>
  <c r="L58" i="44"/>
  <c r="L61" i="44" s="1"/>
  <c r="B3" i="11"/>
  <c r="B5" i="11"/>
  <c r="B4" i="11"/>
  <c r="C7" i="66"/>
  <c r="C6" i="66"/>
  <c r="C8" i="66"/>
  <c r="C16" i="12"/>
  <c r="C18" i="12" s="1"/>
  <c r="D19" i="12"/>
  <c r="C19" i="12" s="1"/>
  <c r="C26" i="44"/>
  <c r="AC7" i="21"/>
  <c r="V48" i="21" s="1"/>
  <c r="I48" i="21" s="1"/>
  <c r="W7" i="21"/>
  <c r="C59" i="15"/>
  <c r="C65" i="15"/>
  <c r="D22" i="12"/>
  <c r="C22" i="12" s="1"/>
  <c r="C20" i="12" s="1"/>
  <c r="D13" i="11"/>
  <c r="C13" i="11" s="1"/>
  <c r="C19" i="43"/>
  <c r="C25" i="43" s="1"/>
  <c r="C24" i="43" s="1"/>
  <c r="C24" i="15"/>
  <c r="I27" i="6"/>
  <c r="S19" i="6"/>
  <c r="S27" i="6" s="1"/>
  <c r="E68" i="39"/>
  <c r="C22" i="4"/>
  <c r="D19" i="6"/>
  <c r="D21" i="6"/>
  <c r="D25" i="6"/>
  <c r="D10" i="6"/>
  <c r="D13" i="6"/>
  <c r="H21" i="6"/>
  <c r="H24" i="6"/>
  <c r="D6" i="6"/>
  <c r="D23" i="6"/>
  <c r="D14" i="6"/>
  <c r="D28" i="6"/>
  <c r="D20" i="6"/>
  <c r="D8" i="6"/>
  <c r="H23" i="6"/>
  <c r="E63" i="40"/>
  <c r="H19" i="6"/>
  <c r="D24" i="6"/>
  <c r="R24" i="6" s="1"/>
  <c r="D22" i="6"/>
  <c r="D12" i="6"/>
  <c r="H25" i="6"/>
  <c r="D5" i="6"/>
  <c r="H22" i="6"/>
  <c r="D15" i="6"/>
  <c r="H26" i="6"/>
  <c r="E45" i="9"/>
  <c r="F45" i="9"/>
  <c r="F46" i="9"/>
  <c r="K38" i="9"/>
  <c r="C14" i="66" s="1"/>
  <c r="D26" i="6"/>
  <c r="D11" i="6"/>
  <c r="H20" i="6"/>
  <c r="D9" i="6"/>
  <c r="D29" i="6"/>
  <c r="E44" i="9"/>
  <c r="F44" i="9"/>
  <c r="E46" i="9"/>
  <c r="C32" i="15"/>
  <c r="C38" i="15"/>
  <c r="R49" i="21"/>
  <c r="E48" i="21"/>
  <c r="M72" i="39"/>
  <c r="N70" i="39"/>
  <c r="N72" i="39" s="1"/>
  <c r="F9" i="39" s="1"/>
  <c r="Q67" i="44"/>
  <c r="Q49" i="44"/>
  <c r="Q55" i="44" s="1"/>
  <c r="Q58" i="44"/>
  <c r="G53" i="21"/>
  <c r="H53" i="21" s="1"/>
  <c r="G52" i="21"/>
  <c r="H52" i="21" s="1"/>
  <c r="E34" i="46"/>
  <c r="E33" i="46" l="1"/>
  <c r="G37" i="46"/>
  <c r="I37" i="46" s="1"/>
  <c r="G38" i="46"/>
  <c r="I38" i="46" s="1"/>
  <c r="E36" i="46"/>
  <c r="G35" i="46"/>
  <c r="I35" i="46" s="1"/>
  <c r="C30" i="46"/>
  <c r="E30" i="46" s="1"/>
  <c r="E39" i="46"/>
  <c r="C21" i="44"/>
  <c r="C22" i="44" s="1"/>
  <c r="C28" i="44" s="1"/>
  <c r="C19" i="15"/>
  <c r="C20" i="15" s="1"/>
  <c r="C26" i="15" s="1"/>
  <c r="H27" i="6"/>
  <c r="C23" i="15"/>
  <c r="C29" i="15" s="1"/>
  <c r="R26" i="6"/>
  <c r="D16" i="6"/>
  <c r="D30" i="6"/>
  <c r="R23" i="6"/>
  <c r="R25" i="6"/>
  <c r="J67" i="40"/>
  <c r="K65" i="40"/>
  <c r="AA9" i="39"/>
  <c r="R49" i="39" s="1"/>
  <c r="S9" i="39"/>
  <c r="C49" i="21"/>
  <c r="B3" i="21" s="1"/>
  <c r="B2" i="21" s="1"/>
  <c r="C48" i="21"/>
  <c r="R19" i="6"/>
  <c r="D27" i="6"/>
  <c r="D31" i="6" s="1"/>
  <c r="I53" i="21"/>
  <c r="J53" i="21" s="1"/>
  <c r="I52" i="21"/>
  <c r="J52" i="21" s="1"/>
  <c r="C23" i="12"/>
  <c r="C28" i="12" s="1"/>
  <c r="C26" i="12" s="1"/>
  <c r="Q59" i="44"/>
  <c r="Q64" i="44" s="1"/>
  <c r="Q68" i="44"/>
  <c r="Q77" i="44" s="1"/>
  <c r="H9" i="39"/>
  <c r="J9" i="39"/>
  <c r="E52" i="21"/>
  <c r="F52" i="21" s="1"/>
  <c r="E53" i="21"/>
  <c r="F53" i="21" s="1"/>
  <c r="B2" i="66"/>
  <c r="R22" i="6"/>
  <c r="R20" i="6"/>
  <c r="R21" i="6"/>
  <c r="A6" i="64"/>
  <c r="A20" i="64"/>
  <c r="N5" i="54"/>
  <c r="B43" i="63" s="1"/>
  <c r="A6" i="51"/>
  <c r="B7" i="63" s="1"/>
  <c r="A20" i="51"/>
  <c r="B15" i="63" s="1"/>
  <c r="C22" i="43"/>
  <c r="C21" i="43" s="1"/>
  <c r="C28" i="43" s="1"/>
  <c r="C30" i="43" s="1"/>
  <c r="C32" i="43" s="1"/>
  <c r="B2" i="43" s="1"/>
  <c r="F7" i="67"/>
  <c r="C27" i="46" l="1"/>
  <c r="C26" i="46"/>
  <c r="B2" i="46" s="1"/>
  <c r="E4" i="67"/>
  <c r="C25" i="44"/>
  <c r="C31" i="44" s="1"/>
  <c r="J21" i="44" s="1"/>
  <c r="J19" i="44" s="1"/>
  <c r="R27" i="6"/>
  <c r="R6" i="1"/>
  <c r="R16" i="1" s="1"/>
  <c r="L65" i="40"/>
  <c r="K67" i="40"/>
  <c r="B5" i="43"/>
  <c r="B3" i="43"/>
  <c r="B4" i="43"/>
  <c r="AB9" i="39"/>
  <c r="T49" i="39" s="1"/>
  <c r="G49" i="39" s="1"/>
  <c r="U9" i="39"/>
  <c r="C31" i="12"/>
  <c r="C30" i="12" s="1"/>
  <c r="C35" i="12"/>
  <c r="C33" i="12" s="1"/>
  <c r="I6" i="6"/>
  <c r="I5" i="6"/>
  <c r="E49" i="39"/>
  <c r="R50" i="39"/>
  <c r="J19" i="15"/>
  <c r="J17" i="15" s="1"/>
  <c r="J14" i="15"/>
  <c r="C56" i="15"/>
  <c r="Q50" i="15"/>
  <c r="C33" i="15"/>
  <c r="C31" i="15" s="1"/>
  <c r="C36" i="15"/>
  <c r="C13" i="15"/>
  <c r="J59" i="15"/>
  <c r="J60" i="15" s="1"/>
  <c r="D7" i="66"/>
  <c r="D8" i="66"/>
  <c r="D6" i="66"/>
  <c r="W9" i="39"/>
  <c r="AC9" i="39"/>
  <c r="V49" i="39" s="1"/>
  <c r="I49" i="39" s="1"/>
  <c r="B7" i="67"/>
  <c r="E7" i="67"/>
  <c r="D19" i="9"/>
  <c r="L44" i="9" l="1"/>
  <c r="E3" i="67"/>
  <c r="C35" i="44"/>
  <c r="C33" i="44" s="1"/>
  <c r="C15" i="44"/>
  <c r="Q72" i="44" s="1"/>
  <c r="Q51" i="44"/>
  <c r="J16" i="44"/>
  <c r="J24" i="44" s="1"/>
  <c r="C38" i="44"/>
  <c r="M65" i="40"/>
  <c r="L67" i="40"/>
  <c r="B2" i="67"/>
  <c r="Q49" i="15"/>
  <c r="L46" i="15"/>
  <c r="J13" i="15"/>
  <c r="J23" i="15" s="1"/>
  <c r="J22" i="15"/>
  <c r="C49" i="39"/>
  <c r="C50" i="39"/>
  <c r="D4" i="46"/>
  <c r="B4" i="46"/>
  <c r="B3" i="46"/>
  <c r="G53" i="39"/>
  <c r="H53" i="39" s="1"/>
  <c r="G54" i="39"/>
  <c r="H54" i="39" s="1"/>
  <c r="I53" i="39"/>
  <c r="J53" i="39" s="1"/>
  <c r="I54" i="39"/>
  <c r="J54" i="39" s="1"/>
  <c r="J35" i="15"/>
  <c r="Q71" i="15"/>
  <c r="C37" i="15"/>
  <c r="C55" i="15"/>
  <c r="C64" i="15" s="1"/>
  <c r="C30" i="15"/>
  <c r="C39" i="15" s="1"/>
  <c r="C63" i="15"/>
  <c r="C60" i="15"/>
  <c r="C58" i="15" s="1"/>
  <c r="E54" i="39"/>
  <c r="F54" i="39" s="1"/>
  <c r="E53" i="39"/>
  <c r="F53" i="39" s="1"/>
  <c r="C36" i="12"/>
  <c r="B2" i="12" s="1"/>
  <c r="C19" i="9"/>
  <c r="D20" i="9"/>
  <c r="D21" i="9"/>
  <c r="G19" i="9" l="1"/>
  <c r="D28" i="9" s="1"/>
  <c r="L43" i="9"/>
  <c r="D22" i="9"/>
  <c r="J15" i="44"/>
  <c r="J25" i="44" s="1"/>
  <c r="J18" i="44" s="1"/>
  <c r="J27" i="44" s="1"/>
  <c r="C43" i="44"/>
  <c r="C39" i="44"/>
  <c r="C32" i="44" s="1"/>
  <c r="C42" i="44" s="1"/>
  <c r="Q71" i="44" s="1"/>
  <c r="Q70" i="44" s="1"/>
  <c r="H9" i="40"/>
  <c r="J16" i="15"/>
  <c r="J25" i="15" s="1"/>
  <c r="N65" i="40"/>
  <c r="N67" i="40" s="1"/>
  <c r="M67" i="40"/>
  <c r="J39" i="15"/>
  <c r="J40" i="15" s="1"/>
  <c r="B4" i="12"/>
  <c r="B5" i="12"/>
  <c r="B3" i="12"/>
  <c r="C57" i="15"/>
  <c r="C66" i="15" s="1"/>
  <c r="C67" i="15" s="1"/>
  <c r="C40" i="15"/>
  <c r="Q70" i="15"/>
  <c r="Q69" i="15"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B4" i="67"/>
  <c r="B3" i="67"/>
  <c r="C21" i="9"/>
  <c r="L51" i="15"/>
  <c r="C20" i="9"/>
  <c r="G20" i="9" l="1"/>
  <c r="G21" i="9"/>
  <c r="N43" i="9"/>
  <c r="C32" i="9"/>
  <c r="G22" i="9"/>
  <c r="C44" i="44"/>
  <c r="C45" i="44" s="1"/>
  <c r="B2" i="44" s="1"/>
  <c r="B4" i="44" s="1"/>
  <c r="J9" i="40"/>
  <c r="F9" i="40"/>
  <c r="AB9" i="40"/>
  <c r="T44" i="40" s="1"/>
  <c r="G44" i="40" s="1"/>
  <c r="U9" i="40"/>
  <c r="Q68" i="15"/>
  <c r="L57" i="15"/>
  <c r="L60" i="15" s="1"/>
  <c r="C46" i="15"/>
  <c r="C70" i="15"/>
  <c r="B4" i="39"/>
  <c r="B3" i="39"/>
  <c r="B5" i="39"/>
  <c r="Q57" i="15"/>
  <c r="B2" i="15"/>
  <c r="B3" i="15" s="1"/>
  <c r="Q48" i="15"/>
  <c r="Q54" i="15" s="1"/>
  <c r="C43" i="15"/>
  <c r="Q66" i="15"/>
  <c r="J42" i="15"/>
  <c r="J43" i="15" s="1"/>
  <c r="O43" i="9" l="1"/>
  <c r="O38" i="9"/>
  <c r="C42" i="9"/>
  <c r="C33" i="9"/>
  <c r="C35" i="9"/>
  <c r="F42" i="9" s="1"/>
  <c r="C34" i="9"/>
  <c r="B3" i="44"/>
  <c r="B5" i="44"/>
  <c r="S9" i="40"/>
  <c r="AA9" i="40"/>
  <c r="R44" i="40" s="1"/>
  <c r="G48" i="40"/>
  <c r="H48" i="40" s="1"/>
  <c r="AC9" i="40"/>
  <c r="V44" i="40" s="1"/>
  <c r="I44" i="40" s="1"/>
  <c r="W9" i="40"/>
  <c r="Q67" i="15"/>
  <c r="Q76" i="15" s="1"/>
  <c r="Q58" i="15"/>
  <c r="Q63" i="15" s="1"/>
  <c r="M38" i="9" l="1"/>
  <c r="K27" i="9" s="1"/>
  <c r="E42" i="9"/>
  <c r="P5" i="54" s="1"/>
  <c r="B46" i="63" s="1"/>
  <c r="N38" i="9"/>
  <c r="K28" i="9" s="1"/>
  <c r="D42" i="9"/>
  <c r="Q5" i="54" s="1"/>
  <c r="B47" i="63" s="1"/>
  <c r="K25" i="9"/>
  <c r="K26" i="9"/>
  <c r="D14" i="66"/>
  <c r="D63" i="9"/>
  <c r="R5" i="54"/>
  <c r="B48" i="63" s="1"/>
  <c r="N68" i="9"/>
  <c r="R45" i="40"/>
  <c r="E44" i="40"/>
  <c r="I49" i="40" s="1"/>
  <c r="J49" i="40" s="1"/>
  <c r="I48" i="40"/>
  <c r="J48" i="40" s="1"/>
  <c r="G49" i="40"/>
  <c r="H49" i="40" s="1"/>
  <c r="C103" i="9" l="1"/>
  <c r="C111" i="9"/>
  <c r="C104" i="9" s="1"/>
  <c r="C82" i="9"/>
  <c r="C81" i="9" s="1"/>
  <c r="C85" i="9" s="1"/>
  <c r="C86" i="9" s="1"/>
  <c r="D72" i="9" s="1"/>
  <c r="D77" i="9"/>
  <c r="N75" i="9" s="1"/>
  <c r="C96" i="9"/>
  <c r="C91" i="9" s="1"/>
  <c r="C90" i="9"/>
  <c r="D70" i="9"/>
  <c r="D71" i="9"/>
  <c r="D66" i="9" s="1"/>
  <c r="N72" i="9" s="1"/>
  <c r="B5" i="66"/>
  <c r="E14" i="66"/>
  <c r="F14" i="66"/>
  <c r="E48" i="40"/>
  <c r="F48" i="40" s="1"/>
  <c r="E49" i="40"/>
  <c r="F49" i="40" s="1"/>
  <c r="C44" i="40"/>
  <c r="C45" i="40"/>
  <c r="C113" i="9" l="1"/>
  <c r="C114" i="9" s="1"/>
  <c r="E114" i="9" s="1"/>
  <c r="E115" i="9" s="1"/>
  <c r="C5" i="66"/>
  <c r="D5" i="66"/>
  <c r="C97" i="9"/>
  <c r="B55" i="40"/>
  <c r="F55" i="40" s="1"/>
  <c r="B60" i="40"/>
  <c r="F60" i="40" s="1"/>
  <c r="B62" i="40"/>
  <c r="F62" i="40" s="1"/>
  <c r="B54" i="40"/>
  <c r="F54" i="40" s="1"/>
  <c r="B56" i="40"/>
  <c r="F56" i="40" s="1"/>
  <c r="B57" i="40"/>
  <c r="F57" i="40" s="1"/>
  <c r="B59" i="40"/>
  <c r="F59" i="40" s="1"/>
  <c r="B61" i="40"/>
  <c r="F61" i="40" s="1"/>
  <c r="B53" i="40"/>
  <c r="F53" i="40" s="1"/>
  <c r="B58" i="40"/>
  <c r="F58" i="40" s="1"/>
  <c r="F63" i="40"/>
  <c r="B2" i="40" s="1"/>
  <c r="C115" i="9" l="1"/>
  <c r="D76" i="9" s="1"/>
  <c r="D74" i="9" s="1"/>
  <c r="N74" i="9" s="1"/>
  <c r="O77" i="9" s="1"/>
  <c r="O78" i="9" s="1"/>
  <c r="C98" i="9"/>
  <c r="E98" i="9" s="1"/>
  <c r="E99" i="9" s="1"/>
  <c r="B5" i="40"/>
  <c r="B3" i="40"/>
  <c r="B4" i="40"/>
  <c r="O79" i="9" l="1"/>
  <c r="O80" i="9" s="1"/>
  <c r="C99" i="9"/>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<sst xmlns="http://schemas.openxmlformats.org/spreadsheetml/2006/main" count="6825" uniqueCount="3004">
  <si>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</si>
  <si>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</si>
  <si>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</si>
  <si>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</si>
  <si>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</si>
  <si>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</si>
  <si>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</si>
  <si>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</si>
  <si>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</si>
  <si>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</si>
  <si>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</si>
  <si>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</si>
  <si>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</si>
  <si>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</si>
  <si>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</si>
  <si>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</si>
  <si>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</si>
  <si>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</si>
  <si>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</si>
  <si>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</si>
  <si>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</si>
  <si>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</si>
  <si>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</si>
  <si>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</si>
  <si>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</si>
  <si>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</si>
  <si>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</si>
  <si>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</si>
  <si>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</si>
  <si>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</si>
  <si>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</si>
  <si>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</si>
  <si>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</si>
  <si>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</si>
  <si>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</si>
  <si>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</si>
  <si>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</si>
  <si>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</si>
  <si>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</si>
  <si>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</si>
  <si>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</si>
  <si>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</si>
  <si>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</si>
  <si>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</si>
  <si>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</si>
  <si>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</si>
  <si>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</si>
  <si>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</si>
  <si>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</si>
  <si>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</si>
  <si>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</si>
  <si>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</si>
  <si>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</si>
  <si>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</si>
  <si>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</si>
  <si>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</si>
  <si>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</si>
  <si>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</si>
  <si>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</si>
  <si>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</si>
  <si>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</si>
  <si>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</si>
  <si>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</si>
  <si>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</si>
  <si>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</si>
  <si>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</si>
  <si>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</si>
  <si>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</si>
  <si>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</si>
  <si>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</si>
  <si>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</si>
  <si>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</si>
  <si>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</si>
  <si>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</si>
  <si>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</si>
  <si>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</si>
  <si>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</si>
  <si>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</si>
  <si>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</si>
  <si>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</si>
  <si>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</si>
  <si>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</si>
  <si>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</si>
  <si>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</si>
  <si>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</si>
  <si>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</si>
  <si>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</si>
  <si>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</si>
  <si>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</si>
  <si>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</si>
  <si>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</si>
  <si>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</si>
  <si>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</si>
  <si>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</si>
  <si>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</si>
  <si>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</si>
  <si>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</si>
  <si>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</si>
  <si>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</si>
  <si>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</si>
  <si>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</si>
  <si>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</si>
  <si>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</si>
  <si>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</si>
  <si>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</si>
  <si>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</si>
  <si>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</si>
  <si>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</si>
  <si>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</si>
  <si>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</si>
  <si>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</si>
  <si>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</si>
  <si>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</si>
  <si>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</si>
  <si>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</si>
  <si>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</si>
  <si>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</si>
  <si>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</si>
  <si>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</si>
  <si>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</si>
  <si>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</si>
  <si>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</si>
  <si>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</si>
  <si>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</si>
  <si>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</si>
  <si>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</si>
  <si>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</si>
  <si>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</si>
  <si>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</si>
  <si>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</si>
  <si>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</si>
  <si>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</si>
  <si>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</si>
  <si>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</si>
  <si>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</si>
  <si>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</si>
  <si>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</si>
  <si>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</si>
  <si>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</si>
  <si>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</si>
  <si>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</si>
  <si>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</si>
  <si>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</si>
  <si>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</si>
  <si>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</si>
  <si>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</si>
  <si>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</si>
  <si>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</si>
  <si>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</si>
  <si>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</si>
  <si>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</si>
  <si>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</si>
  <si>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</si>
  <si>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</si>
  <si>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</si>
  <si>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</si>
  <si>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</si>
  <si>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</si>
  <si>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</si>
  <si>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</si>
  <si>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</si>
  <si>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</si>
  <si>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</si>
  <si>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</si>
  <si>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</si>
  <si>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</si>
  <si>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</si>
  <si>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</si>
  <si>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</si>
  <si>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</si>
  <si>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</si>
  <si>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</si>
  <si>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</si>
  <si>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</si>
  <si>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</si>
  <si>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</si>
  <si>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</si>
  <si>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</si>
  <si>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</si>
  <si>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</si>
  <si>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</si>
  <si>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</si>
  <si>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</si>
  <si>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</si>
  <si>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</si>
  <si>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</si>
  <si>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</si>
  <si>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</si>
  <si>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</si>
  <si>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</si>
  <si>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</si>
  <si>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</si>
  <si>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</si>
  <si>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</si>
  <si>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</si>
  <si>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</si>
  <si>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</si>
  <si>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</si>
  <si>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</si>
  <si>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</si>
  <si>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</si>
  <si>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</si>
  <si>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</si>
  <si>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</si>
  <si>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</si>
  <si>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</si>
  <si>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</si>
  <si>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</si>
  <si>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</si>
  <si>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</si>
  <si>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</si>
  <si>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</si>
  <si>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</si>
  <si>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</si>
  <si>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</si>
  <si>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</si>
  <si>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</si>
  <si>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</si>
  <si>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</si>
  <si>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</si>
  <si>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</si>
  <si>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</si>
  <si>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</si>
  <si>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</si>
  <si>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</si>
  <si>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</si>
  <si>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</si>
  <si>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</si>
  <si>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</si>
  <si>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</si>
  <si>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</si>
  <si>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</si>
  <si>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</si>
  <si>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</si>
  <si>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</si>
  <si>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</si>
  <si>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</si>
  <si>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</si>
  <si>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</si>
  <si>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</si>
  <si>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</si>
  <si>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</si>
  <si>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</si>
  <si>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</si>
  <si>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</si>
  <si>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</si>
  <si>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</si>
  <si>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</si>
  <si>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</si>
  <si>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</si>
  <si>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</si>
  <si>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</si>
  <si>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</si>
  <si>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</si>
  <si>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</si>
  <si>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</si>
  <si>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</si>
  <si>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</si>
  <si>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</si>
  <si>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</si>
  <si>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</si>
  <si>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</si>
  <si>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</si>
  <si>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</si>
  <si>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</si>
  <si>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</si>
  <si>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</si>
  <si>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</si>
  <si>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</si>
  <si>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</si>
  <si>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</si>
  <si>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</si>
  <si>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</si>
  <si>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</si>
  <si>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</si>
  <si>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</si>
  <si>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</si>
  <si>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</si>
  <si>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</si>
  <si>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</si>
  <si>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</si>
  <si>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</si>
  <si>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</si>
  <si>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</si>
  <si>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</si>
  <si>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</si>
  <si>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</si>
  <si>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</si>
  <si>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</si>
  <si>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</si>
  <si>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</si>
  <si>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</si>
  <si>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</si>
  <si>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</si>
  <si>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</si>
  <si>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</si>
  <si>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</si>
  <si>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</si>
  <si>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</si>
  <si>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</si>
  <si>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</si>
  <si>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</si>
  <si>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</si>
  <si>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</si>
  <si>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</si>
  <si>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</si>
  <si>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</si>
  <si>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</si>
  <si>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</si>
  <si>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</si>
  <si>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</si>
  <si>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</si>
  <si>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</si>
  <si>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</si>
  <si>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</si>
  <si>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</si>
  <si>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</si>
  <si>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</si>
  <si>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</si>
  <si>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</si>
  <si>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</si>
  <si>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</si>
  <si>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</si>
  <si>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</si>
  <si>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</si>
  <si>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</si>
  <si>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</si>
  <si>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</si>
  <si>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</si>
  <si>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</si>
  <si>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</si>
  <si>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</si>
  <si>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</si>
  <si>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</si>
  <si>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</si>
  <si>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</si>
  <si>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</si>
  <si>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</si>
  <si>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</si>
  <si>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</si>
  <si>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</si>
  <si>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</si>
  <si>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</si>
  <si>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</si>
  <si>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</si>
  <si>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</si>
  <si>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</si>
  <si>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</si>
  <si>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</si>
  <si>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</si>
  <si>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</si>
  <si>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</si>
  <si>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</si>
  <si>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</si>
  <si>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</si>
  <si>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</si>
  <si>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</si>
  <si>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</si>
  <si>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</si>
  <si>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</si>
  <si>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</si>
  <si>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</si>
  <si>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</si>
  <si>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</si>
  <si>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</si>
  <si>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</si>
  <si>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</si>
  <si>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</si>
  <si>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</si>
  <si>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</si>
  <si>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</si>
  <si>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</si>
  <si>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</si>
  <si>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</si>
  <si>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</si>
  <si>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</si>
  <si>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</si>
  <si>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</si>
  <si>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</si>
  <si>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</si>
  <si>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</si>
  <si>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</si>
  <si>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</si>
  <si>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</si>
  <si>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</si>
  <si>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</si>
  <si>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</si>
  <si>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</si>
  <si>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</si>
  <si>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</si>
  <si>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</si>
  <si>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</si>
  <si>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</si>
  <si>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</si>
  <si>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</si>
  <si>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</si>
  <si>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</si>
  <si>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</si>
  <si>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</si>
  <si>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</si>
  <si>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</si>
  <si>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</si>
  <si>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</si>
  <si>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</si>
  <si>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</si>
  <si>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</si>
  <si>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</si>
  <si>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</si>
  <si>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</si>
  <si>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</si>
  <si>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</si>
  <si>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</si>
  <si>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</si>
  <si>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</si>
  <si>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</si>
  <si>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</si>
  <si>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</si>
  <si>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</si>
  <si>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</si>
  <si>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</si>
  <si>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</si>
  <si>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</si>
  <si>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</si>
  <si>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</si>
  <si>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</si>
  <si>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</si>
  <si>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</si>
  <si>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</si>
  <si>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</si>
  <si>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</si>
  <si>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</si>
  <si>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</si>
  <si>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</si>
  <si>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</si>
  <si>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</si>
  <si>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</si>
  <si>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</si>
  <si>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</si>
  <si>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</si>
  <si>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</si>
  <si>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</si>
  <si>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</si>
  <si>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</si>
  <si>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</si>
  <si>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</si>
  <si>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</si>
  <si>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</si>
  <si>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</si>
  <si>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</si>
  <si>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</si>
  <si>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</si>
  <si>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</si>
  <si>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</si>
  <si>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</si>
  <si>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</si>
  <si>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</si>
  <si>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</si>
  <si>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</si>
  <si>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</si>
  <si>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</si>
  <si>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</si>
  <si>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</si>
  <si>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</si>
  <si>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</si>
  <si>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</si>
  <si>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</si>
  <si>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</si>
  <si>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</si>
  <si>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</si>
  <si>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</si>
  <si>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</si>
  <si>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</si>
  <si>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</si>
  <si>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</si>
  <si>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</si>
  <si>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</si>
  <si>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</si>
  <si>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</si>
  <si>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</si>
  <si>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</si>
  <si>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</si>
  <si>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</si>
  <si>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</si>
  <si>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</si>
  <si>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</si>
  <si>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</si>
  <si>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</si>
  <si>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</si>
  <si>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</si>
  <si>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</si>
  <si>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</si>
  <si>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</si>
  <si>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</si>
  <si>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</si>
  <si>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</si>
  <si>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</si>
  <si>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</si>
  <si>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</si>
  <si>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</si>
  <si>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</si>
  <si>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</si>
  <si>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</si>
  <si>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</si>
  <si>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</si>
  <si>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</si>
  <si>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</si>
  <si>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</si>
  <si>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</si>
  <si>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</si>
  <si>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</si>
  <si>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</si>
  <si>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</si>
  <si>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</si>
  <si>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</si>
  <si>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</si>
  <si>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</si>
  <si>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</si>
  <si>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</si>
  <si>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</si>
  <si>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</si>
  <si>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</si>
  <si>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</si>
  <si>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</si>
  <si>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</si>
  <si>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</si>
  <si>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</si>
  <si>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</si>
  <si>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</si>
  <si>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</si>
  <si>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</si>
  <si>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</si>
  <si>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</si>
  <si>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</si>
  <si>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</si>
  <si>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</si>
  <si>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</si>
  <si>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</si>
  <si>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</si>
  <si>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</si>
  <si>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</si>
  <si>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</si>
  <si>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</si>
  <si>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</si>
  <si>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</si>
  <si>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</si>
  <si>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</si>
  <si>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</si>
  <si>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</si>
  <si>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</si>
  <si>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</si>
  <si>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</si>
  <si>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</si>
  <si>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</si>
  <si>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</si>
  <si>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</si>
  <si>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</si>
  <si>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</si>
  <si>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</si>
  <si>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</si>
  <si>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</si>
  <si>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</si>
  <si>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</si>
  <si>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</si>
  <si>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</si>
  <si>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</si>
  <si>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</si>
  <si>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</si>
  <si>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</si>
  <si>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</si>
  <si>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</si>
  <si>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</si>
  <si>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</si>
  <si>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</si>
  <si>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</si>
  <si>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</si>
  <si>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</si>
  <si>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</si>
  <si>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</si>
  <si>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</si>
  <si>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</si>
  <si>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</si>
  <si>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</si>
  <si>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</si>
  <si>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</si>
  <si>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</si>
  <si>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</si>
  <si>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</si>
  <si>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</si>
  <si>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</si>
  <si>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</si>
  <si>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</si>
  <si>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</si>
  <si>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</si>
  <si>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</si>
  <si>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</si>
  <si>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</si>
  <si>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</si>
  <si>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</si>
  <si>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</si>
  <si>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</si>
  <si>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</si>
  <si>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</si>
  <si>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</si>
  <si>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</si>
  <si>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</si>
  <si>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</si>
  <si>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</si>
  <si>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</si>
  <si>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</si>
  <si>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</si>
  <si>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</si>
  <si>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</si>
  <si>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</si>
  <si>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</si>
  <si>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</si>
  <si>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</si>
  <si>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</si>
  <si>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</si>
  <si>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</si>
  <si>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</si>
  <si>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</si>
  <si>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</si>
  <si>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</si>
  <si>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</si>
  <si>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</si>
  <si>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</si>
  <si>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</si>
  <si>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</si>
  <si>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</si>
  <si>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</si>
  <si>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</si>
  <si>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</si>
  <si>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</si>
  <si>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</si>
  <si>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</si>
  <si>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</si>
  <si>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</si>
  <si>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</si>
  <si>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</si>
  <si>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</si>
  <si>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</si>
  <si>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</si>
  <si>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</si>
  <si>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</si>
  <si>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</si>
  <si>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</si>
  <si>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</si>
  <si>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</si>
  <si>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</si>
  <si>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</si>
  <si>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</si>
  <si>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</si>
  <si>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</si>
  <si>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</si>
  <si>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</si>
  <si>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</si>
  <si>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</si>
  <si>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</si>
  <si>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</si>
  <si>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</si>
  <si>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</si>
  <si>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</si>
  <si>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</si>
  <si>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</si>
  <si>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</si>
  <si>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</si>
  <si>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</si>
  <si>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</si>
  <si>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</si>
  <si>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</si>
  <si>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</si>
  <si>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</si>
  <si>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</si>
  <si>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</si>
  <si>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</si>
  <si>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</si>
  <si>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</si>
  <si>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</si>
  <si>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</si>
  <si>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</si>
  <si>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</si>
  <si>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</si>
  <si>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</si>
  <si>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</si>
  <si>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</si>
  <si>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</si>
  <si>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</si>
  <si>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</si>
  <si>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</si>
  <si>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</si>
  <si>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</si>
  <si>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</si>
  <si>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</si>
  <si>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</si>
  <si>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</si>
  <si>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</si>
  <si>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</si>
  <si>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</si>
  <si>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</si>
  <si>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</si>
  <si>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</si>
  <si>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</si>
  <si>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</si>
  <si>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</si>
  <si>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</si>
  <si>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</si>
  <si>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</si>
  <si>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</si>
  <si>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</si>
  <si>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</si>
  <si>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</si>
  <si>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</si>
  <si>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</si>
  <si>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</si>
  <si>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</si>
  <si>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</si>
  <si>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</si>
  <si>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</si>
  <si>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</si>
  <si>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</si>
  <si>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</si>
  <si>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</si>
  <si>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</si>
  <si>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</si>
  <si>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</si>
  <si>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</si>
  <si>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</si>
  <si>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</si>
  <si>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</si>
  <si>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</si>
  <si>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</si>
  <si>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</si>
  <si>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</si>
  <si>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</si>
  <si>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</si>
  <si>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</si>
  <si>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</si>
  <si>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</si>
  <si>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</si>
  <si>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</si>
  <si>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</si>
  <si>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</si>
  <si>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</si>
  <si>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</si>
  <si>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</si>
  <si>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</si>
  <si>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</si>
  <si>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</si>
  <si>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</si>
  <si>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</si>
  <si>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</si>
  <si>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</si>
  <si>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</si>
  <si>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</si>
  <si>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</si>
  <si>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</si>
  <si>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</si>
  <si>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</si>
  <si>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</si>
  <si>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</si>
  <si>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</si>
  <si>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</si>
  <si>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</si>
  <si>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</si>
  <si>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</si>
  <si>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</si>
  <si>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</si>
  <si>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</si>
  <si>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</si>
  <si>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</si>
  <si>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</si>
  <si>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</si>
  <si>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</si>
  <si>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</si>
  <si>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</si>
  <si>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</si>
  <si>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</si>
  <si>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</si>
  <si>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</si>
  <si>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</si>
  <si>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</si>
  <si>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</si>
  <si>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</si>
  <si>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</si>
  <si>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</si>
  <si>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</si>
  <si>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</si>
  <si>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</si>
  <si>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</si>
  <si>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</si>
  <si>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</si>
  <si>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</si>
  <si>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</si>
  <si>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</si>
  <si>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</si>
  <si>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</si>
  <si>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</si>
  <si>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</si>
  <si>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</si>
  <si>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</si>
  <si>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</si>
  <si>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</si>
  <si>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</si>
  <si>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</si>
  <si>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</si>
  <si>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</si>
  <si>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</si>
  <si>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</si>
  <si>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</si>
  <si>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</si>
  <si>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</si>
  <si>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</si>
  <si>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</si>
  <si>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</si>
  <si>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</si>
  <si>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</si>
  <si>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</si>
  <si>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</si>
  <si>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</si>
  <si>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</si>
  <si>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</si>
  <si>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</si>
  <si>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</si>
  <si>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</si>
  <si>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</si>
  <si>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</si>
  <si>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</si>
  <si>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</si>
  <si>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</si>
  <si>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</si>
  <si>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</si>
  <si>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</si>
  <si>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</si>
  <si>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</si>
  <si>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</si>
  <si>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</si>
  <si>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</si>
  <si>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</si>
  <si>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</si>
  <si>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</si>
  <si>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</si>
  <si>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</si>
  <si>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</si>
  <si>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</si>
  <si>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</si>
  <si>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</si>
  <si>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</si>
  <si>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</si>
  <si>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</si>
  <si>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</si>
  <si>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</si>
  <si>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</si>
  <si>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</si>
  <si>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</si>
  <si>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</si>
  <si>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</si>
  <si>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</si>
  <si>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</si>
  <si>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</si>
  <si>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</si>
  <si>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</si>
  <si>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</si>
  <si>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</si>
  <si>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</si>
  <si>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</si>
  <si>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</si>
  <si>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</si>
  <si>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</si>
  <si>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</si>
  <si>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</si>
  <si>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</si>
  <si>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</si>
  <si>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</si>
  <si>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</si>
  <si>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</si>
  <si>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</si>
  <si>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</si>
  <si>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</si>
  <si>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</si>
  <si>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</si>
  <si>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</si>
  <si>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</si>
  <si>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</si>
  <si>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</si>
  <si>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</si>
  <si>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</si>
  <si>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</si>
  <si>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</si>
  <si>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</si>
  <si>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</si>
  <si>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</si>
  <si>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</si>
  <si>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</si>
  <si>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</si>
  <si>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</si>
  <si>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</si>
  <si>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</si>
  <si>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</si>
  <si>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</si>
  <si>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</si>
  <si>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</si>
  <si>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</si>
  <si>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</si>
  <si>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</si>
  <si>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</si>
  <si>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</si>
  <si>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</si>
  <si>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</si>
  <si>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</si>
  <si>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</si>
  <si>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</si>
  <si>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</si>
  <si>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</si>
  <si>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</si>
  <si>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</si>
  <si>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</si>
  <si>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</si>
  <si>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</si>
  <si>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</si>
  <si>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</si>
  <si>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</si>
  <si>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</si>
  <si>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</si>
  <si>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</si>
  <si>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</si>
  <si>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</si>
  <si>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</si>
  <si>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</si>
  <si>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</si>
  <si>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</si>
  <si>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</si>
  <si>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</si>
  <si>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</si>
  <si>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</si>
  <si>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</si>
  <si>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</si>
  <si>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</si>
  <si>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</si>
  <si>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</si>
  <si>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</si>
  <si>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</si>
  <si>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</si>
  <si>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</si>
  <si>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</si>
  <si>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</si>
  <si>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</si>
  <si>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</si>
  <si>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</si>
  <si>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</si>
  <si>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</si>
  <si>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</si>
  <si>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</si>
  <si>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</si>
  <si>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</si>
  <si>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</si>
  <si>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</si>
  <si>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</si>
  <si>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</si>
  <si>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</si>
  <si>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</si>
  <si>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</si>
  <si>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</si>
  <si>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</si>
  <si>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</si>
  <si>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</si>
  <si>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</si>
  <si>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</si>
  <si>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</si>
  <si>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</si>
  <si>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</si>
  <si>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</si>
  <si>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</si>
  <si>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</si>
  <si>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</si>
  <si>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</si>
  <si>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</si>
  <si>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</si>
  <si>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</si>
  <si>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</si>
  <si>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</si>
  <si>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</si>
  <si>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</si>
  <si>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</si>
  <si>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</si>
  <si>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</si>
  <si>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</si>
  <si>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</si>
  <si>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</si>
  <si>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</si>
  <si>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</si>
  <si>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</si>
  <si>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</si>
  <si>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</si>
  <si>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</si>
  <si>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</si>
  <si>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</si>
  <si>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</si>
  <si>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</si>
  <si>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</si>
  <si>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</si>
  <si>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</si>
  <si>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</si>
  <si>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</si>
  <si>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</si>
  <si>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</si>
  <si>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</si>
  <si>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</si>
  <si>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</si>
  <si>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</si>
  <si>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</si>
  <si>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</si>
  <si>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</si>
  <si>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</si>
  <si>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</si>
  <si>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</si>
  <si>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</si>
  <si>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</si>
  <si>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</si>
  <si>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</si>
  <si>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</si>
  <si>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</si>
  <si>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</si>
  <si>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</si>
  <si>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</si>
  <si>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</si>
  <si>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</si>
  <si>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</si>
  <si>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</si>
  <si>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</si>
  <si>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</si>
  <si>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</si>
  <si>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</si>
  <si>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</si>
  <si>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</si>
  <si>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</si>
  <si>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</si>
  <si>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</si>
  <si>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</si>
  <si>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</si>
  <si>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</si>
  <si>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</si>
  <si>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</si>
  <si>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</si>
  <si>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</si>
  <si>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</si>
  <si>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</si>
  <si>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</si>
  <si>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</si>
  <si>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</si>
  <si>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</si>
  <si>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</si>
  <si>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</si>
  <si>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</si>
  <si>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</si>
  <si>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</si>
  <si>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</si>
  <si>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</si>
  <si>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</si>
  <si>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</si>
  <si>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</si>
  <si>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</si>
  <si>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</si>
  <si>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</si>
  <si>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</si>
  <si>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</si>
  <si>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</si>
  <si>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</si>
  <si>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</si>
  <si>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</si>
  <si>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</si>
  <si>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</si>
  <si>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</si>
  <si>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</si>
  <si>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</si>
  <si>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</si>
  <si>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</si>
  <si>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</si>
  <si>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</si>
  <si>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</si>
  <si>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</si>
  <si>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</si>
  <si>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</si>
  <si>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</si>
  <si>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</si>
  <si>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</si>
  <si>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</si>
  <si>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</si>
  <si>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</si>
  <si>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</si>
  <si>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</si>
  <si>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</si>
  <si>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</si>
  <si>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</si>
  <si>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</si>
  <si>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</si>
  <si>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</si>
  <si>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</si>
  <si>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</si>
  <si>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</si>
  <si>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</si>
  <si>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</si>
  <si>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</si>
  <si>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</si>
  <si>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</si>
  <si>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</si>
  <si>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</si>
  <si>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</si>
  <si>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</si>
  <si>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</si>
  <si>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</si>
  <si>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</si>
  <si>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</si>
  <si>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</si>
  <si>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</si>
  <si>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</si>
  <si>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</si>
  <si>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</si>
  <si>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</si>
  <si>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</si>
  <si>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</si>
  <si>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</si>
  <si>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</si>
  <si>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</si>
  <si>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</si>
  <si>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</si>
  <si>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</si>
  <si>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</si>
  <si>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</si>
  <si>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</si>
  <si>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</si>
  <si>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</si>
  <si>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</si>
  <si>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</si>
  <si>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</si>
  <si>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</si>
  <si>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</si>
  <si>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</si>
  <si>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</si>
  <si>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</si>
  <si>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</si>
  <si>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</si>
  <si>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</si>
  <si>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</si>
  <si>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</si>
  <si>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</si>
  <si>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</si>
  <si>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</si>
  <si>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</si>
  <si>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</si>
  <si>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</si>
  <si>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</si>
  <si>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</si>
  <si>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</si>
  <si>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</si>
  <si>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</si>
  <si>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</si>
  <si>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</si>
  <si>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</si>
  <si>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</si>
  <si>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</si>
  <si>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</si>
  <si>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</si>
  <si>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</si>
  <si>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</si>
  <si>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</si>
  <si>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</si>
  <si>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</si>
  <si>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</si>
  <si>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</si>
  <si>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</si>
  <si>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</si>
  <si>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</si>
  <si>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</si>
  <si>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</si>
  <si>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</si>
  <si>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</si>
  <si>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</si>
  <si>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</si>
  <si>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</si>
  <si>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</si>
  <si>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</si>
  <si>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</si>
  <si>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</si>
  <si>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</si>
  <si>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</si>
  <si>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</si>
  <si>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</si>
  <si>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</si>
  <si>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</si>
  <si>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</si>
  <si>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</si>
  <si>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</si>
  <si>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</si>
  <si>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</si>
  <si>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</si>
  <si>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</si>
  <si>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</si>
  <si>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</si>
  <si>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</si>
  <si>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</si>
  <si>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</si>
  <si>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</si>
  <si>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</si>
  <si>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</si>
  <si>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</si>
  <si>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</si>
  <si>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</si>
  <si>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</si>
  <si>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</si>
  <si>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</si>
  <si>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</si>
  <si>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</si>
  <si>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</si>
  <si>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</si>
  <si>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</si>
  <si>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</si>
  <si>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</si>
  <si>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</si>
  <si>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</si>
  <si>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</si>
  <si>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</si>
  <si>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</si>
  <si>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</si>
  <si>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</si>
  <si>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</si>
  <si>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</si>
  <si>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</si>
  <si>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</si>
  <si>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</si>
  <si>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</si>
  <si>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</si>
  <si>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</si>
  <si>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</si>
  <si>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</si>
  <si>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</si>
  <si>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</si>
  <si>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</si>
  <si>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</si>
  <si>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</si>
  <si>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</si>
  <si>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</si>
  <si>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</si>
  <si>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</si>
  <si>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</si>
  <si>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</si>
  <si>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</si>
  <si>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</si>
  <si>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</si>
  <si>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</si>
  <si>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</si>
  <si>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</si>
  <si>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</si>
  <si>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</si>
  <si>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</si>
  <si>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</si>
  <si>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</si>
  <si>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</si>
  <si>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</si>
  <si>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</si>
  <si>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</si>
  <si>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</si>
  <si>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</si>
  <si>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</si>
  <si>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</si>
  <si>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</si>
  <si>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</si>
  <si>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</si>
  <si>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</si>
  <si>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</si>
  <si>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</si>
  <si>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</si>
  <si>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</si>
  <si>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</si>
  <si>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</si>
  <si>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</si>
  <si>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</si>
  <si>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</si>
  <si>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</si>
  <si>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</si>
  <si>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</si>
  <si>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</si>
  <si>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</si>
  <si>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</si>
  <si>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</si>
  <si>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</si>
  <si>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</si>
  <si>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</si>
  <si>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</si>
  <si>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</si>
  <si>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</si>
  <si>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</si>
  <si>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</si>
  <si>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</si>
  <si>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</si>
  <si>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</si>
  <si>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</si>
  <si>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</si>
  <si>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</si>
  <si>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</si>
  <si>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</si>
  <si>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</si>
  <si>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</si>
  <si>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</si>
  <si>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</si>
  <si>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</si>
  <si>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</si>
  <si>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</si>
  <si>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</si>
  <si>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</si>
  <si>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</si>
  <si>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</si>
  <si>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</si>
  <si>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</si>
  <si>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</si>
  <si>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</si>
  <si>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</si>
  <si>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</si>
  <si>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</si>
  <si>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</si>
  <si>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</si>
  <si>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</si>
  <si>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</si>
  <si>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</si>
  <si>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</si>
  <si>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</si>
  <si>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</si>
  <si>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</si>
  <si>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</si>
  <si>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</si>
  <si>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</si>
  <si>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</si>
  <si>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</si>
  <si>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</si>
  <si>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</si>
  <si>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</si>
  <si>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</si>
  <si>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</si>
  <si>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</si>
  <si>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</si>
  <si>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</si>
  <si>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</si>
  <si>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</si>
  <si>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</si>
  <si>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</si>
  <si>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</si>
  <si>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</si>
  <si>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</si>
  <si>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</si>
  <si>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</si>
  <si>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</si>
  <si>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</si>
  <si>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</si>
  <si>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</si>
  <si>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</si>
  <si>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</si>
  <si>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</si>
  <si>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</si>
  <si>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</si>
  <si>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</si>
  <si>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</si>
  <si>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</si>
  <si>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</si>
  <si>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</si>
  <si>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</si>
  <si>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</si>
  <si>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</si>
  <si>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</si>
  <si>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</si>
  <si>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</si>
  <si>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</si>
  <si>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</si>
  <si>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</si>
  <si>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</si>
  <si>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</si>
  <si>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</si>
  <si>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</si>
  <si>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</si>
  <si>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</si>
  <si>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</si>
  <si>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</si>
  <si>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</si>
  <si>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</si>
  <si>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</si>
  <si>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</si>
  <si>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</si>
  <si>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</si>
  <si>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</si>
  <si>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</si>
  <si>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</si>
  <si>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</si>
  <si>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</si>
  <si>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</si>
  <si>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</si>
  <si>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</si>
  <si>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</si>
  <si>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</si>
  <si>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</si>
  <si>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</si>
  <si>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</si>
  <si>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</si>
  <si>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</si>
  <si>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</si>
  <si>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</si>
  <si>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</si>
  <si>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</si>
  <si>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</si>
  <si>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</si>
  <si>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</si>
  <si>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</si>
  <si>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</si>
  <si>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</si>
  <si>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</si>
  <si>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</si>
  <si>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</si>
  <si>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</si>
  <si>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</si>
  <si>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</si>
  <si>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</si>
  <si>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</si>
  <si>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</si>
  <si>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</si>
  <si>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</si>
  <si>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</si>
  <si>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</si>
  <si>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</si>
  <si>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</si>
  <si>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</si>
  <si>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</si>
  <si>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</si>
  <si>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</si>
  <si>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</si>
  <si>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</si>
  <si>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</si>
  <si>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</si>
  <si>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</si>
  <si>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</si>
  <si>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</si>
  <si>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</si>
  <si>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</si>
  <si>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</si>
  <si>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</si>
  <si>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</si>
  <si>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</si>
  <si>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</si>
  <si>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</si>
  <si>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</si>
  <si>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</si>
  <si>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</si>
  <si>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</si>
  <si>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</si>
  <si>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</si>
  <si>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</si>
  <si>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</si>
  <si>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</si>
  <si>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</si>
  <si>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</si>
  <si>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</si>
  <si>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</si>
  <si>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</si>
  <si>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</si>
  <si>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</si>
  <si>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</si>
  <si>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</si>
  <si>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</si>
  <si>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</si>
  <si>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</si>
  <si>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</si>
  <si>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</si>
  <si>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</si>
  <si>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</si>
  <si>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</si>
  <si>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</si>
  <si>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</si>
  <si>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</si>
  <si>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</si>
  <si>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</si>
  <si>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</si>
  <si>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</si>
  <si>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</si>
  <si>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</si>
  <si>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</si>
  <si>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</si>
  <si>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</si>
  <si>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</si>
  <si>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</si>
  <si>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</si>
  <si>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</si>
  <si>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</si>
  <si>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</si>
  <si>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</si>
  <si>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</si>
  <si>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</si>
  <si>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</si>
  <si>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</si>
  <si>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</si>
  <si>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</si>
  <si>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</si>
  <si>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</si>
  <si>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</si>
  <si>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</si>
  <si>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</si>
  <si>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</si>
  <si>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</si>
  <si>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</si>
  <si>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</si>
  <si>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</si>
  <si>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</si>
  <si>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</si>
  <si>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</si>
  <si>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</si>
  <si>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</si>
  <si>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</si>
  <si>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</si>
  <si>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</si>
  <si>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</si>
  <si>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</si>
  <si>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</si>
  <si>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</si>
  <si>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</si>
  <si>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</si>
  <si>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</si>
  <si>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</si>
  <si>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</si>
  <si>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</si>
  <si>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</si>
  <si>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</si>
  <si>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</si>
  <si>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</si>
  <si>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</si>
  <si>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</si>
  <si>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</si>
  <si>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</si>
  <si>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</si>
  <si>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</si>
  <si>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</si>
  <si>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</si>
  <si>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</si>
  <si>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</si>
  <si>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</si>
  <si>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</si>
  <si>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</si>
  <si>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</si>
  <si>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</si>
  <si>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</si>
  <si>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</si>
  <si>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</si>
  <si>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</si>
  <si>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</si>
  <si>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</si>
  <si>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</si>
  <si>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</si>
  <si>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</si>
  <si>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</si>
  <si>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</si>
  <si>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</si>
  <si>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</si>
  <si>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</si>
  <si>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</si>
  <si>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</si>
  <si>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</si>
  <si>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</si>
  <si>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</si>
  <si>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</si>
  <si>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</si>
  <si>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</si>
  <si>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</si>
  <si>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</si>
  <si>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</si>
  <si>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</si>
  <si>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</si>
  <si>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</si>
  <si>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</si>
  <si>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</si>
  <si>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</si>
  <si>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</si>
  <si>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</si>
  <si>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</si>
  <si>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</si>
  <si>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</si>
  <si>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</si>
  <si>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</si>
  <si>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</si>
  <si>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</si>
  <si>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</si>
  <si>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</si>
  <si>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</si>
  <si>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</si>
  <si>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</si>
  <si>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</si>
  <si>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</si>
  <si>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</si>
  <si>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</si>
  <si>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</si>
  <si>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</si>
  <si>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</si>
  <si>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</si>
  <si>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</si>
  <si>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</si>
  <si>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</si>
  <si>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</si>
  <si>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</si>
  <si>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</si>
  <si>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</si>
  <si>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</si>
  <si>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</si>
  <si>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</si>
  <si>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</si>
  <si>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</si>
  <si>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</si>
  <si>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</si>
  <si>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</si>
  <si>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</si>
  <si>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</si>
  <si>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</si>
  <si>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</si>
  <si>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</si>
  <si>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</si>
  <si>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</si>
  <si>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</si>
  <si>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</si>
  <si>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</si>
  <si>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</si>
  <si>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</si>
  <si>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</si>
  <si>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</si>
  <si>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</si>
  <si>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</si>
  <si>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</si>
  <si>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</si>
  <si>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</si>
  <si>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</si>
  <si>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</si>
  <si>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</si>
  <si>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</si>
  <si>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</si>
  <si>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</si>
  <si>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</si>
  <si>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</si>
  <si>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</si>
  <si>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</si>
  <si>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</si>
  <si>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</si>
  <si>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</si>
  <si>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</si>
  <si>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</si>
  <si>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</si>
  <si>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</si>
  <si>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</si>
  <si>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</si>
  <si>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</si>
  <si>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</si>
  <si>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</si>
  <si>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</si>
  <si>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</si>
  <si>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</si>
  <si>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</si>
  <si>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</si>
  <si>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</si>
  <si>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</si>
  <si>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</si>
  <si>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</si>
  <si>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</si>
  <si>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</si>
  <si>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</si>
  <si>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</si>
  <si>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</si>
  <si>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</si>
  <si>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</si>
  <si>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</si>
  <si>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</si>
  <si>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</si>
  <si>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</si>
  <si>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</si>
  <si>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</si>
  <si>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</si>
  <si>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</si>
  <si>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</si>
  <si>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</si>
  <si>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</si>
  <si>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</si>
  <si>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</si>
  <si>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</si>
  <si>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</si>
  <si>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</si>
  <si>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</si>
  <si>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</si>
  <si>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</si>
  <si>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</si>
  <si>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</si>
  <si>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</si>
  <si>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</si>
  <si>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</si>
  <si>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</si>
  <si>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</si>
  <si>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</si>
  <si>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</si>
  <si>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</si>
  <si>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</si>
  <si>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</si>
  <si>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</si>
  <si>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</si>
  <si>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</si>
  <si>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</si>
  <si>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</si>
  <si>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</si>
  <si>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</si>
  <si>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</si>
  <si>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</si>
  <si>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</si>
  <si>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</si>
  <si>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</si>
  <si>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</si>
  <si>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</si>
  <si>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</si>
  <si>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</si>
  <si>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</si>
  <si>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</si>
  <si>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</si>
  <si>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</si>
  <si>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</si>
  <si>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</si>
  <si>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</si>
  <si>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</si>
  <si>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</si>
  <si>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</si>
  <si>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</si>
  <si>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</si>
  <si>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</si>
  <si>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</si>
  <si>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</si>
  <si>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</si>
  <si>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</si>
  <si>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</si>
  <si>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</si>
  <si>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</si>
  <si>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</si>
  <si>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</si>
  <si>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</si>
  <si>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</si>
  <si>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</si>
  <si>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</si>
  <si>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</si>
  <si>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</si>
  <si>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</si>
  <si>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</si>
  <si>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</si>
  <si>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</si>
  <si>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</si>
  <si>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</si>
  <si>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</si>
  <si>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</si>
  <si>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</si>
  <si>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</si>
  <si>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</si>
  <si>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</si>
  <si>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</si>
  <si>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</si>
  <si>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</si>
  <si>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</si>
  <si>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</si>
  <si>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</si>
  <si>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</si>
  <si>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</si>
  <si>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</si>
  <si>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</si>
  <si>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</si>
  <si>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</si>
  <si>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</si>
  <si>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</si>
  <si>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</si>
  <si>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</si>
  <si>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</si>
  <si>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</si>
  <si>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</si>
  <si>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</si>
  <si>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</si>
  <si>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</si>
  <si>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</si>
  <si>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</si>
  <si>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</si>
  <si>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</si>
  <si>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</si>
  <si>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</si>
  <si>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</si>
  <si>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</si>
  <si>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</si>
  <si>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</si>
  <si>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</si>
  <si>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</si>
  <si>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</si>
  <si>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</si>
  <si>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</si>
  <si>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</si>
  <si>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</si>
  <si>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</si>
  <si>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</si>
  <si>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</si>
  <si>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</si>
  <si>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</si>
  <si>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</si>
  <si>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</si>
  <si>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</si>
  <si>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</si>
  <si>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</si>
  <si>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</si>
  <si>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</si>
  <si>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</si>
  <si>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</si>
  <si>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</si>
  <si>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</si>
  <si>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</si>
  <si>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</si>
  <si>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</si>
  <si>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</si>
  <si>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</si>
  <si>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</si>
  <si>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</si>
  <si>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</si>
  <si>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</si>
  <si>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</si>
  <si>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</si>
  <si>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</si>
  <si>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</si>
  <si>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</si>
  <si>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</si>
  <si>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</si>
  <si>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</si>
  <si>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</si>
  <si>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</si>
  <si>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</si>
  <si>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</si>
  <si>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</si>
  <si>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</si>
  <si>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</si>
  <si>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</si>
  <si>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</si>
  <si>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</si>
  <si>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</si>
  <si>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</si>
  <si>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</si>
  <si>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</si>
  <si>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</si>
  <si>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</si>
  <si>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</si>
  <si>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</si>
  <si>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</si>
  <si>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</si>
  <si>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</si>
  <si>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</si>
  <si>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</si>
  <si>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</si>
  <si>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</si>
  <si>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</si>
  <si>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</si>
  <si>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</si>
  <si>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</si>
  <si>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</si>
  <si>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</si>
  <si>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</si>
  <si>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</si>
  <si>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</si>
  <si>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</si>
  <si>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</si>
  <si>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</si>
  <si>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</si>
  <si>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</si>
  <si>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</si>
  <si>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</si>
  <si>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</si>
  <si>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</si>
  <si>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</si>
  <si>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</si>
  <si>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</si>
  <si>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</si>
  <si>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</si>
  <si>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</si>
  <si>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</si>
  <si>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</si>
  <si>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</si>
  <si>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</si>
  <si>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</si>
  <si>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</si>
  <si>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</si>
  <si>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</si>
  <si>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</si>
  <si>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</si>
  <si>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</si>
  <si>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</si>
  <si>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</si>
  <si>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</si>
  <si>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</si>
  <si>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</si>
  <si>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</si>
  <si>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</si>
  <si>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</si>
  <si>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</si>
  <si>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</si>
  <si>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</si>
  <si>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</si>
  <si>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</si>
  <si>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</si>
  <si>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</si>
  <si>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</si>
  <si>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</si>
  <si>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</si>
  <si>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</si>
  <si>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</si>
  <si>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</si>
  <si>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</si>
  <si>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</si>
  <si>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</si>
  <si>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</si>
  <si>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</si>
  <si>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</si>
  <si>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</si>
  <si>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</si>
  <si>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</si>
  <si>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</si>
  <si>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</si>
  <si>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</si>
  <si>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</si>
  <si>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</si>
  <si>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</si>
  <si>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</si>
  <si>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</si>
  <si>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</si>
  <si>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</si>
  <si>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</si>
  <si>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</si>
  <si>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</si>
  <si>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</si>
  <si>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</si>
  <si>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</si>
  <si>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</si>
  <si>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</si>
  <si>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</si>
  <si>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</si>
  <si>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</si>
  <si>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</si>
  <si>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</si>
  <si>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</si>
  <si>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</si>
  <si>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</si>
  <si>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</si>
  <si>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</si>
  <si>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</si>
  <si>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</si>
  <si>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</si>
  <si>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</si>
  <si>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</si>
  <si>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</si>
  <si>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</si>
  <si>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</si>
  <si>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</si>
  <si>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</si>
  <si>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</si>
  <si>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</si>
  <si>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</si>
  <si>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</si>
  <si>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</si>
  <si>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</si>
  <si>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</si>
  <si>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</si>
  <si>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</si>
  <si>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</si>
  <si>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</si>
  <si>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</si>
  <si>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</si>
  <si>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</si>
  <si>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</si>
  <si>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</si>
  <si>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</si>
  <si>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</si>
  <si>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</si>
  <si>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</si>
  <si>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</si>
  <si>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</si>
  <si>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</si>
  <si>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</si>
  <si>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</si>
  <si>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</si>
  <si>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</si>
  <si>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</si>
  <si>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</si>
  <si>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</si>
  <si>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</si>
  <si>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</si>
  <si>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</si>
  <si>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</si>
  <si>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</si>
  <si>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</si>
  <si>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</si>
  <si>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</si>
  <si>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</si>
  <si>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</si>
  <si>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</si>
  <si>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</si>
  <si>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</si>
  <si>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</si>
  <si>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</si>
  <si>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</si>
  <si>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</si>
  <si>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</si>
  <si>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</si>
  <si>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</si>
  <si>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</si>
  <si>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</si>
  <si>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</si>
  <si>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</si>
  <si>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</si>
  <si>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</si>
  <si>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</si>
  <si>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</si>
  <si>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</si>
  <si>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</si>
  <si>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</si>
  <si>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</si>
  <si>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</si>
  <si>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</si>
  <si>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</si>
  <si>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</si>
  <si>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</si>
  <si>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</si>
  <si>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</si>
  <si>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</si>
  <si>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</si>
  <si>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</si>
  <si>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</si>
  <si>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</si>
  <si>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</si>
  <si>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</si>
  <si>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</si>
  <si>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</si>
  <si>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</si>
  <si>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</si>
  <si>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</si>
  <si>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</si>
  <si>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</si>
  <si>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</si>
  <si>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</si>
  <si>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</si>
  <si>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</si>
  <si>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</si>
  <si>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</si>
  <si>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</si>
  <si>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</si>
  <si>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</si>
  <si>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</si>
  <si>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</si>
  <si>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</si>
  <si>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</si>
  <si>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</si>
  <si>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</si>
  <si>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</si>
  <si>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</si>
  <si>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</si>
  <si>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</si>
  <si>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</si>
  <si>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</si>
  <si>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</si>
  <si>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</si>
  <si>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</si>
  <si>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</si>
  <si>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</si>
  <si>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</si>
  <si>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</si>
  <si>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</si>
  <si>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</si>
  <si>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</si>
  <si>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</si>
  <si>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</si>
  <si>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</si>
  <si>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</si>
  <si>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</si>
  <si>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</si>
  <si>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</si>
  <si>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</si>
  <si>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</si>
  <si>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</si>
  <si>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</si>
  <si>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</si>
  <si>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</si>
  <si>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</si>
  <si>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</si>
  <si>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</si>
  <si>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</si>
  <si>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</si>
  <si>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</si>
  <si>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</si>
  <si>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</si>
  <si>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</si>
  <si>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</si>
  <si>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</si>
  <si>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</si>
  <si>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</si>
  <si>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</si>
  <si>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</si>
  <si>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</si>
  <si>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</si>
  <si>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</si>
  <si>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</si>
  <si>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</si>
  <si>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</si>
  <si>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</si>
  <si>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</si>
  <si>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</si>
  <si>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</si>
  <si>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</si>
  <si>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</si>
  <si>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</si>
  <si>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</si>
  <si>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</si>
  <si>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</si>
  <si>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</si>
  <si>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</si>
  <si>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</si>
  <si>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</si>
  <si>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</si>
  <si>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</si>
  <si>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</si>
  <si>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</si>
  <si>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</si>
  <si>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</si>
  <si>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</si>
  <si>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</si>
  <si>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</si>
  <si>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</si>
  <si>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</si>
  <si>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</si>
  <si>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</si>
  <si>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</si>
  <si>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</si>
  <si>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</si>
  <si>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</si>
  <si>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</si>
  <si>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</si>
  <si>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</si>
  <si>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</si>
  <si>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</si>
  <si>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</si>
  <si>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</si>
  <si>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</si>
  <si>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</si>
  <si>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</si>
  <si>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</si>
  <si>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</si>
  <si>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</si>
  <si>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</si>
  <si>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</si>
  <si>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</si>
  <si>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</si>
  <si>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</si>
  <si>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</si>
  <si>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</si>
  <si>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</si>
  <si>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</si>
  <si>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</si>
  <si>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</si>
  <si>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</si>
  <si>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</si>
  <si>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</si>
  <si>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</si>
  <si>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</si>
  <si>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</si>
  <si>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</si>
  <si>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</si>
  <si>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</si>
  <si>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</si>
  <si>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</si>
  <si>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</si>
  <si>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</si>
  <si>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</si>
  <si>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</si>
  <si>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</si>
  <si>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</si>
  <si>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</si>
  <si>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</si>
  <si>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</si>
  <si>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</si>
  <si>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</si>
  <si>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</si>
  <si>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</si>
  <si>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</si>
  <si>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</si>
  <si>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</si>
  <si>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</si>
  <si>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</si>
  <si>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</si>
  <si>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</si>
  <si>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</si>
  <si>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</si>
  <si>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</si>
  <si>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</si>
  <si>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</si>
  <si>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</si>
  <si>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</si>
  <si>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</si>
  <si>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</si>
  <si>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</si>
  <si>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</si>
  <si>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</si>
  <si>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</si>
  <si>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</si>
  <si>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</si>
  <si>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</si>
  <si>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</si>
  <si>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</si>
  <si>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</si>
  <si>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</si>
  <si>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</si>
  <si>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</si>
  <si>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</si>
  <si>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</si>
  <si>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</si>
  <si>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</si>
  <si>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</si>
  <si>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</si>
  <si>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</si>
  <si>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</si>
  <si>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</si>
  <si>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</si>
  <si>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</si>
  <si>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</si>
  <si>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</si>
  <si>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</si>
  <si>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</si>
  <si>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</si>
  <si>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</si>
  <si>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</si>
  <si>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</si>
  <si>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</si>
  <si>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</si>
  <si>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</si>
  <si>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</si>
  <si>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</si>
  <si>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</si>
  <si>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</si>
  <si>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</si>
  <si>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</si>
  <si>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</si>
  <si>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</si>
  <si>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</si>
  <si>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</si>
  <si>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</si>
  <si>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</si>
  <si>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</si>
  <si>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</si>
  <si>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</si>
  <si>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</si>
  <si>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</si>
  <si>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</si>
  <si>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</si>
  <si>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</si>
  <si>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</si>
  <si>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</si>
  <si>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</si>
  <si>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</si>
  <si>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</si>
  <si>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</si>
  <si>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</si>
  <si>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</si>
  <si>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</si>
  <si>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</si>
  <si>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</si>
  <si>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</si>
  <si>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</si>
  <si>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</si>
  <si>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</si>
  <si>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</si>
  <si>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</si>
  <si>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</si>
  <si>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</si>
  <si>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</si>
  <si>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</si>
  <si>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</si>
  <si>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</si>
  <si>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</si>
  <si>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</si>
  <si>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</si>
  <si>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</si>
  <si>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</si>
  <si>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</si>
  <si>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</si>
  <si>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</si>
  <si>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</si>
  <si>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</si>
  <si>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</si>
  <si>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</si>
  <si>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</si>
  <si>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</si>
  <si>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</si>
  <si>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</si>
  <si>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</si>
  <si>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</si>
  <si>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</si>
  <si>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</si>
  <si>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</si>
  <si>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</si>
  <si>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</si>
  <si>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</si>
  <si>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</si>
  <si>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</si>
  <si>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</si>
  <si>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</si>
  <si>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</si>
  <si>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</si>
  <si>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</si>
  <si>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</si>
  <si>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</si>
  <si>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</si>
  <si>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</si>
  <si>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</si>
  <si>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</si>
  <si>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</si>
  <si>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</si>
  <si>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</si>
  <si>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</si>
  <si>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</si>
  <si>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</si>
  <si>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</si>
  <si>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</si>
  <si>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</si>
  <si>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</si>
  <si>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</si>
  <si>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</si>
  <si>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</si>
  <si>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</si>
  <si>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</si>
  <si>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</si>
  <si>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</si>
  <si>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</si>
  <si>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</si>
  <si>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</si>
  <si>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</si>
  <si>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</si>
  <si>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</si>
  <si>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</si>
  <si>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</si>
  <si>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</si>
  <si>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</si>
  <si>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</si>
  <si>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</si>
  <si>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</si>
  <si>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</si>
  <si>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</si>
  <si>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</si>
  <si>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</si>
  <si>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</si>
  <si>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</si>
  <si>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</si>
  <si>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</si>
  <si>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</si>
  <si>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</si>
  <si>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</si>
  <si>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</si>
  <si>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</si>
  <si>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</si>
  <si>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</si>
  <si>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</si>
  <si>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</si>
  <si>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</si>
  <si>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</si>
  <si>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</si>
  <si>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</si>
  <si>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</si>
  <si>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</si>
  <si>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</si>
  <si>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</si>
  <si>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</si>
  <si>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</si>
  <si>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</si>
  <si>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</si>
  <si>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</si>
  <si>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</si>
  <si>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</si>
  <si>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</si>
  <si>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</si>
  <si>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</si>
  <si>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</si>
  <si>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</si>
  <si>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</si>
  <si>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</si>
  <si>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</si>
  <si>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</si>
  <si>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</si>
  <si>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</si>
  <si>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</si>
  <si>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</si>
  <si>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</si>
  <si>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</si>
  <si>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</si>
  <si>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</si>
  <si>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</si>
  <si>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</si>
  <si>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</si>
  <si>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</si>
  <si>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</si>
  <si>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</si>
  <si>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</si>
  <si>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</si>
  <si>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</si>
  <si>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</si>
  <si>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</si>
  <si>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</si>
  <si>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</si>
  <si>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</si>
  <si>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</si>
  <si>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</si>
  <si>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</si>
  <si>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</si>
  <si>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</si>
  <si>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</si>
  <si>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</si>
  <si>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</si>
  <si>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</si>
  <si>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</si>
  <si>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</si>
  <si>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</si>
  <si>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</si>
  <si>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</si>
  <si>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</si>
  <si>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</si>
  <si>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</si>
  <si>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</si>
  <si>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</si>
  <si>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</si>
  <si>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</si>
  <si>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</si>
  <si>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</si>
  <si>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</si>
  <si>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</si>
  <si>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</si>
  <si>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</si>
  <si>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</si>
  <si>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</si>
  <si>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</si>
  <si>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</si>
  <si>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</si>
  <si>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</si>
  <si>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</si>
  <si>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</si>
  <si>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</si>
  <si>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</si>
  <si>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</si>
  <si>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</si>
  <si>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</si>
  <si>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</si>
  <si>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</si>
  <si>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</si>
  <si>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</si>
  <si>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</si>
  <si>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</si>
  <si>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</si>
  <si>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</si>
  <si>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</si>
  <si>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</si>
  <si>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</si>
  <si>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</si>
  <si>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</si>
  <si>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</si>
  <si>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</si>
  <si>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</si>
  <si>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</si>
  <si>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</si>
  <si>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</si>
  <si>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</si>
  <si>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</si>
  <si>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</si>
  <si>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</si>
  <si>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</si>
  <si>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</si>
  <si>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</si>
  <si>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</si>
  <si>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</si>
  <si>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</si>
  <si>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</si>
  <si>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</si>
  <si>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</si>
  <si>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</si>
  <si>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</si>
  <si>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</si>
  <si>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</si>
  <si>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</si>
  <si>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</si>
  <si>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</si>
  <si>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</si>
  <si>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</si>
  <si>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</si>
  <si>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</si>
  <si>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</si>
  <si>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</si>
  <si>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</si>
  <si>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</si>
  <si>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</si>
  <si>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</si>
  <si>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</si>
  <si>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</si>
  <si>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</si>
  <si>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</si>
  <si>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</si>
  <si>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</si>
  <si>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</si>
  <si>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</si>
  <si>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</si>
  <si>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</si>
  <si>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</si>
  <si>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</si>
  <si>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</si>
  <si>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</si>
  <si>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</si>
  <si>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</si>
  <si>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</si>
  <si>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</si>
  <si>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</si>
  <si>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</si>
  <si>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</si>
  <si>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</si>
  <si>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</si>
  <si>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</si>
  <si>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</si>
  <si>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</si>
  <si>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</si>
  <si>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</si>
  <si>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</si>
  <si>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</si>
  <si>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</si>
  <si>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</si>
  <si>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</si>
  <si>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</si>
  <si>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</si>
  <si>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</si>
  <si>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</si>
  <si>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</si>
  <si>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</si>
  <si>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</si>
  <si>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</si>
  <si>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</si>
  <si>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</si>
  <si>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</si>
  <si>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</si>
  <si>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</si>
  <si>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</si>
  <si>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</si>
  <si>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</si>
  <si>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</si>
  <si>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</si>
  <si>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</si>
  <si>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</si>
  <si>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</si>
  <si>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</si>
  <si>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</si>
  <si>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</si>
  <si>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</si>
  <si>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</si>
  <si>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</si>
  <si>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</si>
  <si>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</si>
  <si>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</si>
  <si>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</si>
  <si>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</si>
  <si>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</si>
  <si>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</si>
  <si>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</si>
  <si>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</si>
  <si>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</si>
  <si>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</si>
  <si>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</si>
  <si>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</si>
  <si>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</si>
  <si>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</si>
  <si>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</si>
  <si>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</si>
  <si>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</si>
  <si>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</si>
  <si>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</si>
  <si>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</si>
  <si>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</si>
  <si>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</si>
  <si>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</si>
  <si>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</si>
  <si>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</si>
  <si>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</si>
  <si>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</si>
  <si>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</si>
  <si>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</si>
  <si>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</si>
  <si>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</si>
  <si>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</si>
  <si>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</si>
  <si>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</si>
  <si>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</si>
  <si>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</si>
  <si>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</si>
  <si>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</si>
  <si>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</si>
  <si>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</si>
  <si>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</si>
  <si>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</si>
  <si>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</si>
  <si>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</si>
  <si>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</si>
  <si>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</si>
  <si>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</si>
  <si>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</si>
  <si>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</si>
  <si>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</si>
  <si>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</si>
  <si>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</si>
  <si>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</si>
  <si>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</si>
  <si>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</si>
  <si>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</si>
  <si>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</si>
  <si>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</si>
  <si>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</si>
  <si>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</si>
  <si>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</si>
  <si>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</si>
  <si>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</si>
  <si>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</si>
  <si>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</si>
  <si>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</si>
  <si>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</si>
  <si>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</si>
  <si>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</si>
  <si>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</si>
  <si>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</si>
  <si>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</si>
  <si>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</si>
  <si>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</si>
  <si>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</si>
  <si>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</si>
  <si>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</si>
  <si>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</si>
  <si>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</si>
  <si>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</si>
  <si>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</si>
  <si>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</si>
  <si>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</si>
  <si>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</si>
  <si>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</si>
  <si>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</si>
  <si>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</si>
  <si>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</si>
  <si>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</si>
  <si>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</si>
  <si>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</si>
  <si>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</si>
  <si>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</si>
  <si>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</si>
  <si>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</si>
  <si>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</si>
  <si>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</si>
  <si>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</si>
  <si>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</si>
  <si>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</si>
  <si>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</si>
  <si>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</si>
  <si>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</si>
  <si>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</si>
  <si>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</si>
  <si>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</si>
  <si>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</si>
  <si>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</si>
  <si>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</si>
  <si>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</si>
  <si>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</si>
  <si>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</si>
  <si>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</si>
  <si>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</si>
  <si>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</si>
  <si>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</si>
  <si>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</si>
  <si>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</si>
  <si>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</si>
  <si>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</si>
  <si>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</si>
  <si>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</si>
  <si>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</si>
  <si>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</si>
  <si>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</si>
  <si>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</si>
  <si>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</si>
  <si>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</si>
  <si>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</si>
  <si>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</si>
  <si>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</si>
  <si>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</si>
  <si>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</si>
  <si>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</si>
  <si>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</si>
  <si>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</si>
  <si>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</si>
  <si>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</si>
  <si>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</si>
  <si>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</si>
  <si>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</si>
  <si>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</si>
  <si>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</si>
  <si>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</si>
  <si>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</si>
  <si>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</si>
  <si>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</si>
  <si>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</si>
  <si>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</si>
  <si>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</si>
  <si>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</si>
  <si>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</si>
  <si>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</si>
  <si>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</si>
  <si>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</si>
  <si>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</si>
  <si>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</si>
  <si>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</si>
  <si>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</si>
  <si>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</si>
  <si>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</si>
  <si>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</si>
  <si>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</si>
  <si>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</si>
  <si>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</si>
  <si>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</si>
  <si>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</si>
  <si>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</si>
  <si>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</si>
  <si>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</si>
  <si>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</si>
  <si>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</si>
  <si>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</si>
  <si>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</si>
  <si>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</si>
  <si>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</si>
  <si>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</si>
  <si>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</si>
  <si>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</si>
  <si>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</si>
  <si>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</si>
  <si>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</si>
  <si>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</si>
  <si>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</si>
  <si>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</si>
  <si>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</si>
  <si>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</si>
  <si>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</si>
  <si>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</si>
  <si>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</si>
  <si>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</si>
  <si>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</si>
  <si>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</si>
  <si>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</si>
  <si>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</si>
  <si>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</si>
  <si>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</si>
  <si>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</si>
  <si>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</si>
  <si>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</si>
  <si>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</si>
  <si>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</si>
  <si>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</si>
  <si>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</si>
  <si>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</si>
  <si>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</si>
  <si>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</si>
  <si>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</si>
  <si>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</si>
  <si>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</si>
  <si>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</si>
  <si>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</si>
  <si>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</si>
  <si>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</si>
  <si>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</si>
  <si>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</si>
  <si>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</si>
  <si>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</si>
  <si>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</si>
  <si>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</si>
  <si>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</si>
  <si>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</si>
  <si>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</si>
  <si>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</si>
  <si>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</si>
  <si>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</si>
  <si>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</si>
  <si>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</si>
  <si>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</si>
  <si>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</si>
  <si>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</si>
  <si>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</si>
  <si>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</si>
  <si>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</si>
  <si>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</si>
  <si>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</si>
  <si>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</si>
  <si>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</si>
  <si>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</si>
  <si>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</si>
  <si>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</si>
  <si>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</si>
  <si>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</si>
  <si>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</si>
  <si>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</si>
  <si>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</si>
  <si>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</si>
  <si>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</si>
  <si>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</si>
  <si>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</si>
  <si>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</si>
  <si>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</si>
  <si>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</si>
  <si>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</si>
  <si>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</si>
  <si>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</si>
  <si>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</si>
  <si>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</si>
  <si>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</si>
  <si>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</si>
  <si>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</si>
  <si>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</si>
  <si>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</si>
  <si>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</si>
  <si>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</si>
  <si>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</si>
  <si>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</si>
  <si>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</si>
  <si>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</si>
  <si>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</si>
  <si>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</si>
  <si>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</si>
  <si>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</si>
  <si>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</si>
  <si>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</si>
  <si>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</si>
  <si>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</si>
  <si>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</si>
  <si>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</si>
  <si>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</si>
  <si>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</si>
  <si>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</si>
  <si>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</si>
  <si>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</si>
  <si>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</si>
  <si>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</si>
  <si>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</si>
  <si>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</si>
  <si>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</si>
  <si>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</si>
  <si>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</si>
  <si>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</si>
  <si>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</si>
  <si>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</si>
  <si>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</si>
  <si>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</si>
  <si>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</si>
  <si>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</si>
  <si>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</si>
  <si>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</si>
  <si>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</si>
  <si>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</si>
  <si>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</si>
  <si>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</si>
  <si>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</si>
  <si>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</si>
  <si>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</si>
  <si>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</si>
  <si>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</si>
  <si>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</si>
  <si>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</si>
  <si>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</si>
  <si>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</si>
  <si>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</si>
  <si>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</si>
  <si>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</si>
  <si>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</si>
  <si>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</si>
  <si>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</si>
  <si>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</si>
  <si>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</si>
  <si>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</si>
  <si>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</si>
  <si>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</si>
  <si>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</si>
  <si>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</si>
  <si>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</si>
  <si>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</si>
  <si>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</si>
  <si>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</si>
  <si>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</si>
  <si>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</si>
  <si>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</si>
  <si>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</si>
  <si>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</si>
  <si>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</si>
  <si>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</si>
  <si>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</si>
  <si>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</si>
  <si>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</si>
  <si>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</si>
  <si>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</si>
  <si>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</si>
  <si>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</si>
  <si>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</si>
  <si>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</si>
  <si>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</si>
  <si>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</si>
  <si>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</si>
  <si>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</si>
  <si>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</si>
  <si>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</si>
  <si>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</si>
  <si>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</si>
  <si>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</si>
  <si>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</si>
  <si>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</si>
  <si>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</si>
  <si>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</si>
  <si>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</si>
  <si>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</si>
  <si>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</si>
  <si>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</si>
  <si>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</si>
  <si>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</si>
  <si>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</si>
  <si>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</si>
  <si>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</si>
  <si>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</si>
  <si>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</si>
  <si>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</si>
  <si>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</si>
  <si>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</si>
  <si>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</si>
  <si>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</si>
  <si>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</si>
  <si>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</si>
  <si>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</si>
  <si>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</si>
  <si>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</si>
  <si>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</si>
  <si>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</si>
  <si>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</si>
  <si>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</si>
  <si>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</si>
  <si>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</si>
  <si>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</si>
  <si>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</si>
  <si>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</si>
  <si>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</si>
  <si>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</si>
  <si>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</si>
  <si>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</si>
  <si>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</si>
  <si>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</si>
  <si>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</si>
  <si>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</si>
  <si>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</si>
  <si>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</si>
  <si>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</si>
  <si>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</si>
  <si>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</si>
  <si>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</si>
  <si>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</si>
  <si>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</si>
  <si>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</si>
  <si>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</si>
  <si>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</si>
  <si>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</si>
  <si>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</si>
  <si>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</si>
  <si>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</si>
  <si>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</si>
  <si>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</si>
  <si>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</si>
  <si>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</si>
  <si>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</si>
  <si>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</si>
  <si>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</si>
  <si>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</si>
  <si>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</si>
  <si>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</si>
  <si>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</si>
  <si>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</si>
  <si>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</si>
  <si>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</si>
  <si>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</si>
  <si>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</si>
  <si>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</si>
  <si>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</si>
  <si>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</si>
  <si>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企业</t>
  </si>
  <si>
    <t>十一级</t>
  </si>
  <si>
    <t>Ⅺ-密1</t>
  </si>
  <si>
    <t>出让</t>
  </si>
  <si>
    <t>地上</t>
  </si>
  <si>
    <t>标准厂房</t>
  </si>
  <si>
    <t>工业</t>
    <phoneticPr fontId="7" type="noConversion"/>
  </si>
  <si>
    <t>工业用地</t>
  </si>
  <si>
    <t>五通一平</t>
  </si>
  <si>
    <t>一致</t>
  </si>
  <si>
    <t>容积率修正</t>
  </si>
  <si>
    <t>较好</t>
  </si>
  <si>
    <t>一般</t>
  </si>
  <si>
    <t>剩余法-待开发</t>
  </si>
  <si>
    <t>好</t>
  </si>
  <si>
    <t>土地</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</si>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</sst>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北京市出让国有建设用地使用权抵押价格预评估</v>
      </c>
      <c r="AX2" s="2898"/>
      <c r="AZ2" s="2898"/>
      <c r="BA2" s="2899"/>
      <c r="BC2" s="2899"/>
    </row>
    <row r="3" spans="1:55" s="2900" customFormat="1">
      <c r="A3" s="2879" t="s">
        <v>2663</v>
      </c>
      <c r="B3" s="2882">
        <f>'预评函-封皮'!B40</f>
        <v>0</v>
      </c>
    </row>
    <row r="4" spans="1:55" s="2881" customFormat="1">
      <c r="A4" s="2879" t="s">
        <v>2664</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受贵公司委托，我公司对北京市出让国有建设用地使用权抵押价格进行了预评估。</v>
      </c>
      <c r="AM6" s="2904"/>
    </row>
    <row r="7" spans="1:55" s="2878" customFormat="1">
      <c r="A7" s="2879" t="s">
        <v>2659</v>
      </c>
      <c r="B7" s="2880" t="str">
        <f>'预评函-1'!A6</f>
        <v>估价对象为使用的、位于北京市出让国有建设用地使用权。根据，估价对象（分摊）出让国有建设用地使用权面积为66660.07平方米。根据，估价对象规划建筑面积为66660.07平方米。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2018年10月11日（评估专业人员勘察现场之日）</v>
      </c>
    </row>
    <row r="11" spans="1:55" s="2878" customFormat="1">
      <c r="A11" s="2879" t="s">
        <v>2667</v>
      </c>
      <c r="B11" s="2880" t="str">
        <f>'预评函-1'!A14</f>
        <v>根据，本次评估估价对象证载（地类）用途为。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根据，估价对象（分摊）出让国有建设用地使用权面积为66660.07平方米。根据，估价对象规划建筑面积为66660.07平方米。</v>
      </c>
    </row>
    <row r="16" spans="1:55" s="2878" customFormat="1">
      <c r="A16" s="2879" t="s">
        <v>2671</v>
      </c>
      <c r="B16" s="2880" t="str">
        <f>'预评函-1'!A22</f>
        <v>本次估价对象为出让国有建设用地使用权，依据、，土地终止日期为工业2057年6月30日。截至估价期日，出让国有建设用地使用权剩余土地使用年限为。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10月11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估价期日：2018年10月11日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66660.070000000007</v>
      </c>
    </row>
    <row r="44" spans="1:2">
      <c r="A44" s="2879" t="s">
        <v>2742</v>
      </c>
      <c r="B44" s="2880" t="str">
        <f>'预评函-2'!O3</f>
        <v>规划建筑面积/㎡</v>
      </c>
    </row>
    <row r="45" spans="1:2">
      <c r="A45" s="2879" t="s">
        <v>2724</v>
      </c>
      <c r="B45" s="2880">
        <f>'预评函-2'!O5</f>
        <v>66660.070000000007</v>
      </c>
    </row>
    <row r="46" spans="1:2">
      <c r="A46" s="2879" t="s">
        <v>2725</v>
      </c>
      <c r="B46" s="2880">
        <f ca="1">'预评函-2'!P5</f>
        <v>779</v>
      </c>
    </row>
    <row r="47" spans="1:2">
      <c r="A47" s="2879" t="s">
        <v>2726</v>
      </c>
      <c r="B47" s="2880">
        <f ca="1">'预评函-2'!Q5</f>
        <v>779</v>
      </c>
    </row>
    <row r="48" spans="1:2">
      <c r="A48" s="2879" t="s">
        <v>2727</v>
      </c>
      <c r="B48" s="2880">
        <f ca="1">'预评函-2'!R5</f>
        <v>5195</v>
      </c>
    </row>
    <row r="49" spans="1:2">
      <c r="A49" s="2879" t="s">
        <v>2743</v>
      </c>
      <c r="B49" s="2880" t="str">
        <f>'预评函-2'!A6</f>
        <v>抵押价格</v>
      </c>
    </row>
    <row r="50" spans="1:2">
      <c r="A50" s="2879" t="s">
        <v>2728</v>
      </c>
      <c r="B50" s="2880" t="str">
        <f>'预评函-2'!R6</f>
        <v>——</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2788</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1.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1" t="str">
        <f>IF(B10="北京市","北京市",C10)&amp;F10&amp;B16&amp;"国有建设用地使用权"&amp;B9&amp;"预评估"</f>
        <v>北京市出让国有建设用地使用权抵押价格预评估</v>
      </c>
      <c r="C1" s="3212"/>
      <c r="D1" s="3212"/>
      <c r="E1" s="3212"/>
      <c r="F1" s="3212"/>
      <c r="G1" s="3212"/>
      <c r="H1" s="3212"/>
      <c r="I1" s="3213"/>
      <c r="J1" s="1694"/>
      <c r="K1" s="2456" t="str">
        <f>IF(B10="北京市","北京市",C10)&amp;F10&amp;B16&amp;"国有建设用地使用权"&amp;B9</f>
        <v>北京市出让国有建设用地使用权抵押价格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1942</v>
      </c>
      <c r="B3" s="1662">
        <v>43384</v>
      </c>
      <c r="C3" s="1663" t="s">
        <v>1998</v>
      </c>
      <c r="D3" s="1662">
        <f>B3</f>
        <v>43384</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2890</v>
      </c>
      <c r="C4" s="1846">
        <f>SUMIF(土地估价师,B4,估价师及机构信息!E3:E24)</f>
        <v>0</v>
      </c>
      <c r="D4" s="1843" t="s">
        <v>2890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2985</v>
      </c>
      <c r="C8" s="1671"/>
      <c r="D8" s="3217"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2986</v>
      </c>
      <c r="C9" s="1675"/>
      <c r="D9" s="3218"/>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1948</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2002</v>
      </c>
      <c r="B11" s="1698" t="s">
        <v>2987</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14"/>
      <c r="C12" s="3215"/>
      <c r="D12" s="3216"/>
      <c r="E12" s="1699" t="s">
        <v>2063</v>
      </c>
      <c r="F12" s="3232"/>
      <c r="G12" s="3233"/>
      <c r="H12" s="3233"/>
      <c r="I12" s="3234"/>
      <c r="J12" s="1694"/>
      <c r="K12" s="1774"/>
      <c r="L12" s="1723"/>
      <c r="M12" s="1723"/>
      <c r="N12" s="1694"/>
      <c r="O12" s="1695"/>
      <c r="P12" s="1694"/>
      <c r="Q12" s="1694"/>
      <c r="R12" s="1694"/>
      <c r="S12" s="1694"/>
      <c r="T12" s="1694"/>
      <c r="U12" s="1694"/>
    </row>
    <row r="13" spans="1:21">
      <c r="A13" s="1687" t="s">
        <v>2061</v>
      </c>
      <c r="B13" s="3214"/>
      <c r="C13" s="3215"/>
      <c r="D13" s="3216"/>
      <c r="E13" s="1699" t="s">
        <v>2063</v>
      </c>
      <c r="F13" s="3232"/>
      <c r="G13" s="3233"/>
      <c r="H13" s="3233"/>
      <c r="I13" s="3234"/>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2990</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工业2057年6月30日</v>
      </c>
    </row>
    <row r="17" spans="1:21">
      <c r="A17" s="1763"/>
      <c r="B17" s="1682"/>
      <c r="C17" s="1683" t="s">
        <v>1958</v>
      </c>
      <c r="D17" s="1700"/>
      <c r="E17" s="1700"/>
      <c r="F17" s="1700"/>
      <c r="G17" s="1700"/>
      <c r="H17" s="1700"/>
      <c r="I17" s="1700">
        <v>57526</v>
      </c>
      <c r="J17" s="1694"/>
      <c r="K17" s="2456" t="str">
        <f>CONCATENATE(K16,L16,M16,N16,O16,P16,Q16,R16,S16,T16,,U16)</f>
        <v>工业2057年6月30日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38.74</v>
      </c>
      <c r="J19" s="1694"/>
      <c r="K19" s="1774"/>
      <c r="L19" s="1723"/>
      <c r="M19" s="1723"/>
      <c r="N19" s="1694"/>
      <c r="O19" s="1695"/>
      <c r="P19" s="1694"/>
      <c r="Q19" s="1694"/>
      <c r="R19" s="1694"/>
      <c r="S19" s="1694"/>
      <c r="T19" s="1694"/>
      <c r="U19" s="1694"/>
    </row>
    <row r="20" spans="1:21">
      <c r="A20" s="1786"/>
      <c r="B20" s="1787"/>
      <c r="C20" s="1788" t="s">
        <v>2062</v>
      </c>
      <c r="D20" s="3229"/>
      <c r="E20" s="3230"/>
      <c r="F20" s="3230"/>
      <c r="G20" s="3230"/>
      <c r="H20" s="3230"/>
      <c r="I20" s="3231"/>
      <c r="J20" s="1694"/>
      <c r="K20" s="1774"/>
      <c r="L20" s="1723"/>
      <c r="M20" s="1723"/>
      <c r="N20" s="1694"/>
      <c r="O20" s="1695"/>
      <c r="P20" s="1694"/>
      <c r="Q20" s="1694"/>
      <c r="R20" s="1694"/>
      <c r="S20" s="1694"/>
      <c r="T20" s="1694"/>
      <c r="U20" s="1694"/>
    </row>
    <row r="21" spans="1:21">
      <c r="A21" s="1763" t="s">
        <v>1961</v>
      </c>
      <c r="B21" s="1764" t="s">
        <v>1962</v>
      </c>
      <c r="C21" s="1759">
        <f>'数据-汇总表'!E3</f>
        <v>66660.070000000007</v>
      </c>
      <c r="D21" s="1760" t="s">
        <v>1963</v>
      </c>
      <c r="E21" s="3219"/>
      <c r="F21" s="3220"/>
      <c r="G21" s="3220"/>
      <c r="H21" s="3220"/>
      <c r="I21" s="3221"/>
      <c r="J21" s="1694"/>
      <c r="K21" s="1774"/>
      <c r="L21" s="1723"/>
      <c r="M21" s="1723"/>
      <c r="N21" s="1694"/>
      <c r="O21" s="1695"/>
      <c r="P21" s="1694"/>
      <c r="Q21" s="1694"/>
      <c r="R21" s="1694"/>
      <c r="S21" s="1694"/>
      <c r="T21" s="1694"/>
      <c r="U21" s="1694"/>
    </row>
    <row r="22" spans="1:21">
      <c r="A22" s="3150" t="s">
        <v>952</v>
      </c>
      <c r="B22" s="1661" t="s">
        <v>1964</v>
      </c>
      <c r="C22" s="1686">
        <f>'数据-汇总表'!D3</f>
        <v>66660.070000000007</v>
      </c>
      <c r="D22" s="1687" t="s">
        <v>1963</v>
      </c>
      <c r="E22" s="3219"/>
      <c r="F22" s="3220"/>
      <c r="G22" s="3220"/>
      <c r="H22" s="3220"/>
      <c r="I22" s="3221"/>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2" t="s">
        <v>1969</v>
      </c>
      <c r="C24" s="3223"/>
      <c r="D24" s="3224" t="s">
        <v>1970</v>
      </c>
      <c r="E24" s="3225"/>
      <c r="F24" s="1708" t="s">
        <v>1971</v>
      </c>
      <c r="G24" s="1694"/>
      <c r="H24" s="1694"/>
      <c r="I24" s="1707"/>
      <c r="J24" s="1694"/>
      <c r="K24" s="3210"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1973</v>
      </c>
      <c r="D25" s="1710"/>
      <c r="E25" s="1711" t="s">
        <v>952</v>
      </c>
      <c r="F25" s="1712"/>
      <c r="G25" s="1694"/>
      <c r="H25" s="1694"/>
      <c r="I25" s="1707"/>
      <c r="J25" s="1694"/>
      <c r="K25" s="321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2328</v>
      </c>
      <c r="D26" s="1660"/>
      <c r="E26" s="1660"/>
      <c r="F26" s="1688"/>
      <c r="G26" s="1694"/>
      <c r="H26" s="1694"/>
      <c r="I26" s="1707"/>
      <c r="J26" s="1694"/>
      <c r="K26" s="321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7" t="s">
        <v>2003</v>
      </c>
      <c r="B31" s="1764" t="s">
        <v>2004</v>
      </c>
      <c r="C31" s="3235"/>
      <c r="D31" s="3236"/>
      <c r="E31" s="1694"/>
      <c r="F31" s="1694"/>
      <c r="G31" s="1694"/>
      <c r="H31" s="1694"/>
      <c r="I31" s="1707"/>
      <c r="J31" s="1694"/>
      <c r="K31" s="2459"/>
      <c r="L31" s="1694"/>
      <c r="M31" s="1694"/>
      <c r="N31" s="1694"/>
      <c r="O31" s="1694"/>
      <c r="P31" s="1694"/>
      <c r="Q31" s="1694"/>
      <c r="R31" s="1694"/>
      <c r="S31" s="1694"/>
      <c r="T31" s="1694"/>
      <c r="U31" s="1694"/>
    </row>
    <row r="32" spans="1:21">
      <c r="A32" s="3237"/>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7"/>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8"/>
      <c r="B34" s="1661" t="s">
        <v>2007</v>
      </c>
      <c r="C34" s="3239"/>
      <c r="D34" s="3240"/>
      <c r="E34" s="1694"/>
      <c r="F34" s="1694"/>
      <c r="G34" s="1694"/>
      <c r="H34" s="1694"/>
      <c r="I34" s="1707"/>
      <c r="J34" s="1694"/>
      <c r="K34" s="2459"/>
      <c r="L34" s="1694"/>
      <c r="M34" s="1694"/>
      <c r="N34" s="1694"/>
      <c r="O34" s="1694"/>
      <c r="P34" s="1694"/>
      <c r="Q34" s="1694"/>
      <c r="R34" s="1694"/>
      <c r="S34" s="1694"/>
      <c r="T34" s="1694"/>
      <c r="U34" s="1694"/>
    </row>
    <row r="35" spans="1:21">
      <c r="A35" s="3241" t="s">
        <v>847</v>
      </c>
      <c r="B35" s="1722"/>
      <c r="C35" s="1776" t="str">
        <f>IF(B35="场地平整","——","具体情况：")</f>
        <v>具体情况：</v>
      </c>
      <c r="D35" s="3243"/>
      <c r="E35" s="3244"/>
      <c r="F35" s="3244"/>
      <c r="G35" s="3244"/>
      <c r="H35" s="3244"/>
      <c r="I35" s="3245"/>
      <c r="J35" s="1694"/>
      <c r="K35" s="1775"/>
      <c r="L35" s="1723"/>
      <c r="M35" s="1723"/>
      <c r="N35" s="1694"/>
      <c r="O35" s="1695"/>
      <c r="P35" s="1694"/>
      <c r="Q35" s="1694"/>
      <c r="R35" s="1694"/>
      <c r="S35" s="1694"/>
      <c r="T35" s="1694"/>
      <c r="U35" s="1694"/>
    </row>
    <row r="36" spans="1:21">
      <c r="A36" s="3237"/>
      <c r="B36" s="3246" t="s">
        <v>2056</v>
      </c>
      <c r="C36" s="3247"/>
      <c r="D36" s="1792"/>
      <c r="E36" s="3248"/>
      <c r="F36" s="3248"/>
      <c r="G36" s="1687" t="str">
        <f>IF(B35="场地未平整","估价结果处理","")</f>
        <v/>
      </c>
      <c r="H36" s="3249"/>
      <c r="I36" s="3249"/>
      <c r="J36" s="1694"/>
      <c r="K36" s="1775"/>
      <c r="L36" s="1723"/>
      <c r="M36" s="1723"/>
      <c r="N36" s="1694"/>
      <c r="O36" s="1695"/>
      <c r="P36" s="1694"/>
      <c r="Q36" s="1694"/>
      <c r="R36" s="1694"/>
      <c r="S36" s="1694"/>
      <c r="T36" s="1694"/>
      <c r="U36" s="1694"/>
    </row>
    <row r="37" spans="1:21" ht="28.5">
      <c r="A37" s="3237"/>
      <c r="B37" s="322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7"/>
      <c r="B38" s="3227"/>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8"/>
      <c r="B39" s="322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09" t="s">
        <v>1988</v>
      </c>
      <c r="T40" s="1731" t="str">
        <f>NUMBERSTRING(7-K40,1)&amp;"通"</f>
        <v>七通</v>
      </c>
      <c r="U40" s="1694"/>
    </row>
    <row r="41" spans="1:21">
      <c r="A41" s="1663"/>
      <c r="B41" s="3242" t="s">
        <v>1722</v>
      </c>
      <c r="C41" s="3242"/>
      <c r="D41" s="3242"/>
      <c r="E41" s="324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0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2988</v>
      </c>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t="s">
        <v>2989</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2891</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66660.070000000007</v>
      </c>
      <c r="B3" s="22">
        <f>IF(C3="否",G5-AT5,G5)</f>
        <v>66660.070000000007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66660.070000000007</v>
      </c>
      <c r="H5" s="27">
        <f t="shared" ref="H5:AT5" si="0">SUM(H13:H641)</f>
        <v>66660.070000000007</v>
      </c>
      <c r="I5" s="27">
        <f t="shared" si="0"/>
        <v>66660.070000000007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66660.070000000007</v>
      </c>
      <c r="BA5" s="29">
        <f t="shared" si="1"/>
        <v>66660.070000000007</v>
      </c>
      <c r="BB5" s="29">
        <f t="shared" si="1"/>
        <v>66660.070000000007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66660.070000000007</v>
      </c>
      <c r="F6" s="27" t="s">
        <v>1</v>
      </c>
      <c r="G6" s="27" t="s">
        <v>2</v>
      </c>
      <c r="H6" s="33">
        <f>SUMIF(I$12:AB$12,"总值",I6:AB6)</f>
        <v>66660.070000000007</v>
      </c>
      <c r="I6" s="27">
        <f t="shared" ref="I6:AB6" si="2">ROUND($A$3*I5/$B$3,2)</f>
        <v>66660.070000000007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66660.070000000007</v>
      </c>
      <c r="AZ6" s="27" t="s">
        <v>3</v>
      </c>
      <c r="BA6" s="27">
        <f>ROUND($AY$6*BA5/$AZ$5,2)</f>
        <v>66660.070000000007</v>
      </c>
      <c r="BB6" s="27">
        <f>ROUND($AY$6*BB5/$AZ$5,2)</f>
        <v>66660.070000000007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2991</v>
      </c>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c r="L10" s="51"/>
      <c r="M10" s="3022"/>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2992</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1679</v>
      </c>
      <c r="E13" s="27">
        <f t="shared" ref="E13:E20" si="6">IF($C$3="是",ROUND($A$3*G13/$B$3,2),ROUND($A$3*(G13-AT13)/$B$3,2))</f>
        <v>66660.070000000007</v>
      </c>
      <c r="F13" s="81"/>
      <c r="G13" s="82">
        <f t="shared" ref="G13:G20" si="7">H13+AC13+AT13</f>
        <v>66660.070000000007</v>
      </c>
      <c r="H13" s="33">
        <f t="shared" ref="H13:H20" si="8">SUMIF(I$12:AB$12,"总值",I13:AB13)</f>
        <v>66660.070000000007</v>
      </c>
      <c r="I13" s="3019">
        <f>A3*1</f>
        <v>66660.070000000007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66660.070000000007</v>
      </c>
      <c r="AZ13" s="27">
        <f t="shared" ref="AZ13:AZ20" si="12">BA13+BL13</f>
        <v>66660.070000000007</v>
      </c>
      <c r="BA13" s="27">
        <f t="shared" ref="BA13:BA20" si="13">SUM(BB13:BK13)</f>
        <v>66660.070000000007</v>
      </c>
      <c r="BB13" s="27">
        <f t="shared" ref="BB13:BB20" si="14">IF($D13="是",I13-J13,0)</f>
        <v>66660.070000000007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1" t="s">
        <v>203</v>
      </c>
      <c r="B2" s="3261"/>
      <c r="C2" s="3261"/>
      <c r="D2" s="1976" t="s">
        <v>204</v>
      </c>
      <c r="E2" s="106" t="s">
        <v>205</v>
      </c>
      <c r="F2" s="1985"/>
      <c r="G2" s="1198"/>
      <c r="H2" s="1199"/>
      <c r="I2" s="1200" t="s">
        <v>857</v>
      </c>
      <c r="J2" s="1985"/>
      <c r="K2" s="1985"/>
      <c r="L2" s="1985"/>
    </row>
    <row r="3" spans="1:16" ht="15.75" thickBot="1">
      <c r="A3" s="3262" t="s">
        <v>206</v>
      </c>
      <c r="B3" s="3262"/>
      <c r="C3" s="3262"/>
      <c r="D3" s="107">
        <f>'数据-基础表'!AY6</f>
        <v>66660.070000000007</v>
      </c>
      <c r="E3" s="107">
        <f>'数据-基础表'!AZ5</f>
        <v>66660.070000000007</v>
      </c>
      <c r="F3" s="1985"/>
      <c r="G3" s="280" t="s">
        <v>858</v>
      </c>
      <c r="H3" s="275" t="s">
        <v>859</v>
      </c>
      <c r="I3" s="1977">
        <f>ROUND('数据-基础表'!B3/'数据-基础表'!A3,2)</f>
        <v>1</v>
      </c>
      <c r="J3" s="1985"/>
      <c r="K3" s="1985"/>
      <c r="L3" s="1985"/>
    </row>
    <row r="4" spans="1:16" ht="15">
      <c r="A4" s="3263"/>
      <c r="B4" s="3264"/>
      <c r="C4" s="3265"/>
      <c r="D4" s="108" t="s">
        <v>204</v>
      </c>
      <c r="E4" s="109" t="s">
        <v>205</v>
      </c>
      <c r="F4" s="1985"/>
      <c r="G4" s="1201"/>
      <c r="H4" s="275" t="s">
        <v>860</v>
      </c>
      <c r="I4" s="1977">
        <f>ROUND(SUMIF('数据-基础表'!I9:AS9,"地上",'数据-基础表'!I5:AS5)/'数据-基础表'!A3,2)</f>
        <v>1</v>
      </c>
      <c r="J4" s="1985"/>
      <c r="K4" s="1985"/>
      <c r="L4" s="1985"/>
    </row>
    <row r="5" spans="1:16">
      <c r="A5" s="110" t="s">
        <v>207</v>
      </c>
      <c r="B5" s="3266" t="s">
        <v>230</v>
      </c>
      <c r="C5" s="3266"/>
      <c r="D5" s="111">
        <f>ROUND($D$3*E5/$E$3,2)</f>
        <v>0</v>
      </c>
      <c r="E5" s="112">
        <f>SUMIF('数据-基础表'!$11:$11,"住宅",'数据-基础表'!$5:$5)</f>
        <v>0</v>
      </c>
      <c r="F5" s="1985"/>
      <c r="G5" s="280" t="s">
        <v>861</v>
      </c>
      <c r="H5" s="275" t="s">
        <v>859</v>
      </c>
      <c r="I5" s="1977">
        <f>ROUND(E31/D31,2)</f>
        <v>1</v>
      </c>
      <c r="J5" s="1985"/>
      <c r="K5" s="1985"/>
      <c r="L5" s="1985"/>
    </row>
    <row r="6" spans="1:16" ht="15" thickBot="1">
      <c r="A6" s="113"/>
      <c r="B6" s="3266" t="s">
        <v>208</v>
      </c>
      <c r="C6" s="3266"/>
      <c r="D6" s="111">
        <f>ROUND($D$3*E6/$E$3,2)</f>
        <v>66660.070000000007</v>
      </c>
      <c r="E6" s="112">
        <f>E3-E5</f>
        <v>66660.070000000007</v>
      </c>
      <c r="F6" s="1985"/>
      <c r="G6" s="1201"/>
      <c r="H6" s="275" t="s">
        <v>860</v>
      </c>
      <c r="I6" s="1977">
        <f>ROUND(F31/D31,2)</f>
        <v>1</v>
      </c>
      <c r="J6" s="1985"/>
      <c r="K6" s="1985"/>
      <c r="L6" s="1985"/>
    </row>
    <row r="7" spans="1:16" ht="15">
      <c r="A7" s="3258"/>
      <c r="B7" s="3259"/>
      <c r="C7" s="3260"/>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66660.070000000007</v>
      </c>
      <c r="E8" s="116">
        <f>SUMIF('数据-基础表'!BB10:BK10,"地上",'数据-基础表'!BB5:BK5)</f>
        <v>66660.070000000007</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66660.070000000007</v>
      </c>
      <c r="E16" s="120">
        <f>SUM(E8:E15)</f>
        <v>66660.070000000007</v>
      </c>
      <c r="F16" s="1985"/>
      <c r="G16" s="1987"/>
      <c r="H16" s="968" t="s">
        <v>219</v>
      </c>
      <c r="I16" s="969"/>
      <c r="J16" s="1985"/>
      <c r="K16" s="3252" t="s">
        <v>2568</v>
      </c>
      <c r="L16" s="3253"/>
      <c r="M16" s="3253"/>
      <c r="N16" s="3253"/>
      <c r="O16" s="3253"/>
      <c r="P16" s="3254"/>
    </row>
    <row r="17" spans="1:19" ht="15">
      <c r="A17" s="121" t="s">
        <v>216</v>
      </c>
      <c r="B17" s="122" t="s">
        <v>217</v>
      </c>
      <c r="C17" s="2299" t="s">
        <v>2315</v>
      </c>
      <c r="D17" s="108" t="s">
        <v>204</v>
      </c>
      <c r="E17" s="124" t="s">
        <v>205</v>
      </c>
      <c r="F17" s="125"/>
      <c r="G17" s="1366"/>
      <c r="H17" s="970" t="s">
        <v>218</v>
      </c>
      <c r="I17" s="971" t="s">
        <v>2314</v>
      </c>
      <c r="J17" s="1985"/>
      <c r="K17" s="3255" t="s">
        <v>2569</v>
      </c>
      <c r="L17" s="3256"/>
      <c r="M17" s="3257"/>
      <c r="N17" s="3255" t="s">
        <v>2570</v>
      </c>
      <c r="O17" s="3256"/>
      <c r="P17" s="3257"/>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6" t="s">
        <v>2993</v>
      </c>
      <c r="D19" s="111">
        <f t="shared" ref="D19:D26" si="1">ROUND($D$3*E19/$E$3,2)</f>
        <v>66660.070000000007</v>
      </c>
      <c r="E19" s="134">
        <f t="shared" ref="E19:E26" si="2">SUM(F19:G19)</f>
        <v>66660.070000000007</v>
      </c>
      <c r="F19" s="135">
        <f>'数据-基础表'!I13</f>
        <v>66660.070000000007</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66660.070000000007</v>
      </c>
      <c r="S19" s="2302">
        <f t="shared" si="5"/>
        <v>66660.070000000007</v>
      </c>
    </row>
    <row r="20" spans="1:19">
      <c r="A20" s="138"/>
      <c r="B20" s="115" t="s">
        <v>226</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66660.070000000007</v>
      </c>
      <c r="E27" s="143">
        <f>IF(SUM(E19:E26)='数据-基础表'!BA5,SUM(E19:E26),IF(F27="地上面积有误","面积有误","地下面积有误"))</f>
        <v>66660.070000000007</v>
      </c>
      <c r="F27" s="134">
        <f>IF(SUM(F19:F26)=E8,SUM(F19:F26),"地上面积有误")</f>
        <v>66660.070000000007</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66660.070000000007</v>
      </c>
      <c r="S27" s="275">
        <f>IF(SUM(S19:S26)=$E$3,SUM(S19:S26),SUM(S19:S26)&amp;"误差"&amp;ROUND(SUM(S19:S26)-E3,2))</f>
        <v>66660.070000000007</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66660.070000000007</v>
      </c>
      <c r="E31" s="1372">
        <f>E27+E30</f>
        <v>66660.070000000007</v>
      </c>
      <c r="F31" s="1373">
        <f>F27+F30</f>
        <v>66660.070000000007</v>
      </c>
      <c r="G31" s="1374">
        <f>G27+G30</f>
        <v>0</v>
      </c>
      <c r="H31" s="1985"/>
      <c r="I31" s="1985"/>
      <c r="J31" s="1985"/>
      <c r="K31" s="1985"/>
      <c r="L31" s="1985"/>
    </row>
    <row r="32" spans="1:19">
      <c r="A32" s="1985"/>
      <c r="B32" s="2364" t="s">
        <v>2323</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60" sqref="B6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工业</v>
      </c>
      <c r="B6" s="2338" t="str">
        <f>IF(A6=0,"","经营性")</f>
        <v>经营性</v>
      </c>
      <c r="C6" s="173" t="s">
        <v>982</v>
      </c>
      <c r="D6" s="2309">
        <f>SUMIF(项目基本情况!D$15:I$15,C6,项目基本情况!D$18:I$18)</f>
        <v>50</v>
      </c>
      <c r="E6" s="2310">
        <f>IF(B6="","",SUMIF(项目基本情况!D$15:I$15,C6,项目基本情况!D$17:I$17))</f>
        <v>57526</v>
      </c>
      <c r="F6" s="174">
        <f>SUMIF(项目基本情况!D$15:I$15,C6,项目基本情况!D$19:I$19)</f>
        <v>38.74</v>
      </c>
      <c r="G6" s="175">
        <f>IF(ISERROR(ROUND(POWER(1+H6,D6-F6)*(POWER(1+H6,F6)-1)/(POWER(1+H6,D6)-1),3)),0,ROUND(POWER(1+H6,D6-F6)*(POWER(1+H6,F6)-1)/(POWER(1+H6,D6)-1),3))</f>
        <v>0.92</v>
      </c>
      <c r="H6" s="3027">
        <v>4.4999999999999998E-2</v>
      </c>
      <c r="I6" s="3027">
        <v>0.05</v>
      </c>
      <c r="J6" s="176">
        <v>8.5000000000000006E-2</v>
      </c>
      <c r="K6" s="179">
        <f>SUMIF('数据-汇总表'!C$19:C$33,'数据-取费表'!A6,'数据-汇总表'!E$19:E$33)</f>
        <v>66660.070000000007</v>
      </c>
      <c r="L6" s="3028">
        <v>1600</v>
      </c>
      <c r="M6" s="177">
        <f t="shared" ref="M6:M14" si="0">ROUND(K6*L6/10000,0)</f>
        <v>10666</v>
      </c>
      <c r="N6" s="3029">
        <v>0</v>
      </c>
      <c r="O6" s="177">
        <f>IF($N$5="成新度","——",ROUND(M6*N6,0))</f>
        <v>0</v>
      </c>
      <c r="P6" s="178">
        <f>IF($N$5="成新度","——",M6-O6)</f>
        <v>10666</v>
      </c>
      <c r="Q6" s="3030">
        <v>0.1</v>
      </c>
      <c r="R6" s="179">
        <f>SUMIF('数据-汇总表'!C$19:C$33,A6,'数据-汇总表'!R$19:R$33)</f>
        <v>66660.070000000007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0.81799999999999995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0.92</v>
      </c>
      <c r="H16" s="203">
        <f>ROUND(SUMPRODUCT(H6:H13,K6:K13)/SUMPRODUCT((H6:H13&gt;0)*(K6:K13)),3)</f>
        <v>4.4999999999999998E-2</v>
      </c>
      <c r="I16" s="204"/>
      <c r="J16" s="204"/>
      <c r="K16" s="205">
        <f>SUM(K6:K15)</f>
        <v>66660.070000000007</v>
      </c>
      <c r="L16" s="206">
        <f>ROUND(M16*10000/SUM(K6:K14),0)</f>
        <v>1600</v>
      </c>
      <c r="M16" s="206">
        <f>SUM(M6:M14)</f>
        <v>10666</v>
      </c>
      <c r="N16" s="207">
        <f>ROUND(SUMPRODUCT(M6:M14,N6:N14)/M16,3)</f>
        <v>0</v>
      </c>
      <c r="O16" s="206">
        <f>SUM(O6:O14)</f>
        <v>0</v>
      </c>
      <c r="P16" s="206">
        <f>SUM(P6:P14)</f>
        <v>10666</v>
      </c>
      <c r="Q16" s="208">
        <f>ROUND(SUMPRODUCT(Q6:Q13,K6:K13)/SUMPRODUCT((Q6:Q13&gt;0)*(K6:K13)),2)</f>
        <v>0.1</v>
      </c>
      <c r="R16" s="2312">
        <f>SUM(R6:R13)</f>
        <v>66660.070000000007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0.81799999999999995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c r="C34" s="2366" t="s">
        <v>2893</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2903</v>
      </c>
      <c r="D53" s="3079" t="s">
        <v>2904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2905</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2906</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2907</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2908</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2909</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2910</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2911</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2912</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2913</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2914</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7" t="s">
        <v>1664</v>
      </c>
      <c r="B1" s="3268"/>
      <c r="C1" s="3268"/>
      <c r="D1" s="3268"/>
      <c r="E1" s="3268"/>
      <c r="F1" s="3268"/>
      <c r="G1" s="326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2921</v>
      </c>
      <c r="D3" s="2010"/>
      <c r="E3" s="1229" t="s">
        <v>1667</v>
      </c>
      <c r="F3" s="1230" t="s">
        <v>1655</v>
      </c>
      <c r="G3" s="3087" t="s">
        <v>2920</v>
      </c>
      <c r="H3" s="2009"/>
      <c r="I3" s="2009"/>
      <c r="J3" s="2009"/>
      <c r="K3" s="2009"/>
      <c r="L3" s="2009"/>
      <c r="M3" s="2009"/>
      <c r="N3" s="2009"/>
      <c r="O3" s="2009"/>
      <c r="P3" s="2009"/>
      <c r="Q3" s="2009"/>
      <c r="R3" s="2009"/>
    </row>
    <row r="4" spans="1:18" ht="41.25">
      <c r="A4" s="1229"/>
      <c r="B4" s="1231" t="s">
        <v>1668</v>
      </c>
      <c r="C4" s="3084" t="s">
        <v>2922</v>
      </c>
      <c r="D4" s="2010"/>
      <c r="E4" s="1232"/>
      <c r="F4" s="1233" t="s">
        <v>1669</v>
      </c>
      <c r="G4" s="3085" t="s">
        <v>2917</v>
      </c>
      <c r="H4" s="2009"/>
      <c r="I4" s="2009"/>
      <c r="J4" s="2009"/>
      <c r="K4" s="2009"/>
      <c r="L4" s="2009"/>
      <c r="M4" s="2009"/>
      <c r="N4" s="2009"/>
      <c r="O4" s="2009"/>
      <c r="P4" s="2009"/>
      <c r="Q4" s="2009"/>
      <c r="R4" s="2009"/>
    </row>
    <row r="5" spans="1:18" ht="41.25">
      <c r="A5" s="1229"/>
      <c r="B5" s="1231" t="s">
        <v>1670</v>
      </c>
      <c r="C5" s="3084" t="s">
        <v>2923</v>
      </c>
      <c r="D5" s="2010"/>
      <c r="E5" s="1232"/>
      <c r="F5" s="1231" t="s">
        <v>2548</v>
      </c>
      <c r="G5" s="3085" t="s">
        <v>2918</v>
      </c>
      <c r="H5" s="2009"/>
      <c r="I5" s="2009"/>
      <c r="J5" s="2009"/>
      <c r="K5" s="2009"/>
      <c r="L5" s="2009"/>
      <c r="M5" s="2009"/>
      <c r="N5" s="2009"/>
      <c r="O5" s="2009"/>
      <c r="P5" s="2009"/>
      <c r="Q5" s="2009"/>
      <c r="R5" s="2009"/>
    </row>
    <row r="6" spans="1:18" ht="54">
      <c r="A6" s="1229"/>
      <c r="B6" s="1231" t="s">
        <v>1656</v>
      </c>
      <c r="C6" s="3085" t="s">
        <v>2917</v>
      </c>
      <c r="D6" s="2010"/>
      <c r="E6" s="1232"/>
      <c r="F6" s="1231" t="s">
        <v>2549</v>
      </c>
      <c r="G6" s="3085" t="s">
        <v>2915</v>
      </c>
      <c r="H6" s="2009"/>
      <c r="I6" s="2009"/>
      <c r="J6" s="2009"/>
      <c r="K6" s="2009"/>
      <c r="L6" s="2009"/>
      <c r="M6" s="2009"/>
      <c r="N6" s="2009"/>
      <c r="O6" s="2009"/>
      <c r="P6" s="2009"/>
      <c r="Q6" s="2009"/>
      <c r="R6" s="2009"/>
    </row>
    <row r="7" spans="1:18" ht="41.25" thickBot="1">
      <c r="A7" s="1229"/>
      <c r="B7" s="1231" t="s">
        <v>2548</v>
      </c>
      <c r="C7" s="3085" t="s">
        <v>2918</v>
      </c>
      <c r="D7" s="2011"/>
      <c r="E7" s="1234"/>
      <c r="F7" s="1235" t="s">
        <v>1671</v>
      </c>
      <c r="G7" s="3088" t="s">
        <v>2919</v>
      </c>
      <c r="H7" s="2009"/>
      <c r="I7" s="2009"/>
      <c r="J7" s="2009"/>
      <c r="K7" s="2009"/>
      <c r="L7" s="2009"/>
      <c r="M7" s="2009"/>
      <c r="N7" s="2009"/>
      <c r="O7" s="2009"/>
      <c r="P7" s="2009"/>
      <c r="Q7" s="2009"/>
      <c r="R7" s="2009"/>
    </row>
    <row r="8" spans="1:18" ht="27">
      <c r="A8" s="1229"/>
      <c r="B8" s="1231" t="s">
        <v>2549</v>
      </c>
      <c r="C8" s="3085" t="s">
        <v>2915</v>
      </c>
      <c r="D8" s="2011"/>
      <c r="E8" s="2011"/>
      <c r="F8" s="1554"/>
      <c r="G8" s="1554"/>
      <c r="H8" s="2009"/>
      <c r="I8" s="2009"/>
      <c r="J8" s="2009"/>
      <c r="K8" s="2009"/>
      <c r="L8" s="2009"/>
      <c r="M8" s="2009"/>
      <c r="N8" s="2009"/>
      <c r="O8" s="2009"/>
      <c r="P8" s="2009"/>
      <c r="Q8" s="2009"/>
      <c r="R8" s="2009"/>
    </row>
    <row r="9" spans="1:18" ht="40.5">
      <c r="A9" s="1229"/>
      <c r="B9" s="1231" t="s">
        <v>1657</v>
      </c>
      <c r="C9" s="3084" t="s">
        <v>2916</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9"/>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2845</v>
      </c>
      <c r="B1" s="3047">
        <f>SUM(B14:B23)</f>
        <v>66660.070000000007</v>
      </c>
      <c r="C1" s="3048"/>
      <c r="D1" s="3048"/>
      <c r="E1" s="3048"/>
      <c r="F1" s="3048"/>
    </row>
    <row r="2" spans="1:9" ht="16.5">
      <c r="A2" s="3047" t="s">
        <v>2846</v>
      </c>
      <c r="B2" s="3047">
        <f>SUM(C14:C23)</f>
        <v>66660.070000000007</v>
      </c>
      <c r="C2" s="3048"/>
      <c r="D2" s="3048"/>
      <c r="E2" s="3048"/>
      <c r="F2" s="3048"/>
    </row>
    <row r="3" spans="1:9" ht="16.5">
      <c r="A3" s="3047" t="s">
        <v>2847</v>
      </c>
      <c r="B3" s="3049">
        <f>项目基本情况!D3</f>
        <v>43384</v>
      </c>
      <c r="C3" s="3048"/>
      <c r="D3" s="3048"/>
      <c r="E3" s="3048"/>
      <c r="F3" s="3048"/>
    </row>
    <row r="4" spans="1:9" ht="33">
      <c r="A4" s="3047" t="s">
        <v>2848</v>
      </c>
      <c r="B4" s="3047" t="s">
        <v>2849</v>
      </c>
      <c r="C4" s="3047" t="s">
        <v>2850</v>
      </c>
      <c r="D4" s="3047" t="s">
        <v>2851</v>
      </c>
      <c r="E4" s="3048"/>
      <c r="F4" s="3048"/>
    </row>
    <row r="5" spans="1:9" ht="16.5">
      <c r="A5" s="3047" t="s">
        <v>2852</v>
      </c>
      <c r="B5" s="3047">
        <f ca="1">SUM(D14:D23)</f>
        <v>5195</v>
      </c>
      <c r="C5" s="3047">
        <f ca="1">ROUND(B5*10000/$B$1,0)</f>
        <v>779</v>
      </c>
      <c r="D5" s="3047">
        <f ca="1">ROUND(B5*10000/$B$2,0)</f>
        <v>779</v>
      </c>
      <c r="E5" s="3048"/>
      <c r="F5" s="3048"/>
    </row>
    <row r="6" spans="1:9" ht="16.5">
      <c r="A6" s="3047" t="s">
        <v>2853</v>
      </c>
      <c r="B6" s="3047">
        <f>SUM(G14:G23)</f>
        <v>0</v>
      </c>
      <c r="C6" s="3047">
        <f t="shared" ref="C6:C8" si="0">ROUND(B6*10000/$B$1,0)</f>
        <v>0</v>
      </c>
      <c r="D6" s="3047">
        <f t="shared" ref="D6:D8" si="1">ROUND(B6*10000/$B$2,0)</f>
        <v>0</v>
      </c>
      <c r="E6" s="3048"/>
      <c r="F6" s="3048"/>
    </row>
    <row r="7" spans="1:9" ht="16.5">
      <c r="A7" s="3047" t="s">
        <v>2854</v>
      </c>
      <c r="B7" s="3047">
        <f>SUM(H14:H23)</f>
        <v>0</v>
      </c>
      <c r="C7" s="3047">
        <f t="shared" si="0"/>
        <v>0</v>
      </c>
      <c r="D7" s="3047">
        <f t="shared" si="1"/>
        <v>0</v>
      </c>
      <c r="E7" s="3048"/>
      <c r="F7" s="3048"/>
    </row>
    <row r="8" spans="1:9" ht="16.5">
      <c r="A8" s="3047" t="s">
        <v>2855</v>
      </c>
      <c r="B8" s="3047">
        <f>SUM(I14:I23)</f>
        <v>0</v>
      </c>
      <c r="C8" s="3047">
        <f t="shared" si="0"/>
        <v>0</v>
      </c>
      <c r="D8" s="3047">
        <f t="shared" si="1"/>
        <v>0</v>
      </c>
      <c r="E8" s="3048"/>
      <c r="F8" s="3048"/>
    </row>
    <row r="9" spans="1:9" ht="16.5">
      <c r="A9" s="3047" t="s">
        <v>2856</v>
      </c>
      <c r="B9" s="3050"/>
      <c r="C9" s="3048"/>
      <c r="D9" s="3048"/>
      <c r="E9" s="3048"/>
      <c r="F9" s="3048"/>
    </row>
    <row r="10" spans="1:9" ht="16.5">
      <c r="A10" s="3047" t="s">
        <v>2857</v>
      </c>
      <c r="B10" s="3050"/>
      <c r="C10" s="3048"/>
      <c r="D10" s="3048"/>
      <c r="E10" s="3048"/>
      <c r="F10" s="3048"/>
    </row>
    <row r="11" spans="1:9" ht="16.5">
      <c r="A11" s="3047" t="s">
        <v>2874</v>
      </c>
      <c r="B11" s="3050"/>
      <c r="C11" s="3048"/>
      <c r="D11" s="3048"/>
      <c r="E11" s="3048"/>
      <c r="F11" s="3048"/>
    </row>
    <row r="12" spans="1:9" ht="16.5">
      <c r="A12" s="3048"/>
      <c r="B12" s="3048"/>
      <c r="C12" s="3048"/>
      <c r="D12" s="3048"/>
      <c r="E12" s="3048"/>
      <c r="F12" s="3048"/>
    </row>
    <row r="13" spans="1:9" ht="33">
      <c r="A13" s="3053" t="s">
        <v>2873</v>
      </c>
      <c r="B13" s="3051" t="s">
        <v>2845</v>
      </c>
      <c r="C13" s="3051" t="s">
        <v>2846</v>
      </c>
      <c r="D13" s="3051" t="s">
        <v>2858</v>
      </c>
      <c r="E13" s="3047" t="s">
        <v>2872</v>
      </c>
      <c r="F13" s="3047" t="s">
        <v>2851</v>
      </c>
      <c r="G13" s="3051" t="s">
        <v>2859</v>
      </c>
      <c r="H13" s="3051" t="s">
        <v>2860</v>
      </c>
      <c r="I13" s="3051" t="s">
        <v>2861</v>
      </c>
    </row>
    <row r="14" spans="1:9" ht="16.5">
      <c r="A14" s="3054" t="s">
        <v>2871</v>
      </c>
      <c r="B14" s="3051">
        <f>结果表!L38</f>
        <v>66660.070000000007</v>
      </c>
      <c r="C14" s="3051">
        <f>结果表!K38</f>
        <v>66660.070000000007</v>
      </c>
      <c r="D14" s="3051">
        <f ca="1">结果表!C42</f>
        <v>5195</v>
      </c>
      <c r="E14" s="3051">
        <f ca="1">ROUND(D14*10000/B14,0)</f>
        <v>779</v>
      </c>
      <c r="F14" s="3051">
        <f ca="1">ROUND(D14*10000/C14,0)</f>
        <v>779</v>
      </c>
      <c r="G14" s="3051" t="str">
        <f>结果表!C44</f>
        <v>——</v>
      </c>
      <c r="H14" s="3051" t="str">
        <f>结果表!C45</f>
        <v>——</v>
      </c>
      <c r="I14" s="3051" t="str">
        <f>结果表!C46</f>
        <v>——</v>
      </c>
    </row>
    <row r="15" spans="1:9" ht="16.5">
      <c r="A15" s="3054" t="s">
        <v>2862</v>
      </c>
      <c r="B15" s="3055"/>
      <c r="C15" s="3055"/>
      <c r="D15" s="3055"/>
      <c r="E15" s="3051" t="e">
        <f t="shared" ref="E15:E23" si="2">ROUND(D15*10000/B15,0)</f>
        <v>#DIV/0!</v>
      </c>
      <c r="F15" s="3051" t="e">
        <f t="shared" ref="F15:F23" si="3">ROUND(D15*10000/C15,0)</f>
        <v>#DIV/0!</v>
      </c>
      <c r="G15" s="3052"/>
      <c r="H15" s="3052"/>
      <c r="I15" s="3055"/>
    </row>
    <row r="16" spans="1:9" ht="16.5">
      <c r="A16" s="3054" t="s">
        <v>2863</v>
      </c>
      <c r="B16" s="3055"/>
      <c r="C16" s="3055"/>
      <c r="D16" s="3055"/>
      <c r="E16" s="3051" t="e">
        <f t="shared" si="2"/>
        <v>#DIV/0!</v>
      </c>
      <c r="F16" s="3051" t="e">
        <f t="shared" si="3"/>
        <v>#DIV/0!</v>
      </c>
      <c r="G16" s="3052"/>
      <c r="H16" s="3052"/>
      <c r="I16" s="3055"/>
    </row>
    <row r="17" spans="1:9" ht="16.5">
      <c r="A17" s="3054" t="s">
        <v>2864</v>
      </c>
      <c r="B17" s="3055"/>
      <c r="C17" s="3055"/>
      <c r="D17" s="3055"/>
      <c r="E17" s="3051" t="e">
        <f t="shared" si="2"/>
        <v>#DIV/0!</v>
      </c>
      <c r="F17" s="3051" t="e">
        <f t="shared" si="3"/>
        <v>#DIV/0!</v>
      </c>
      <c r="G17" s="3052"/>
      <c r="H17" s="3052"/>
      <c r="I17" s="3055"/>
    </row>
    <row r="18" spans="1:9" ht="16.5">
      <c r="A18" s="3054" t="s">
        <v>2865</v>
      </c>
      <c r="B18" s="3055"/>
      <c r="C18" s="3055"/>
      <c r="D18" s="3055"/>
      <c r="E18" s="3051" t="e">
        <f t="shared" si="2"/>
        <v>#DIV/0!</v>
      </c>
      <c r="F18" s="3051" t="e">
        <f t="shared" si="3"/>
        <v>#DIV/0!</v>
      </c>
      <c r="G18" s="3055"/>
      <c r="H18" s="3055"/>
      <c r="I18" s="3055"/>
    </row>
    <row r="19" spans="1:9" ht="16.5">
      <c r="A19" s="3054" t="s">
        <v>2866</v>
      </c>
      <c r="B19" s="3055"/>
      <c r="C19" s="3055"/>
      <c r="D19" s="3055"/>
      <c r="E19" s="3051" t="e">
        <f t="shared" si="2"/>
        <v>#DIV/0!</v>
      </c>
      <c r="F19" s="3051" t="e">
        <f t="shared" si="3"/>
        <v>#DIV/0!</v>
      </c>
      <c r="G19" s="3055"/>
      <c r="H19" s="3055"/>
      <c r="I19" s="3055"/>
    </row>
    <row r="20" spans="1:9" ht="16.5">
      <c r="A20" s="3054" t="s">
        <v>2867</v>
      </c>
      <c r="B20" s="3055"/>
      <c r="C20" s="3055"/>
      <c r="D20" s="3055"/>
      <c r="E20" s="3051" t="e">
        <f t="shared" si="2"/>
        <v>#DIV/0!</v>
      </c>
      <c r="F20" s="3051" t="e">
        <f t="shared" si="3"/>
        <v>#DIV/0!</v>
      </c>
      <c r="G20" s="3055"/>
      <c r="H20" s="3055"/>
      <c r="I20" s="3055"/>
    </row>
    <row r="21" spans="1:9" ht="16.5">
      <c r="A21" s="3054" t="s">
        <v>2868</v>
      </c>
      <c r="B21" s="3055"/>
      <c r="C21" s="3055"/>
      <c r="D21" s="3055"/>
      <c r="E21" s="3051" t="e">
        <f t="shared" si="2"/>
        <v>#DIV/0!</v>
      </c>
      <c r="F21" s="3051" t="e">
        <f t="shared" si="3"/>
        <v>#DIV/0!</v>
      </c>
      <c r="G21" s="3055"/>
      <c r="H21" s="3055"/>
      <c r="I21" s="3055"/>
    </row>
    <row r="22" spans="1:9" ht="16.5">
      <c r="A22" s="3054" t="s">
        <v>2869</v>
      </c>
      <c r="B22" s="3055"/>
      <c r="C22" s="3055"/>
      <c r="D22" s="3055"/>
      <c r="E22" s="3051" t="e">
        <f t="shared" si="2"/>
        <v>#DIV/0!</v>
      </c>
      <c r="F22" s="3051" t="e">
        <f t="shared" si="3"/>
        <v>#DIV/0!</v>
      </c>
      <c r="G22" s="3055"/>
      <c r="H22" s="3055"/>
      <c r="I22" s="3055"/>
    </row>
    <row r="23" spans="1:9" ht="16.5">
      <c r="A23" s="3054" t="s">
        <v>2870</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3003</v>
      </c>
      <c r="E1" s="1806" t="s">
        <v>2059</v>
      </c>
      <c r="F1" s="1808" t="s">
        <v>3002</v>
      </c>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北京市出让国有建设用地使用权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25" t="s">
        <v>298</v>
      </c>
      <c r="B3" s="3326"/>
      <c r="C3" s="3326"/>
      <c r="D3" s="3326"/>
      <c r="E3" s="3326"/>
      <c r="F3" s="3326"/>
      <c r="G3" s="3326"/>
      <c r="H3" s="3326"/>
      <c r="I3" s="3326"/>
      <c r="J3" s="2031"/>
      <c r="K3" s="2030"/>
      <c r="L3" s="2030"/>
      <c r="M3" s="2030"/>
      <c r="N3" s="2030"/>
      <c r="O3" s="2030"/>
      <c r="P3" s="2030"/>
      <c r="Q3" s="2030"/>
      <c r="R3" s="2030"/>
      <c r="S3" s="2030"/>
      <c r="T3" s="2030"/>
      <c r="U3" s="2030"/>
      <c r="V3" s="2030"/>
    </row>
    <row r="4" spans="1:22" ht="14.25">
      <c r="A4" s="258" t="s">
        <v>299</v>
      </c>
      <c r="B4" s="259" t="s">
        <v>300</v>
      </c>
      <c r="C4" s="260" t="s">
        <v>3000</v>
      </c>
      <c r="D4" s="260" t="s">
        <v>2953</v>
      </c>
      <c r="E4" s="3289" t="s">
        <v>301</v>
      </c>
      <c r="F4" s="3331"/>
      <c r="G4" s="3331"/>
      <c r="H4" s="3331"/>
      <c r="I4" s="3290"/>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318" t="s">
        <v>302</v>
      </c>
      <c r="B5" s="3319">
        <v>25</v>
      </c>
      <c r="C5" s="3327"/>
      <c r="D5" s="3330"/>
      <c r="E5" s="261" t="s">
        <v>303</v>
      </c>
      <c r="F5" s="262"/>
      <c r="G5" s="262"/>
      <c r="H5" s="262"/>
      <c r="I5" s="263"/>
      <c r="J5" s="2031"/>
      <c r="K5" s="2030"/>
      <c r="L5" s="2030"/>
      <c r="M5" s="2030"/>
      <c r="N5" s="2030"/>
      <c r="O5" s="2030"/>
      <c r="P5" s="2030"/>
      <c r="Q5" s="2030"/>
      <c r="R5" s="2030"/>
      <c r="S5" s="2030"/>
      <c r="T5" s="2030"/>
      <c r="U5" s="2030"/>
      <c r="V5" s="2030"/>
    </row>
    <row r="6" spans="1:22" ht="14.25">
      <c r="A6" s="3318"/>
      <c r="B6" s="3319"/>
      <c r="C6" s="3328"/>
      <c r="D6" s="3330"/>
      <c r="E6" s="261" t="s">
        <v>304</v>
      </c>
      <c r="F6" s="262"/>
      <c r="G6" s="262"/>
      <c r="H6" s="262"/>
      <c r="I6" s="263"/>
      <c r="J6" s="2031"/>
      <c r="K6" s="2030"/>
      <c r="L6" s="2030"/>
      <c r="M6" s="2030"/>
      <c r="N6" s="2030"/>
      <c r="O6" s="2030"/>
      <c r="P6" s="2030"/>
      <c r="Q6" s="2030"/>
      <c r="R6" s="2030"/>
      <c r="S6" s="2030"/>
      <c r="T6" s="2030"/>
      <c r="U6" s="2030"/>
      <c r="V6" s="2030"/>
    </row>
    <row r="7" spans="1:22" ht="14.25">
      <c r="A7" s="3318"/>
      <c r="B7" s="3319"/>
      <c r="C7" s="3329"/>
      <c r="D7" s="3330"/>
      <c r="E7" s="261" t="s">
        <v>305</v>
      </c>
      <c r="F7" s="262"/>
      <c r="G7" s="262"/>
      <c r="H7" s="262"/>
      <c r="I7" s="263"/>
      <c r="J7" s="2031"/>
      <c r="K7" s="2030"/>
      <c r="L7" s="2030"/>
      <c r="M7" s="2030"/>
      <c r="N7" s="2030"/>
      <c r="O7" s="2030"/>
      <c r="P7" s="2030"/>
      <c r="Q7" s="2030"/>
      <c r="R7" s="2030"/>
      <c r="S7" s="2030"/>
      <c r="T7" s="2030"/>
      <c r="U7" s="2030"/>
      <c r="V7" s="2030"/>
    </row>
    <row r="8" spans="1:22" ht="14.25">
      <c r="A8" s="3318" t="s">
        <v>306</v>
      </c>
      <c r="B8" s="3319">
        <v>15</v>
      </c>
      <c r="C8" s="3327"/>
      <c r="D8" s="3330"/>
      <c r="E8" s="261" t="s">
        <v>307</v>
      </c>
      <c r="F8" s="262"/>
      <c r="G8" s="262"/>
      <c r="H8" s="262"/>
      <c r="I8" s="263"/>
      <c r="J8" s="2031"/>
      <c r="K8" s="2030"/>
      <c r="L8" s="2030"/>
      <c r="M8" s="2030"/>
      <c r="N8" s="2030"/>
      <c r="O8" s="2030"/>
      <c r="P8" s="2030"/>
      <c r="Q8" s="2030"/>
      <c r="R8" s="2030"/>
      <c r="S8" s="2030"/>
      <c r="T8" s="2030"/>
      <c r="U8" s="2030"/>
      <c r="V8" s="2030"/>
    </row>
    <row r="9" spans="1:22" ht="14.25">
      <c r="A9" s="3318"/>
      <c r="B9" s="3319"/>
      <c r="C9" s="3329"/>
      <c r="D9" s="3330"/>
      <c r="E9" s="261" t="s">
        <v>308</v>
      </c>
      <c r="F9" s="262"/>
      <c r="G9" s="262"/>
      <c r="H9" s="262"/>
      <c r="I9" s="263"/>
      <c r="J9" s="2031"/>
      <c r="K9" s="2030"/>
      <c r="L9" s="2030"/>
      <c r="M9" s="2030"/>
      <c r="N9" s="2030"/>
      <c r="O9" s="2030"/>
      <c r="P9" s="2030"/>
      <c r="Q9" s="2030"/>
      <c r="R9" s="2030"/>
      <c r="S9" s="2030"/>
      <c r="T9" s="2030"/>
      <c r="U9" s="2030"/>
      <c r="V9" s="2030"/>
    </row>
    <row r="10" spans="1:22" ht="14.25">
      <c r="A10" s="3318" t="s">
        <v>309</v>
      </c>
      <c r="B10" s="3319">
        <v>15</v>
      </c>
      <c r="C10" s="3327"/>
      <c r="D10" s="333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8"/>
      <c r="B11" s="3319"/>
      <c r="C11" s="3329"/>
      <c r="D11" s="333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18" t="s">
        <v>312</v>
      </c>
      <c r="B12" s="3319">
        <v>15</v>
      </c>
      <c r="C12" s="3327"/>
      <c r="D12" s="333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8"/>
      <c r="B13" s="3319"/>
      <c r="C13" s="3329"/>
      <c r="D13" s="333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8" t="s">
        <v>315</v>
      </c>
      <c r="B14" s="3319">
        <v>30</v>
      </c>
      <c r="C14" s="3327">
        <v>4</v>
      </c>
      <c r="D14" s="3330">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8"/>
      <c r="B15" s="3319"/>
      <c r="C15" s="3328"/>
      <c r="D15" s="333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8"/>
      <c r="B16" s="3319"/>
      <c r="C16" s="3329"/>
      <c r="D16" s="333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7207</v>
      </c>
      <c r="D19" s="271">
        <f ca="1">SUMIF(INDIRECT("'"&amp;D4&amp;"'"&amp;"!A:A"),结果表!B19,INDIRECT("'"&amp;D4&amp;"'"&amp;"!B:B"))</f>
        <v>3853</v>
      </c>
      <c r="E19" s="268" t="s">
        <v>323</v>
      </c>
      <c r="F19" s="269" t="s">
        <v>322</v>
      </c>
      <c r="G19" s="272">
        <f ca="1">ROUND(C19*$C$18+D19*$D$18,0)</f>
        <v>5195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1081</v>
      </c>
      <c r="D20" s="277">
        <f ca="1">SUMIF(INDIRECT("'"&amp;D4&amp;"'"&amp;"!A:A"),结果表!B20,INDIRECT("'"&amp;D4&amp;"'"&amp;"!B:B"))</f>
        <v>578</v>
      </c>
      <c r="E20" s="274"/>
      <c r="F20" s="275" t="s">
        <v>325</v>
      </c>
      <c r="G20" s="278">
        <f ca="1">ROUND(C20*$C$18+D20*$D$18,0)</f>
        <v>779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1081</v>
      </c>
      <c r="D21" s="151">
        <f ca="1">SUMIF(INDIRECT("'"&amp;D4&amp;"'"&amp;"!A:A"),结果表!B21,INDIRECT("'"&amp;D4&amp;"'"&amp;"!B:B"))</f>
        <v>578</v>
      </c>
      <c r="E21" s="274"/>
      <c r="F21" s="280" t="s">
        <v>327</v>
      </c>
      <c r="G21" s="282">
        <f ca="1">ROUND(C21*$C$18+D21*$D$18,0)</f>
        <v>779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0.87049052686218542</v>
      </c>
      <c r="E22" s="284"/>
      <c r="F22" s="285"/>
      <c r="G22" s="286">
        <f ca="1">ROUND(G19/('数据-汇总表'!D3/666.67),0)</f>
        <v>52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str">
        <f ca="1">项目基本情况!B16&amp;"国有建设用地使用权价格："&amp;O38&amp;"万元"</f>
        <v>出让国有建设用地使用权价格：5195万元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大写金额：人民币伍仟壹佰玖拾伍万元整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单位面积地价：779元/平方米</v>
      </c>
      <c r="L27" s="1252"/>
      <c r="M27" s="1252"/>
      <c r="N27" s="1252"/>
      <c r="O27" s="1251"/>
      <c r="P27" s="2030"/>
      <c r="Q27" s="2030"/>
      <c r="R27" s="2030"/>
      <c r="S27" s="2030"/>
      <c r="T27" s="2030"/>
      <c r="U27" s="2030"/>
      <c r="V27" s="2030"/>
    </row>
    <row r="28" spans="1:26" ht="18.75" customHeight="1">
      <c r="A28" s="293"/>
      <c r="B28" s="294"/>
      <c r="C28" s="294"/>
      <c r="D28" s="295">
        <f ca="1">G19+1748</f>
        <v>6943</v>
      </c>
      <c r="E28" s="311"/>
      <c r="F28" s="311"/>
      <c r="G28" s="311"/>
      <c r="H28" s="311"/>
      <c r="I28" s="311"/>
      <c r="J28" s="2030"/>
      <c r="K28" s="1258" t="str">
        <f ca="1">"楼面地价："&amp;N38&amp;"元/平方米"</f>
        <v>楼面地价：779元/平方米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2970</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5195</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779</v>
      </c>
      <c r="D33" s="1386" t="s">
        <v>1692</v>
      </c>
      <c r="E33" s="329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779</v>
      </c>
      <c r="D34" s="1388" t="s">
        <v>1692</v>
      </c>
      <c r="E34" s="329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52</v>
      </c>
      <c r="D35" s="1391" t="s">
        <v>1694</v>
      </c>
      <c r="E35" s="3293"/>
      <c r="F35" s="301" t="s">
        <v>342</v>
      </c>
      <c r="G35" s="982"/>
      <c r="H35" s="981" t="s">
        <v>343</v>
      </c>
      <c r="I35" s="311"/>
      <c r="J35" s="2030"/>
      <c r="K35" s="3297" t="s">
        <v>350</v>
      </c>
      <c r="L35" s="3297" t="s">
        <v>351</v>
      </c>
      <c r="M35" s="1264" t="s">
        <v>352</v>
      </c>
      <c r="N35" s="3297" t="s">
        <v>353</v>
      </c>
      <c r="O35" s="3297" t="s">
        <v>354</v>
      </c>
      <c r="P35" s="2030"/>
      <c r="V35" s="2030"/>
    </row>
    <row r="36" spans="1:26" ht="16.5" customHeight="1">
      <c r="A36" s="303" t="s">
        <v>344</v>
      </c>
      <c r="B36" s="304" t="s">
        <v>333</v>
      </c>
      <c r="C36" s="305" t="s">
        <v>345</v>
      </c>
      <c r="D36" s="305" t="s">
        <v>346</v>
      </c>
      <c r="E36" s="306" t="s">
        <v>347</v>
      </c>
      <c r="F36" s="311"/>
      <c r="G36" s="311"/>
      <c r="H36" s="311"/>
      <c r="I36" s="311"/>
      <c r="J36" s="2032"/>
      <c r="K36" s="3298"/>
      <c r="L36" s="3298"/>
      <c r="M36" s="1266" t="s">
        <v>355</v>
      </c>
      <c r="N36" s="3298"/>
      <c r="O36" s="3298"/>
      <c r="P36" s="2030"/>
      <c r="V36" s="2030"/>
    </row>
    <row r="37" spans="1:26" ht="16.5" customHeight="1" thickBot="1">
      <c r="A37" s="1260" t="s">
        <v>348</v>
      </c>
      <c r="B37" s="307"/>
      <c r="C37" s="294"/>
      <c r="D37" s="294"/>
      <c r="E37" s="295"/>
      <c r="F37" s="311"/>
      <c r="G37" s="311"/>
      <c r="H37" s="311"/>
      <c r="I37" s="311"/>
      <c r="J37" s="2032"/>
      <c r="K37" s="3299"/>
      <c r="L37" s="3299"/>
      <c r="M37" s="1267"/>
      <c r="N37" s="3299"/>
      <c r="O37" s="3299"/>
      <c r="P37" s="2030"/>
      <c r="V37" s="2030"/>
    </row>
    <row r="38" spans="1:26" ht="16.5" customHeight="1" thickBot="1">
      <c r="A38" s="1260" t="s">
        <v>349</v>
      </c>
      <c r="B38" s="307"/>
      <c r="C38" s="294"/>
      <c r="D38" s="294"/>
      <c r="E38" s="295"/>
      <c r="F38" s="311"/>
      <c r="G38" s="311"/>
      <c r="H38" s="311"/>
      <c r="I38" s="311"/>
      <c r="J38" s="2032"/>
      <c r="K38" s="1268">
        <f>'数据-汇总表'!D3</f>
        <v>66660.070000000007</v>
      </c>
      <c r="L38" s="1269">
        <f>'数据-汇总表'!E3</f>
        <v>66660.070000000007</v>
      </c>
      <c r="M38" s="1269">
        <f ca="1">C34</f>
        <v>779</v>
      </c>
      <c r="N38" s="1269">
        <f ca="1">C33</f>
        <v>779</v>
      </c>
      <c r="O38" s="1270">
        <f ca="1">C32</f>
        <v>5195</v>
      </c>
      <c r="P38" s="2030"/>
      <c r="V38" s="2030"/>
    </row>
    <row r="39" spans="1:26" ht="16.5" customHeight="1" thickBot="1">
      <c r="A39" s="1265"/>
      <c r="B39" s="308"/>
      <c r="C39" s="309"/>
      <c r="D39" s="309"/>
      <c r="E39" s="310"/>
      <c r="F39" s="311"/>
      <c r="G39" s="311"/>
      <c r="H39" s="311"/>
      <c r="I39" s="311"/>
      <c r="J39" s="2032"/>
      <c r="K39" s="3274" t="str">
        <f>MID(A44,3,LEN(A44)-2)</f>
        <v/>
      </c>
      <c r="L39" s="3275"/>
      <c r="M39" s="3275"/>
      <c r="N39" s="3276"/>
      <c r="O39" s="1393" t="str">
        <f>C44</f>
        <v>——</v>
      </c>
      <c r="P39" s="2030"/>
      <c r="V39" s="2030"/>
    </row>
    <row r="40" spans="1:26" ht="19.5" thickBot="1">
      <c r="A40" s="104" t="s">
        <v>873</v>
      </c>
      <c r="B40" s="311"/>
      <c r="C40" s="311"/>
      <c r="D40" s="311"/>
      <c r="E40" s="311"/>
      <c r="F40" s="311"/>
      <c r="G40" s="311"/>
      <c r="H40" s="311"/>
      <c r="I40" s="311"/>
      <c r="J40" s="2032"/>
      <c r="K40" s="3274" t="str">
        <f t="shared" ref="K40:K41" si="0">MID(A45,3,LEN(A45)-2)</f>
        <v/>
      </c>
      <c r="L40" s="3275"/>
      <c r="M40" s="3275"/>
      <c r="N40" s="3276"/>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4" t="str">
        <f t="shared" si="0"/>
        <v/>
      </c>
      <c r="L41" s="3275"/>
      <c r="M41" s="3275"/>
      <c r="N41" s="3276"/>
      <c r="O41" s="1393" t="str">
        <f>C46</f>
        <v>——</v>
      </c>
      <c r="P41" s="2030"/>
      <c r="V41" s="2030"/>
    </row>
    <row r="42" spans="1:26" ht="29.25">
      <c r="A42" s="3334" t="s">
        <v>2069</v>
      </c>
      <c r="B42" s="3335"/>
      <c r="C42" s="264">
        <f ca="1">C32</f>
        <v>5195</v>
      </c>
      <c r="D42" s="317">
        <f ca="1">C33</f>
        <v>779</v>
      </c>
      <c r="E42" s="317">
        <f ca="1">C34</f>
        <v>779</v>
      </c>
      <c r="F42" s="318">
        <f ca="1">C35</f>
        <v>52</v>
      </c>
      <c r="G42" s="311"/>
      <c r="H42" s="311"/>
      <c r="I42" s="319"/>
      <c r="J42" s="2032"/>
      <c r="K42" s="1271" t="s">
        <v>361</v>
      </c>
      <c r="L42" s="2049" t="s">
        <v>362</v>
      </c>
      <c r="M42" s="1272" t="s">
        <v>363</v>
      </c>
      <c r="N42" s="2050" t="s">
        <v>364</v>
      </c>
      <c r="O42" s="2051" t="s">
        <v>365</v>
      </c>
      <c r="P42" s="2030"/>
      <c r="V42" s="2030"/>
    </row>
    <row r="43" spans="1:26" ht="30">
      <c r="A43" s="3344" t="s">
        <v>2732</v>
      </c>
      <c r="B43" s="3345"/>
      <c r="C43" s="264">
        <f>IF(H33="正常操作",G33+G34+G35,G34+G35)</f>
        <v>0</v>
      </c>
      <c r="D43" s="317" t="s">
        <v>43</v>
      </c>
      <c r="E43" s="317" t="s">
        <v>44</v>
      </c>
      <c r="F43" s="318" t="s">
        <v>44</v>
      </c>
      <c r="G43" s="2868" t="s">
        <v>952</v>
      </c>
      <c r="H43" s="311"/>
      <c r="I43" s="319"/>
      <c r="J43" s="2032"/>
      <c r="K43" s="1273" t="str">
        <f>C4</f>
        <v>剩余法-待开发</v>
      </c>
      <c r="L43" s="1274">
        <f ca="1">IF(L42="估价结果/万元",C19,C20)</f>
        <v>7207</v>
      </c>
      <c r="M43" s="1275">
        <f>C18</f>
        <v>0.4</v>
      </c>
      <c r="N43" s="1276">
        <f ca="1">IF(N42="测算结果/万元",G19,G20)</f>
        <v>5195</v>
      </c>
      <c r="O43" s="1277">
        <f ca="1">IF(O42="最终结果/万元",C32,C33)</f>
        <v>5195</v>
      </c>
      <c r="P43" s="2030"/>
      <c r="V43" s="2030"/>
    </row>
    <row r="44" spans="1:26" ht="18.75" thickBot="1">
      <c r="A44" s="3334" t="str">
        <f>IF(OR(项目基本情况!E8="抵押价格",项目基本情况!E8="已注销及未注销"),"3.抵押价格","——")</f>
        <v>——</v>
      </c>
      <c r="B44" s="333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基准地价</v>
      </c>
      <c r="L44" s="1279">
        <f ca="1">IF(L42="估价结果/万元",D19,D20)</f>
        <v>3853</v>
      </c>
      <c r="M44" s="1280">
        <f>D18</f>
        <v>0.6</v>
      </c>
      <c r="N44" s="1281"/>
      <c r="O44" s="1282"/>
      <c r="P44" s="2030"/>
      <c r="V44" s="2030"/>
    </row>
    <row r="45" spans="1:26" ht="15">
      <c r="A45" s="3339" t="str">
        <f>IF(项目基本情况!E8="已注销及未注销","4.抵押担保权已注销时的抵押价格",IF(项目基本情况!E8="已注销","3.抵押担保权已注销时的抵押价格","——"))</f>
        <v>——</v>
      </c>
      <c r="B45" s="334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2" t="s">
        <v>374</v>
      </c>
      <c r="B63" s="3303"/>
      <c r="C63" s="3304"/>
      <c r="D63" s="341">
        <f ca="1">ROUND(C42*F63,0)</f>
        <v>3117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1" t="s">
        <v>378</v>
      </c>
      <c r="B64" s="3342"/>
      <c r="C64" s="3342"/>
      <c r="D64" s="3342"/>
      <c r="E64" s="3342"/>
      <c r="F64" s="3342"/>
      <c r="G64" s="334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09"/>
      <c r="C66" s="3309"/>
      <c r="D66" s="261">
        <f ca="1">IF(H66="情况1",0,IF(H66="情况2",D70,IF(H66="情况3",D71,IF(H66="情况4",D72))))</f>
        <v>163</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278" t="s">
        <v>385</v>
      </c>
      <c r="M66" s="3279"/>
      <c r="N66" s="2460"/>
      <c r="O66" s="2461"/>
      <c r="P66" s="2462"/>
      <c r="Q66" s="2030"/>
      <c r="R66" s="2030"/>
      <c r="S66" s="2030"/>
      <c r="T66" s="2030"/>
      <c r="U66" s="2030"/>
      <c r="V66" s="2030"/>
    </row>
    <row r="67" spans="1:22" ht="25.5" customHeight="1">
      <c r="A67" s="352" t="s">
        <v>390</v>
      </c>
      <c r="B67" s="3321" t="s">
        <v>391</v>
      </c>
      <c r="C67" s="3321"/>
      <c r="D67" s="353">
        <v>0</v>
      </c>
      <c r="E67" s="41" t="s">
        <v>392</v>
      </c>
      <c r="F67" s="62" t="s">
        <v>21</v>
      </c>
      <c r="G67" s="3305"/>
      <c r="H67" s="311"/>
      <c r="I67" s="1292"/>
      <c r="J67" s="2037"/>
      <c r="K67" s="1978">
        <v>2</v>
      </c>
      <c r="L67" s="3277" t="s">
        <v>389</v>
      </c>
      <c r="M67" s="3277"/>
      <c r="N67" s="1325">
        <f>'数据-取费表'!B2</f>
        <v>43384</v>
      </c>
      <c r="O67" s="1325"/>
      <c r="P67" s="1325"/>
      <c r="Q67" s="2030"/>
      <c r="R67" s="2030"/>
      <c r="S67" s="2030"/>
      <c r="T67" s="2030"/>
      <c r="U67" s="2030"/>
      <c r="V67" s="2030"/>
    </row>
    <row r="68" spans="1:22" ht="25.5" customHeight="1">
      <c r="A68" s="354"/>
      <c r="B68" s="3321" t="s">
        <v>394</v>
      </c>
      <c r="C68" s="3321"/>
      <c r="D68" s="355"/>
      <c r="E68" s="77"/>
      <c r="F68" s="356"/>
      <c r="G68" s="3306"/>
      <c r="H68" s="311"/>
      <c r="I68" s="1292"/>
      <c r="J68" s="2037"/>
      <c r="K68" s="1978">
        <v>3</v>
      </c>
      <c r="L68" s="3277" t="s">
        <v>393</v>
      </c>
      <c r="M68" s="3277"/>
      <c r="N68" s="1293">
        <f ca="1">C42</f>
        <v>5195</v>
      </c>
      <c r="O68" s="1293"/>
      <c r="P68" s="1293"/>
      <c r="Q68" s="2030"/>
      <c r="R68" s="2030"/>
      <c r="S68" s="2030"/>
      <c r="T68" s="2030"/>
      <c r="U68" s="2030"/>
      <c r="V68" s="2030"/>
    </row>
    <row r="69" spans="1:22" ht="12" customHeight="1">
      <c r="A69" s="357"/>
      <c r="B69" s="3321" t="s">
        <v>395</v>
      </c>
      <c r="C69" s="3321"/>
      <c r="D69" s="358"/>
      <c r="E69" s="73"/>
      <c r="F69" s="356"/>
      <c r="G69" s="3307"/>
      <c r="H69" s="311"/>
      <c r="I69" s="1292"/>
      <c r="J69" s="2037"/>
      <c r="K69" s="1294">
        <v>4</v>
      </c>
      <c r="L69" s="3283" t="s">
        <v>2884</v>
      </c>
      <c r="M69" s="3284"/>
      <c r="N69" s="1295" t="str">
        <f>C44</f>
        <v>——</v>
      </c>
      <c r="O69" s="1295"/>
      <c r="P69" s="1295"/>
      <c r="Q69" s="2030"/>
      <c r="R69" s="2030"/>
      <c r="S69" s="2030"/>
      <c r="T69" s="2030"/>
      <c r="U69" s="2030"/>
      <c r="V69" s="2030"/>
    </row>
    <row r="70" spans="1:22" ht="24" customHeight="1">
      <c r="A70" s="359" t="s">
        <v>396</v>
      </c>
      <c r="B70" s="3321" t="s">
        <v>397</v>
      </c>
      <c r="C70" s="3321"/>
      <c r="D70" s="358">
        <f ca="1">ROUND(D63*'数据-取费表'!B41/(1+'数据-取费表'!C42),0)</f>
        <v>163</v>
      </c>
      <c r="E70" s="17" t="s">
        <v>398</v>
      </c>
      <c r="F70" s="360">
        <f>'数据-取费表'!B41</f>
        <v>5.5000000000000007E-2</v>
      </c>
      <c r="G70" s="361"/>
      <c r="H70" s="311"/>
      <c r="I70" s="1292"/>
      <c r="J70" s="2037"/>
      <c r="K70" s="3064"/>
      <c r="L70" s="3065"/>
      <c r="M70" s="3065"/>
      <c r="N70" s="3066" t="s">
        <v>2889</v>
      </c>
      <c r="O70" s="3065"/>
      <c r="P70" s="3067"/>
      <c r="Q70" s="2030"/>
      <c r="R70" s="2030"/>
      <c r="S70" s="2030"/>
      <c r="T70" s="2030"/>
      <c r="U70" s="2030"/>
      <c r="V70" s="2030"/>
    </row>
    <row r="71" spans="1:22" ht="12" customHeight="1">
      <c r="A71" s="359" t="s">
        <v>404</v>
      </c>
      <c r="B71" s="3320" t="s">
        <v>405</v>
      </c>
      <c r="C71" s="3332"/>
      <c r="D71" s="358">
        <f ca="1">ROUND(D63*'数据-取费表'!B41/(1+'数据-取费表'!C42),0)</f>
        <v>163</v>
      </c>
      <c r="E71" s="17" t="s">
        <v>398</v>
      </c>
      <c r="F71" s="360">
        <f>'数据-取费表'!B41</f>
        <v>5.5000000000000007E-2</v>
      </c>
      <c r="G71" s="361"/>
      <c r="H71" s="311"/>
      <c r="I71" s="1292"/>
      <c r="J71" s="2037"/>
      <c r="K71" s="3063" t="s">
        <v>399</v>
      </c>
      <c r="L71" s="3285" t="s">
        <v>400</v>
      </c>
      <c r="M71" s="3285"/>
      <c r="N71" s="3063" t="s">
        <v>401</v>
      </c>
      <c r="O71" s="3063" t="s">
        <v>402</v>
      </c>
      <c r="P71" s="3063" t="s">
        <v>403</v>
      </c>
      <c r="Q71" s="2030"/>
      <c r="R71" s="2030"/>
      <c r="S71" s="2030"/>
      <c r="T71" s="2030"/>
      <c r="U71" s="2030"/>
      <c r="V71" s="2030"/>
    </row>
    <row r="72" spans="1:22" ht="12" customHeight="1">
      <c r="A72" s="359" t="s">
        <v>407</v>
      </c>
      <c r="B72" s="3320" t="s">
        <v>408</v>
      </c>
      <c r="C72" s="3332"/>
      <c r="D72" s="358">
        <f ca="1">C86</f>
        <v>53</v>
      </c>
      <c r="E72" s="73" t="s">
        <v>409</v>
      </c>
      <c r="F72" s="360">
        <f>'数据-取费表'!B41</f>
        <v>5.5000000000000007E-2</v>
      </c>
      <c r="G72" s="361"/>
      <c r="H72" s="1298"/>
      <c r="I72" s="1292"/>
      <c r="J72" s="2037"/>
      <c r="K72" s="1978">
        <v>1</v>
      </c>
      <c r="L72" s="3282" t="s">
        <v>406</v>
      </c>
      <c r="M72" s="3282"/>
      <c r="N72" s="1296">
        <f ca="1">D66</f>
        <v>163</v>
      </c>
      <c r="O72" s="1861" t="str">
        <f>E66</f>
        <v>销售额×税（费）率</v>
      </c>
      <c r="P72" s="1297">
        <f>F66</f>
        <v>5.5000000000000007E-2</v>
      </c>
      <c r="Q72" s="2030"/>
      <c r="R72" s="2030"/>
      <c r="S72" s="2030"/>
      <c r="T72" s="2030"/>
      <c r="U72" s="2030"/>
      <c r="V72" s="2030"/>
    </row>
    <row r="73" spans="1:22" ht="24" customHeight="1">
      <c r="A73" s="3308" t="s">
        <v>411</v>
      </c>
      <c r="B73" s="3309"/>
      <c r="C73" s="3309"/>
      <c r="D73" s="362">
        <f>IF(H73="个人住宅",0,ROUND(D63*I73,0))</f>
        <v>0</v>
      </c>
      <c r="E73" s="17" t="s">
        <v>412</v>
      </c>
      <c r="F73" s="360" t="str">
        <f>IF(H73="正常",I73,"免征")</f>
        <v>免征</v>
      </c>
      <c r="G73" s="361"/>
      <c r="H73" s="191" t="s">
        <v>2457</v>
      </c>
      <c r="I73" s="360">
        <f>'数据-取费表'!B49</f>
        <v>5.0000000000000001E-4</v>
      </c>
      <c r="J73" s="2037"/>
      <c r="K73" s="1978">
        <v>2</v>
      </c>
      <c r="L73" s="3282" t="s">
        <v>410</v>
      </c>
      <c r="M73" s="3282"/>
      <c r="N73" s="1296">
        <f t="shared" ref="N73:P74" si="1">D73</f>
        <v>0</v>
      </c>
      <c r="O73" s="1861" t="str">
        <f t="shared" si="1"/>
        <v>销售额×税（费）率</v>
      </c>
      <c r="P73" s="1297" t="str">
        <f t="shared" si="1"/>
        <v>免征</v>
      </c>
      <c r="Q73" s="2030"/>
      <c r="R73" s="2030"/>
      <c r="S73" s="2030"/>
      <c r="T73" s="2030"/>
      <c r="U73" s="2030"/>
      <c r="V73" s="2030"/>
    </row>
    <row r="74" spans="1:22" ht="24.75">
      <c r="A74" s="3308" t="s">
        <v>415</v>
      </c>
      <c r="B74" s="3309"/>
      <c r="C74" s="3309"/>
      <c r="D74" s="362">
        <f ca="1">IF(H74="个人住宅",D75,D76)</f>
        <v>1112</v>
      </c>
      <c r="E74" s="17" t="s">
        <v>416</v>
      </c>
      <c r="F74" s="360" t="str">
        <f>IF(H74="正常",F76,"免征")</f>
        <v>——</v>
      </c>
      <c r="G74" s="983" t="s">
        <v>417</v>
      </c>
      <c r="H74" s="363" t="s">
        <v>413</v>
      </c>
      <c r="I74" s="42"/>
      <c r="J74" s="2037"/>
      <c r="K74" s="1978">
        <v>3</v>
      </c>
      <c r="L74" s="3282" t="s">
        <v>414</v>
      </c>
      <c r="M74" s="3282"/>
      <c r="N74" s="1296">
        <f t="shared" ca="1" si="1"/>
        <v>1112</v>
      </c>
      <c r="O74" s="1861" t="str">
        <f t="shared" si="1"/>
        <v>增值额×税（费）率</v>
      </c>
      <c r="P74" s="1299" t="str">
        <f t="shared" si="1"/>
        <v>——</v>
      </c>
      <c r="Q74" s="2030"/>
      <c r="R74" s="2030"/>
      <c r="S74" s="2030"/>
      <c r="T74" s="2030"/>
      <c r="U74" s="2030"/>
      <c r="V74" s="2030"/>
    </row>
    <row r="75" spans="1:22" ht="24">
      <c r="A75" s="359" t="s">
        <v>418</v>
      </c>
      <c r="B75" s="3289" t="s">
        <v>419</v>
      </c>
      <c r="C75" s="3290"/>
      <c r="D75" s="364">
        <v>0</v>
      </c>
      <c r="E75" s="41" t="s">
        <v>420</v>
      </c>
      <c r="F75" s="365"/>
      <c r="G75" s="361"/>
      <c r="H75" s="42"/>
      <c r="I75" s="42"/>
      <c r="J75" s="2037"/>
      <c r="K75" s="3056">
        <f>IF(H77="非个人房产","",4)</f>
        <v>4</v>
      </c>
      <c r="L75" s="3282" t="str">
        <f>IF(H77="非个人房产","——","个人所得税")</f>
        <v>个人所得税</v>
      </c>
      <c r="M75" s="3282"/>
      <c r="N75" s="1300">
        <f ca="1">D77</f>
        <v>31</v>
      </c>
      <c r="O75" s="1874" t="str">
        <f>E77</f>
        <v>销售额×税（费）率</v>
      </c>
      <c r="P75" s="1301">
        <f>F77</f>
        <v>0.01</v>
      </c>
      <c r="Q75" s="2030"/>
      <c r="R75" s="2030"/>
      <c r="S75" s="2030"/>
      <c r="T75" s="2030"/>
      <c r="U75" s="2030"/>
      <c r="V75" s="2030"/>
    </row>
    <row r="76" spans="1:22" ht="24.75">
      <c r="A76" s="359" t="s">
        <v>396</v>
      </c>
      <c r="B76" s="3289" t="s">
        <v>422</v>
      </c>
      <c r="C76" s="3331"/>
      <c r="D76" s="362">
        <f ca="1">IF(H76="转让取得",C99,C115)</f>
        <v>1112</v>
      </c>
      <c r="E76" s="17" t="s">
        <v>423</v>
      </c>
      <c r="F76" s="53" t="s">
        <v>21</v>
      </c>
      <c r="G76" s="361"/>
      <c r="H76" s="363" t="s">
        <v>424</v>
      </c>
      <c r="I76" s="42"/>
      <c r="J76" s="2037"/>
      <c r="K76" s="3056"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30"/>
      <c r="R76" s="2030"/>
      <c r="S76" s="2030"/>
      <c r="T76" s="2030"/>
      <c r="U76" s="2030"/>
      <c r="V76" s="2030"/>
    </row>
    <row r="77" spans="1:22" ht="26.25" thickBot="1">
      <c r="A77" s="3300" t="s">
        <v>426</v>
      </c>
      <c r="B77" s="3301"/>
      <c r="C77" s="3301"/>
      <c r="D77" s="366">
        <f ca="1">IF(H77="非个人房产","——",IF(H77="个人住宅",0,ROUND(D63*I77,0)))</f>
        <v>31</v>
      </c>
      <c r="E77" s="367" t="str">
        <f>IF(H77="非个人房产","——","销售额×税（费）率")</f>
        <v>销售额×税（费）率</v>
      </c>
      <c r="F77" s="368">
        <f>IF(H77="非个人房产","——",IF(H77="个人住宅","免征",I77))</f>
        <v>0.01</v>
      </c>
      <c r="G77" s="984" t="s">
        <v>417</v>
      </c>
      <c r="H77" s="363" t="s">
        <v>2885</v>
      </c>
      <c r="I77" s="369">
        <v>0.01</v>
      </c>
      <c r="J77" s="2037"/>
      <c r="K77" s="3296">
        <f>IF(AND(K75="",K76=""),4,IF(项目基本情况!K6="上海银行",K76+1,K75+1))</f>
        <v>5</v>
      </c>
      <c r="L77" s="3282" t="s">
        <v>2886</v>
      </c>
      <c r="M77" s="3062" t="s">
        <v>421</v>
      </c>
      <c r="N77" s="1302"/>
      <c r="O77" s="1303">
        <f ca="1">SUMIF(N72:N76,"&lt;9e307")</f>
        <v>1306</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296"/>
      <c r="L78" s="3282"/>
      <c r="M78" s="3062" t="s">
        <v>425</v>
      </c>
      <c r="N78" s="1302"/>
      <c r="O78" s="1303" t="str">
        <f ca="1">NUMBERSTRING(INT(O77*10000),2)&amp;"元整"</f>
        <v>壹仟叁佰零陆万元整</v>
      </c>
      <c r="P78" s="1304"/>
      <c r="Q78" s="2030"/>
      <c r="R78" s="2030"/>
      <c r="S78" s="2030"/>
      <c r="T78" s="2030"/>
      <c r="U78" s="2030"/>
      <c r="V78" s="2030"/>
    </row>
    <row r="79" spans="1:22" ht="13.5" thickBot="1">
      <c r="A79" s="3286" t="s">
        <v>427</v>
      </c>
      <c r="B79" s="3286"/>
      <c r="C79" s="3286"/>
      <c r="D79" s="3286"/>
      <c r="E79" s="3286"/>
      <c r="F79" s="42"/>
      <c r="G79" s="42"/>
      <c r="H79" s="1003"/>
      <c r="I79" s="311"/>
      <c r="J79" s="2037"/>
      <c r="K79" s="3280">
        <f>K77+1</f>
        <v>6</v>
      </c>
      <c r="L79" s="3282" t="s">
        <v>2887</v>
      </c>
      <c r="M79" s="3062" t="s">
        <v>421</v>
      </c>
      <c r="N79" s="1302"/>
      <c r="O79" s="1303" t="e">
        <f ca="1">N69-O77</f>
        <v>#VALUE!</v>
      </c>
      <c r="P79" s="1304"/>
      <c r="Q79" s="2030"/>
      <c r="R79" s="2030"/>
      <c r="S79" s="2030"/>
      <c r="T79" s="2030"/>
      <c r="U79" s="2030"/>
      <c r="V79" s="2030"/>
    </row>
    <row r="80" spans="1:22" ht="12.75">
      <c r="A80" s="3287" t="s">
        <v>428</v>
      </c>
      <c r="B80" s="3288"/>
      <c r="C80" s="994"/>
      <c r="D80" s="994" t="s">
        <v>429</v>
      </c>
      <c r="E80" s="370" t="s">
        <v>430</v>
      </c>
      <c r="F80" s="42"/>
      <c r="G80" s="42"/>
      <c r="H80" s="1003"/>
      <c r="I80" s="311"/>
      <c r="J80" s="2030"/>
      <c r="K80" s="3281"/>
      <c r="L80" s="3282"/>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2969</v>
      </c>
      <c r="D81" s="373"/>
      <c r="E81" s="374"/>
      <c r="F81" s="42"/>
      <c r="G81" s="42"/>
      <c r="H81" s="1003"/>
      <c r="I81" s="311"/>
      <c r="J81" s="2030"/>
      <c r="K81" s="3056">
        <f>K79+1</f>
        <v>7</v>
      </c>
      <c r="L81" s="3294" t="s">
        <v>2888</v>
      </c>
      <c r="M81" s="3295"/>
      <c r="N81" s="1306"/>
      <c r="O81" s="1307" t="e">
        <f ca="1">ROUND(O79*10000/'数据-汇总表'!E3,0)</f>
        <v>#VALUE!</v>
      </c>
      <c r="P81" s="1308"/>
      <c r="Q81" s="2030"/>
      <c r="R81" s="2030"/>
      <c r="S81" s="2030"/>
      <c r="T81" s="2030"/>
      <c r="U81" s="2030"/>
      <c r="V81" s="2030"/>
    </row>
    <row r="82" spans="1:26" ht="13.5" thickTop="1">
      <c r="A82" s="375" t="s">
        <v>1825</v>
      </c>
      <c r="B82" s="376" t="s">
        <v>432</v>
      </c>
      <c r="C82" s="377">
        <f ca="1">D63</f>
        <v>3117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69" t="s">
        <v>2875</v>
      </c>
      <c r="L83" s="3068" t="s">
        <v>2876</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2942</v>
      </c>
      <c r="F84" s="42"/>
      <c r="G84" s="42"/>
      <c r="H84" s="1003"/>
      <c r="I84" s="311"/>
      <c r="J84" s="2030"/>
      <c r="K84" s="3269"/>
      <c r="L84" s="3068" t="s">
        <v>2877</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2878</v>
      </c>
      <c r="P84" s="2030"/>
      <c r="Q84" s="2030"/>
      <c r="R84" s="2030"/>
      <c r="S84" s="2030"/>
      <c r="T84" s="2030"/>
      <c r="U84" s="2030"/>
      <c r="V84" s="2030"/>
    </row>
    <row r="85" spans="1:26" ht="12.75">
      <c r="A85" s="381" t="s">
        <v>1828</v>
      </c>
      <c r="B85" s="382" t="s">
        <v>435</v>
      </c>
      <c r="C85" s="385">
        <f ca="1">C81-C84</f>
        <v>969</v>
      </c>
      <c r="D85" s="378" t="s">
        <v>19</v>
      </c>
      <c r="E85" s="379"/>
      <c r="F85" s="42"/>
      <c r="G85" s="42"/>
      <c r="H85" s="1003"/>
      <c r="I85" s="311"/>
      <c r="J85" s="2030"/>
      <c r="K85" s="3269"/>
      <c r="L85" s="3068" t="s">
        <v>2879</v>
      </c>
      <c r="M85" s="3058" t="e">
        <f>IF(N69&gt;1000,N69*0.1%,IF(AND(N69&gt;500,N69&lt;=1000),N69*0.5%,IF(AND(N69&gt;50,N69&lt;=500),N69*1%,IF(AND(N69&gt;1,N69&lt;=50),N69*1.5%))))</f>
        <v>#VALUE!</v>
      </c>
      <c r="N85" s="53" t="e">
        <f t="shared" si="2"/>
        <v>#VALUE!</v>
      </c>
      <c r="O85" s="2030" t="s">
        <v>2878</v>
      </c>
      <c r="P85" s="2030"/>
      <c r="Q85" s="2030"/>
      <c r="R85" s="2030"/>
      <c r="S85" s="2030"/>
      <c r="T85" s="2030"/>
      <c r="U85" s="2030"/>
      <c r="V85" s="2030"/>
    </row>
    <row r="86" spans="1:26" ht="13.5" thickBot="1">
      <c r="A86" s="386" t="s">
        <v>1829</v>
      </c>
      <c r="B86" s="387" t="s">
        <v>436</v>
      </c>
      <c r="C86" s="388">
        <f ca="1">IF(C85&lt;=0,0,ROUND(C85*D86,0))</f>
        <v>53</v>
      </c>
      <c r="D86" s="389">
        <f>'数据-取费表'!B41</f>
        <v>5.5000000000000007E-2</v>
      </c>
      <c r="E86" s="390"/>
      <c r="F86" s="42"/>
      <c r="G86" s="42"/>
      <c r="H86" s="1003"/>
      <c r="I86" s="311"/>
      <c r="J86" s="2030"/>
      <c r="K86" s="3269"/>
      <c r="L86" s="3068" t="s">
        <v>2880</v>
      </c>
      <c r="M86" s="3058" t="e">
        <f>N69*0.5%</f>
        <v>#VALUE!</v>
      </c>
      <c r="N86" s="53" t="e">
        <f>IF(M86&gt;0.5,0.5,ROUND(M86,0))</f>
        <v>#VALUE!</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69"/>
      <c r="L87" s="3068" t="s">
        <v>2882</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23" t="s">
        <v>437</v>
      </c>
      <c r="B88" s="3324"/>
      <c r="C88" s="3324"/>
      <c r="D88" s="3324"/>
      <c r="E88" s="3324"/>
      <c r="F88" s="3324"/>
      <c r="G88" s="3324"/>
      <c r="H88" s="3324"/>
      <c r="I88" s="1315"/>
      <c r="J88" s="2038"/>
      <c r="K88" s="3269"/>
      <c r="L88" s="3068" t="s">
        <v>2883</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287" t="s">
        <v>428</v>
      </c>
      <c r="B89" s="3288"/>
      <c r="C89" s="994"/>
      <c r="D89" s="994" t="s">
        <v>429</v>
      </c>
      <c r="E89" s="391" t="s">
        <v>438</v>
      </c>
      <c r="F89" s="392"/>
      <c r="G89" s="392"/>
      <c r="H89" s="393"/>
      <c r="I89" s="1316"/>
      <c r="J89" s="2040"/>
      <c r="K89" s="3269"/>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2969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2576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0" t="s">
        <v>447</v>
      </c>
      <c r="F94" s="3321"/>
      <c r="G94" s="3321"/>
      <c r="H94" s="332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15</v>
      </c>
      <c r="D96" s="406">
        <f>'数据-取费表'!B43</f>
        <v>5.000000000000001E-3</v>
      </c>
      <c r="E96" s="3310" t="s">
        <v>2430</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393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0.15256211180124224</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118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3" t="s">
        <v>454</v>
      </c>
      <c r="B101" s="3324"/>
      <c r="C101" s="3324"/>
      <c r="D101" s="3324"/>
      <c r="E101" s="3324"/>
      <c r="F101" s="3324"/>
      <c r="G101" s="3324"/>
      <c r="H101" s="332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7" t="s">
        <v>428</v>
      </c>
      <c r="B102" s="328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2969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705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3" t="s">
        <v>462</v>
      </c>
      <c r="F109" s="3311"/>
      <c r="G109" s="3311"/>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3" t="s">
        <v>464</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15</v>
      </c>
      <c r="D111" s="406">
        <f>'数据-取费表'!B43</f>
        <v>5.000000000000001E-3</v>
      </c>
      <c r="E111" s="3310" t="s">
        <v>2430</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3" t="s">
        <v>2455</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2264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3.2113475177304966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5" sqref="D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7207</v>
      </c>
      <c r="C2" s="2106"/>
      <c r="D2" s="2106"/>
      <c r="E2" s="2106"/>
      <c r="F2" s="2106"/>
      <c r="G2" s="2106"/>
      <c r="H2" s="2106"/>
      <c r="I2" s="2106"/>
      <c r="J2" s="2106"/>
      <c r="K2" s="2106"/>
    </row>
    <row r="3" spans="1:31" s="2043" customFormat="1" ht="18" customHeight="1">
      <c r="A3" s="2108" t="s">
        <v>1685</v>
      </c>
      <c r="B3" s="2109">
        <f ca="1">ROUND(B2*10000/IF(B1="",'数据-汇总表'!E3,INDIRECT("'数据-取费表'!K"&amp;$K$1)),0)</f>
        <v>1081</v>
      </c>
      <c r="C3" s="2106"/>
      <c r="D3" s="2106"/>
      <c r="E3" s="2106"/>
      <c r="F3" s="2106"/>
      <c r="G3" s="2106"/>
      <c r="H3" s="2106"/>
      <c r="I3" s="2106"/>
      <c r="J3" s="2106"/>
      <c r="K3" s="2106"/>
    </row>
    <row r="4" spans="1:31" s="2043" customFormat="1" ht="18" customHeight="1">
      <c r="A4" s="426" t="s">
        <v>468</v>
      </c>
      <c r="B4" s="427">
        <f ca="1">ROUND(B2*10000/IF(B1="",'数据-汇总表'!D3,INDIRECT("'数据-取费表'!R"&amp;$K$1)),0)</f>
        <v>1081</v>
      </c>
      <c r="C4" s="428"/>
      <c r="D4" s="422"/>
      <c r="E4" s="422"/>
      <c r="F4" s="422"/>
      <c r="G4" s="422"/>
      <c r="H4" s="422"/>
      <c r="I4" s="422"/>
      <c r="J4" s="422"/>
      <c r="K4" s="422"/>
    </row>
    <row r="5" spans="1:31" s="2043" customFormat="1" ht="18" customHeight="1" thickBot="1">
      <c r="A5" s="429"/>
      <c r="B5" s="430">
        <f ca="1">ROUND(B2/(IF(B1="",'数据-汇总表'!D3,INDIRECT("'数据-取费表'!R"&amp;$K$1))/666.67),0)</f>
        <v>72</v>
      </c>
      <c r="C5" s="431" t="s">
        <v>469</v>
      </c>
      <c r="D5" s="422"/>
      <c r="E5" s="422"/>
      <c r="F5" s="422"/>
      <c r="G5" s="422"/>
      <c r="H5" s="422"/>
      <c r="I5" s="422"/>
      <c r="J5" s="422"/>
      <c r="K5" s="422"/>
    </row>
    <row r="6" spans="1:31" s="2113" customFormat="1" ht="16.5" customHeight="1">
      <c r="A6" s="2830" t="s">
        <v>1843</v>
      </c>
      <c r="B6" s="2831"/>
      <c r="C6" s="2832">
        <f>SUM(C10:K10)</f>
        <v>26664</v>
      </c>
      <c r="D6" s="2831"/>
      <c r="E6" s="2831"/>
      <c r="F6" s="2831"/>
      <c r="G6" s="2831"/>
      <c r="H6" s="2831"/>
      <c r="I6" s="2831"/>
      <c r="J6" s="2831"/>
      <c r="K6" s="2833"/>
    </row>
    <row r="7" spans="1:31" s="2115" customFormat="1" ht="15">
      <c r="A7" s="2834" t="s">
        <v>470</v>
      </c>
      <c r="B7" s="2835" t="s">
        <v>471</v>
      </c>
      <c r="C7" s="436" t="s">
        <v>982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v>4000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66660.070000000007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ROUND(C8*C9/10000,0)</f>
        <v>26664</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10666</v>
      </c>
      <c r="D13" s="2846"/>
      <c r="E13" s="2847"/>
      <c r="F13" s="2848"/>
      <c r="G13" s="2814"/>
      <c r="H13" s="2815"/>
      <c r="I13" s="2815"/>
      <c r="J13" s="2815"/>
      <c r="K13" s="2816"/>
    </row>
    <row r="14" spans="1:31" s="2118" customFormat="1" ht="13.5" customHeight="1">
      <c r="A14" s="2844" t="s">
        <v>1850</v>
      </c>
      <c r="B14" s="2845" t="s">
        <v>480</v>
      </c>
      <c r="C14" s="53">
        <f ca="1">ROUND(C13*F14,0)</f>
        <v>320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1333</v>
      </c>
      <c r="D16" s="2846">
        <f ca="1">IF(B1="",'数据-汇总表'!E3,INDIRECT("'数据-取费表'!K"&amp;$K$1)+INDIRECT("'数据-取费表'!S"&amp;$K$1))</f>
        <v>66660.070000000007</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160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12479</v>
      </c>
      <c r="D18" s="2855"/>
      <c r="E18" s="468"/>
      <c r="F18" s="468"/>
      <c r="G18" s="2818" t="s">
        <v>2432</v>
      </c>
      <c r="H18" s="2819"/>
      <c r="I18" s="2819"/>
      <c r="J18" s="2819"/>
      <c r="K18" s="2820"/>
    </row>
    <row r="19" spans="1:14" s="2118" customFormat="1" ht="13.5" customHeight="1">
      <c r="A19" s="2852" t="s">
        <v>1855</v>
      </c>
      <c r="B19" s="2853" t="s">
        <v>488</v>
      </c>
      <c r="C19" s="2810">
        <f ca="1">ROUND(D19*E19/10000,0)</f>
        <v>0</v>
      </c>
      <c r="D19" s="2856">
        <f ca="1">D16</f>
        <v>66660.070000000007</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1000</v>
      </c>
      <c r="D20" s="2856"/>
      <c r="E20" s="2810"/>
      <c r="F20" s="2857"/>
      <c r="G20" s="3091"/>
      <c r="H20" s="2812"/>
      <c r="I20" s="2813" t="s">
        <v>2653</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150</v>
      </c>
      <c r="F21" s="2849"/>
      <c r="G21" s="26"/>
      <c r="H21" s="51"/>
      <c r="I21" s="51"/>
      <c r="J21" s="51"/>
      <c r="K21" s="2821"/>
    </row>
    <row r="22" spans="1:14" s="2118" customFormat="1" ht="13.5" customHeight="1">
      <c r="A22" s="2844" t="s">
        <v>1858</v>
      </c>
      <c r="B22" s="2845" t="s">
        <v>492</v>
      </c>
      <c r="C22" s="53">
        <f ca="1">ROUND(D22*E22/10000,0)</f>
        <v>1000</v>
      </c>
      <c r="D22" s="2846">
        <f ca="1">IF(B1="",'数据-汇总表'!E6,IF(INDIRECT("'数据-取费表'!c"&amp;$K$1)="住宅",INDIRECT("'数据-取费表'!s"&amp;$K$1),INDIRECT("'数据-取费表'!k"&amp;$K$1)+INDIRECT("'数据-取费表'!s"&amp;$K$1)))</f>
        <v>66660.070000000007</v>
      </c>
      <c r="E22" s="53">
        <f>'数据-取费表'!B28</f>
        <v>150</v>
      </c>
      <c r="F22" s="2849"/>
      <c r="G22" s="26"/>
      <c r="H22" s="51"/>
      <c r="I22" s="51"/>
      <c r="J22" s="51"/>
      <c r="K22" s="2821"/>
    </row>
    <row r="23" spans="1:14" s="2118" customFormat="1" ht="13.5" customHeight="1">
      <c r="A23" s="2852" t="s">
        <v>1859</v>
      </c>
      <c r="B23" s="3037" t="s">
        <v>2835</v>
      </c>
      <c r="C23" s="2854">
        <f ca="1">ROUND((C18+C19+C20)*F23,0)</f>
        <v>270</v>
      </c>
      <c r="D23" s="468"/>
      <c r="E23" s="468"/>
      <c r="F23" s="2858">
        <f>'数据-取费表'!B37</f>
        <v>0.02</v>
      </c>
      <c r="G23" s="2814" t="s">
        <v>2433</v>
      </c>
      <c r="H23" s="2815"/>
      <c r="I23" s="2815"/>
      <c r="J23" s="2815"/>
      <c r="K23" s="2816"/>
      <c r="L23" s="2120"/>
      <c r="M23" s="2120"/>
      <c r="N23" s="2120"/>
    </row>
    <row r="24" spans="1:14" s="2118" customFormat="1" ht="13.5" customHeight="1">
      <c r="A24" s="2852" t="s">
        <v>1860</v>
      </c>
      <c r="B24" s="3037" t="s">
        <v>2838</v>
      </c>
      <c r="C24" s="2854">
        <f>ROUND(C6*F24,0)</f>
        <v>533</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2836</v>
      </c>
      <c r="C25" s="467">
        <f>ROUND(F25/(1+'数据-取费表'!C42),4)</f>
        <v>2.9000000000000001E-2</v>
      </c>
      <c r="D25" s="462" t="s">
        <v>2830</v>
      </c>
      <c r="E25" s="469"/>
      <c r="F25" s="2858">
        <f>'数据-取费表'!B48+'数据-取费表'!B49</f>
        <v>3.0499999999999999E-2</v>
      </c>
      <c r="G25" s="2822" t="s">
        <v>2291</v>
      </c>
      <c r="H25" s="2815"/>
      <c r="I25" s="2815"/>
      <c r="J25" s="2815"/>
      <c r="K25" s="2816"/>
    </row>
    <row r="26" spans="1:14" s="2120" customFormat="1" ht="13.5" customHeight="1">
      <c r="A26" s="2852" t="s">
        <v>1862</v>
      </c>
      <c r="B26" s="3038" t="s">
        <v>2837</v>
      </c>
      <c r="C26" s="2859">
        <f ca="1">C28</f>
        <v>678</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678</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1397</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16357</v>
      </c>
      <c r="D30" s="477">
        <f ca="1">C32</f>
        <v>0.12909999999999999</v>
      </c>
      <c r="E30" s="469" t="s">
        <v>495</v>
      </c>
      <c r="F30" s="471"/>
      <c r="G30" s="2822" t="s">
        <v>2974</v>
      </c>
      <c r="H30" s="2815"/>
      <c r="I30" s="2815"/>
      <c r="J30" s="2815"/>
      <c r="K30" s="2816"/>
    </row>
    <row r="31" spans="1:14" s="2122" customFormat="1" ht="13.5" customHeight="1">
      <c r="A31" s="803" t="s">
        <v>1857</v>
      </c>
      <c r="B31" s="2860"/>
      <c r="C31" s="450">
        <f ca="1">C18+C19+C20+C23+C24+C26+C29</f>
        <v>16357</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2834</v>
      </c>
      <c r="B33" s="3034" t="s">
        <v>2832</v>
      </c>
      <c r="C33" s="478">
        <f ca="1">C35</f>
        <v>1428</v>
      </c>
      <c r="D33" s="467">
        <f ca="1">C34</f>
        <v>0.10290000000000001</v>
      </c>
      <c r="E33" s="469" t="s">
        <v>495</v>
      </c>
      <c r="F33" s="479">
        <f ca="1">IF(B1="",'数据-取费表'!Q16,INDIRECT("'数据-取费表'!q"&amp;$K$1))</f>
        <v>0.1</v>
      </c>
      <c r="G33" s="2818"/>
      <c r="H33" s="2819"/>
      <c r="I33" s="2819"/>
      <c r="J33" s="2819"/>
      <c r="K33" s="2820"/>
    </row>
    <row r="34" spans="1:11" s="2125" customFormat="1" ht="13.5" customHeight="1">
      <c r="A34" s="375" t="s">
        <v>1857</v>
      </c>
      <c r="B34" s="2865" t="s">
        <v>501</v>
      </c>
      <c r="C34" s="472">
        <f ca="1">ROUND((1+C25)*F33,4)</f>
        <v>0.10290000000000001</v>
      </c>
      <c r="D34" s="472"/>
      <c r="E34" s="473"/>
      <c r="F34" s="480"/>
      <c r="G34" s="261" t="s">
        <v>2292</v>
      </c>
      <c r="H34" s="2817"/>
      <c r="I34" s="2817"/>
      <c r="J34" s="2817"/>
      <c r="K34" s="279"/>
    </row>
    <row r="35" spans="1:11" s="2125" customFormat="1" ht="13.5" customHeight="1" thickBot="1">
      <c r="A35" s="1637" t="s">
        <v>1858</v>
      </c>
      <c r="B35" s="3035" t="s">
        <v>2840</v>
      </c>
      <c r="C35" s="1629">
        <f ca="1">ROUND((C18+C19+C20+C23+C24)*F33,0)</f>
        <v>1428</v>
      </c>
      <c r="D35" s="1630"/>
      <c r="E35" s="2866"/>
      <c r="F35" s="1631"/>
      <c r="G35" s="2824"/>
      <c r="H35" s="2825"/>
      <c r="I35" s="2825"/>
      <c r="J35" s="2825"/>
      <c r="K35" s="2826"/>
    </row>
    <row r="36" spans="1:11" s="2087" customFormat="1" ht="13.5" customHeight="1" thickBot="1">
      <c r="A36" s="284" t="s">
        <v>1845</v>
      </c>
      <c r="B36" s="2828"/>
      <c r="C36" s="2867">
        <f ca="1">ROUND((C6-C30-C33)/(1+D30+D33),0)</f>
        <v>7207</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10666</v>
      </c>
      <c r="D13" s="451"/>
      <c r="E13" s="365"/>
      <c r="F13" s="452"/>
      <c r="G13" s="444"/>
      <c r="H13" s="447"/>
      <c r="I13" s="447"/>
      <c r="J13" s="447"/>
      <c r="K13" s="448"/>
    </row>
    <row r="14" spans="1:41" s="2118" customFormat="1" ht="13.5" customHeight="1">
      <c r="A14" s="1634" t="s">
        <v>1850</v>
      </c>
      <c r="B14" s="449" t="s">
        <v>480</v>
      </c>
      <c r="C14" s="53">
        <f ca="1">ROUND(C13*F14,0)</f>
        <v>320</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1333</v>
      </c>
      <c r="D16" s="451">
        <f ca="1">IF(B1="",'数据-汇总表'!E3,INDIRECT("'数据-取费表'!K"&amp;$K$1)+INDIRECT("'数据-取费表'!S"&amp;$K$1))</f>
        <v>66660.070000000007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160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12479</v>
      </c>
      <c r="D18" s="461"/>
      <c r="E18" s="462"/>
      <c r="F18" s="462"/>
      <c r="G18" s="1327" t="s">
        <v>2434</v>
      </c>
      <c r="H18" s="447"/>
      <c r="I18" s="447"/>
      <c r="J18" s="447"/>
      <c r="K18" s="448"/>
    </row>
    <row r="19" spans="1:14" s="2121" customFormat="1" ht="13.5" customHeight="1">
      <c r="A19" s="1635" t="s">
        <v>1855</v>
      </c>
      <c r="B19" s="459" t="s">
        <v>493</v>
      </c>
      <c r="C19" s="460">
        <f ca="1">ROUND(C18*F19,0)</f>
        <v>250</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605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605</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2833</v>
      </c>
      <c r="C24" s="478">
        <f ca="1">C25</f>
        <v>1273</v>
      </c>
      <c r="D24" s="489">
        <f ca="1">C26</f>
        <v>2E-3</v>
      </c>
      <c r="E24" s="469" t="s">
        <v>507</v>
      </c>
      <c r="F24" s="479">
        <f ca="1">IF(B1="",'数据-取费表'!Q16,INDIRECT("'数据-取费表'!q"&amp;$K$1))</f>
        <v>0.1</v>
      </c>
      <c r="G24" s="444"/>
      <c r="H24" s="447"/>
      <c r="I24" s="447"/>
      <c r="J24" s="447"/>
      <c r="K24" s="448"/>
    </row>
    <row r="25" spans="1:14" s="2122" customFormat="1" ht="13.5" customHeight="1">
      <c r="A25" s="1634" t="s">
        <v>1849</v>
      </c>
      <c r="B25" s="1328" t="s">
        <v>2438</v>
      </c>
      <c r="C25" s="490">
        <f ca="1">ROUND((C18+C19)*F24,0)</f>
        <v>1273</v>
      </c>
      <c r="D25" s="472"/>
      <c r="E25" s="473"/>
      <c r="F25" s="480"/>
      <c r="G25" s="1326" t="s">
        <v>2435</v>
      </c>
      <c r="H25" s="457"/>
      <c r="I25" s="457"/>
      <c r="J25" s="457"/>
      <c r="K25" s="458"/>
    </row>
    <row r="26" spans="1:14" s="2122" customFormat="1" ht="13.5" customHeight="1">
      <c r="A26" s="1634" t="s">
        <v>1850</v>
      </c>
      <c r="B26" s="1328" t="s">
        <v>509</v>
      </c>
      <c r="C26" s="491">
        <f ca="1">ROUND(F20*F24,4)</f>
        <v>2E-3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2831</v>
      </c>
      <c r="E27" s="462"/>
      <c r="F27" s="466">
        <f>'数据-取费表'!B41</f>
        <v>5.5000000000000007E-2</v>
      </c>
      <c r="G27" s="1962" t="s">
        <v>2293</v>
      </c>
      <c r="H27" s="447"/>
      <c r="I27" s="447"/>
      <c r="J27" s="447"/>
      <c r="K27" s="448"/>
    </row>
    <row r="28" spans="1:14" s="2123" customFormat="1" ht="13.5" customHeight="1">
      <c r="A28" s="1638" t="s">
        <v>1869</v>
      </c>
      <c r="B28" s="476" t="s">
        <v>512</v>
      </c>
      <c r="C28" s="470">
        <f ca="1">ROUND((C18+C19+C21+C24)/(1-C20-D21-D24-C27),0)</f>
        <v>15798</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北京市出让国有建设用地使用权抵押价格预评估</v>
      </c>
      <c r="C37" s="3181"/>
      <c r="D37" s="3181"/>
      <c r="E37" s="3181"/>
      <c r="F37" s="3181"/>
      <c r="G37" s="3181"/>
      <c r="H37" s="3181"/>
      <c r="I37" s="3181"/>
    </row>
    <row r="38" spans="1:9">
      <c r="A38" s="1657"/>
      <c r="B38" s="1657"/>
    </row>
    <row r="39" spans="1:9">
      <c r="A39" s="1655" t="s">
        <v>1902</v>
      </c>
      <c r="B39" s="1655" t="s">
        <v>2048</v>
      </c>
    </row>
    <row r="40" spans="1:9">
      <c r="A40" s="1655"/>
      <c r="B40" s="1655">
        <f>项目基本情况!B5</f>
        <v>0</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土地估价师、土地估价师</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5"/>
      <c r="M6" s="2134"/>
      <c r="N6" s="2134"/>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79" t="s">
        <v>2929</v>
      </c>
      <c r="D7" s="3380"/>
      <c r="E7" s="3379" t="s">
        <v>2930</v>
      </c>
      <c r="F7" s="3380"/>
      <c r="G7" s="3379" t="s">
        <v>2931</v>
      </c>
      <c r="H7" s="3380"/>
      <c r="I7" s="3379" t="s">
        <v>2932</v>
      </c>
      <c r="J7" s="3380"/>
      <c r="K7" s="514"/>
      <c r="L7" s="2135"/>
      <c r="M7" s="2134"/>
      <c r="N7" s="2134"/>
      <c r="O7" s="2136"/>
      <c r="P7" s="3372"/>
      <c r="Q7" s="3373"/>
      <c r="R7" s="3358"/>
      <c r="S7" s="3359"/>
      <c r="T7" s="3358"/>
      <c r="U7" s="3359"/>
      <c r="V7" s="3376"/>
      <c r="W7" s="3376"/>
      <c r="X7" s="1568"/>
      <c r="Y7" s="3358"/>
      <c r="Z7" s="3359"/>
      <c r="AA7" s="3352"/>
      <c r="AB7" s="3352"/>
      <c r="AC7" s="3352"/>
    </row>
    <row r="8" spans="1:30" ht="21" thickBot="1">
      <c r="A8" s="515"/>
      <c r="B8" s="516"/>
      <c r="C8" s="3381" t="s">
        <v>2933</v>
      </c>
      <c r="D8" s="3382"/>
      <c r="E8" s="3381" t="s">
        <v>2933</v>
      </c>
      <c r="F8" s="3382"/>
      <c r="G8" s="3377" t="s">
        <v>2933</v>
      </c>
      <c r="H8" s="3378"/>
      <c r="I8" s="3377" t="s">
        <v>2933</v>
      </c>
      <c r="J8" s="3378"/>
      <c r="K8" s="514" t="s">
        <v>528</v>
      </c>
      <c r="L8" s="2135"/>
      <c r="M8" s="2134"/>
      <c r="N8" s="2134"/>
      <c r="O8" s="2136"/>
      <c r="P8" s="3374"/>
      <c r="Q8" s="3375"/>
      <c r="R8" s="3358"/>
      <c r="S8" s="3359"/>
      <c r="T8" s="3360"/>
      <c r="U8" s="3361"/>
      <c r="V8" s="3376"/>
      <c r="W8" s="3376"/>
      <c r="X8" s="1568"/>
      <c r="Y8" s="3360"/>
      <c r="Z8" s="3361"/>
      <c r="AA8" s="3353"/>
      <c r="AB8" s="3353"/>
      <c r="AC8" s="3353"/>
    </row>
    <row r="9" spans="1:30" s="1220" customFormat="1" ht="21" thickBot="1">
      <c r="A9" s="2914"/>
      <c r="B9" s="2921" t="s">
        <v>529</v>
      </c>
      <c r="C9" s="2913">
        <f>'数据-取费表'!B2</f>
        <v>43384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7" si="3">D10/F10</f>
        <v>#DIV/0!</v>
      </c>
      <c r="AB10" s="1572" t="e">
        <f t="shared" ref="AB10:AB47" si="4">D10/H10</f>
        <v>#DIV/0!</v>
      </c>
      <c r="AC10" s="1572" t="e">
        <f t="shared" ref="AC10:AC47" si="5">D10/J10</f>
        <v>#DIV/0!</v>
      </c>
    </row>
    <row r="11" spans="1:30" s="1220" customFormat="1" ht="20.25">
      <c r="A11" s="2916"/>
      <c r="B11" s="2923" t="s">
        <v>2758</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917"/>
      <c r="B12" s="2922" t="s">
        <v>2759</v>
      </c>
      <c r="C12" s="910"/>
      <c r="D12" s="255">
        <v>100</v>
      </c>
      <c r="E12" s="529"/>
      <c r="F12" s="255">
        <f>ROUND(100/'数据-取费表'!G16,0)</f>
        <v>109</v>
      </c>
      <c r="G12" s="530"/>
      <c r="H12" s="255">
        <f>ROUND(100/'数据-取费表'!G16,0)</f>
        <v>109</v>
      </c>
      <c r="I12" s="530"/>
      <c r="J12" s="255">
        <f>ROUND(100/'数据-取费表'!G16,0)</f>
        <v>109</v>
      </c>
      <c r="K12" s="531"/>
      <c r="L12" s="2140"/>
      <c r="M12" s="2134"/>
      <c r="N12" s="2134"/>
      <c r="O12" s="2141"/>
      <c r="P12" s="3362"/>
      <c r="Q12" s="1151" t="str">
        <f t="shared" si="6"/>
        <v>土地使用年限（年）</v>
      </c>
      <c r="R12" s="1569" t="s">
        <v>8</v>
      </c>
      <c r="S12" s="1570">
        <f t="shared" si="0"/>
        <v>109</v>
      </c>
      <c r="T12" s="1569" t="s">
        <v>8</v>
      </c>
      <c r="U12" s="1570">
        <f t="shared" si="1"/>
        <v>109</v>
      </c>
      <c r="V12" s="1569" t="s">
        <v>8</v>
      </c>
      <c r="W12" s="1570">
        <f t="shared" si="2"/>
        <v>109</v>
      </c>
      <c r="X12" s="1571"/>
      <c r="Y12" s="3319"/>
      <c r="Z12" s="1150" t="str">
        <f t="shared" si="7"/>
        <v>土地使用年限（年）</v>
      </c>
      <c r="AA12" s="1572">
        <f t="shared" si="3"/>
        <v>0.91743119266055051</v>
      </c>
      <c r="AB12" s="1572">
        <f t="shared" si="4"/>
        <v>0.91743119266055051</v>
      </c>
      <c r="AC12" s="1572">
        <f t="shared" si="5"/>
        <v>0.91743119266055051</v>
      </c>
    </row>
    <row r="13" spans="1:30" ht="20.25">
      <c r="A13" s="2918"/>
      <c r="B13" s="2922" t="s">
        <v>2760</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30" s="1220" customFormat="1" ht="20.25">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912"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65"/>
      <c r="Q28" s="1573"/>
      <c r="R28" s="1574"/>
      <c r="S28" s="1575"/>
      <c r="T28" s="1574"/>
      <c r="U28" s="1575"/>
      <c r="V28" s="1574"/>
      <c r="W28" s="1575"/>
      <c r="X28" s="1568"/>
      <c r="Y28" s="3365"/>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65"/>
      <c r="Q30" s="1151"/>
      <c r="R30" s="1569"/>
      <c r="S30" s="1570"/>
      <c r="T30" s="1569"/>
      <c r="U30" s="1570"/>
      <c r="V30" s="1569"/>
      <c r="W30" s="1570"/>
      <c r="X30" s="1571"/>
      <c r="Y30" s="3365"/>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65"/>
      <c r="Q31" s="2580" t="str">
        <f t="shared" ref="Q31" si="9">B31</f>
        <v>基础设施水平</v>
      </c>
      <c r="R31" s="1569" t="s">
        <v>8</v>
      </c>
      <c r="S31" s="1570">
        <f>F31</f>
        <v>100</v>
      </c>
      <c r="T31" s="1569" t="s">
        <v>8</v>
      </c>
      <c r="U31" s="1570">
        <f>H31</f>
        <v>100</v>
      </c>
      <c r="V31" s="1569" t="s">
        <v>8</v>
      </c>
      <c r="W31" s="1570">
        <f>J31</f>
        <v>100</v>
      </c>
      <c r="X31" s="1571"/>
      <c r="Y31" s="3365"/>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65"/>
      <c r="Q32" s="2580"/>
      <c r="R32" s="1569"/>
      <c r="S32" s="1570"/>
      <c r="T32" s="1569"/>
      <c r="U32" s="1570"/>
      <c r="V32" s="1569"/>
      <c r="W32" s="1570"/>
      <c r="X32" s="1571"/>
      <c r="Y32" s="3365"/>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5"/>
      <c r="Q34" s="1573" t="str">
        <f t="shared" si="8"/>
        <v>毗邻道路的类型与等级</v>
      </c>
      <c r="R34" s="1574" t="s">
        <v>8</v>
      </c>
      <c r="S34" s="1575">
        <f t="shared" si="10"/>
        <v>100</v>
      </c>
      <c r="T34" s="1574" t="s">
        <v>8</v>
      </c>
      <c r="U34" s="1575">
        <f t="shared" si="11"/>
        <v>100</v>
      </c>
      <c r="V34" s="1574" t="s">
        <v>8</v>
      </c>
      <c r="W34" s="1575">
        <f t="shared" si="12"/>
        <v>100</v>
      </c>
      <c r="X34" s="1568"/>
      <c r="Y34" s="336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5"/>
      <c r="Q36" s="1573" t="str">
        <f t="shared" si="8"/>
        <v>土地级别</v>
      </c>
      <c r="R36" s="1574" t="s">
        <v>8</v>
      </c>
      <c r="S36" s="1575">
        <f t="shared" si="10"/>
        <v>100</v>
      </c>
      <c r="T36" s="1574" t="s">
        <v>8</v>
      </c>
      <c r="U36" s="1575">
        <f t="shared" si="11"/>
        <v>100</v>
      </c>
      <c r="V36" s="1574" t="s">
        <v>8</v>
      </c>
      <c r="W36" s="1575">
        <f t="shared" si="12"/>
        <v>100</v>
      </c>
      <c r="X36" s="1568"/>
      <c r="Y36" s="336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5"/>
      <c r="Q37" s="1573">
        <f t="shared" si="8"/>
        <v>111</v>
      </c>
      <c r="R37" s="1574" t="s">
        <v>8</v>
      </c>
      <c r="S37" s="1575">
        <f t="shared" si="10"/>
        <v>100</v>
      </c>
      <c r="T37" s="1574" t="s">
        <v>8</v>
      </c>
      <c r="U37" s="1575">
        <f t="shared" si="11"/>
        <v>100</v>
      </c>
      <c r="V37" s="1574" t="s">
        <v>8</v>
      </c>
      <c r="W37" s="1575">
        <f t="shared" si="12"/>
        <v>100</v>
      </c>
      <c r="X37" s="1568"/>
      <c r="Y37" s="336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6" t="s">
        <v>550</v>
      </c>
      <c r="Q38" s="1573">
        <f t="shared" si="8"/>
        <v>111</v>
      </c>
      <c r="R38" s="1574" t="s">
        <v>8</v>
      </c>
      <c r="S38" s="1575">
        <f t="shared" si="10"/>
        <v>100</v>
      </c>
      <c r="T38" s="1574" t="s">
        <v>8</v>
      </c>
      <c r="U38" s="1575">
        <f t="shared" si="11"/>
        <v>100</v>
      </c>
      <c r="V38" s="1574" t="s">
        <v>8</v>
      </c>
      <c r="W38" s="1575">
        <f t="shared" si="12"/>
        <v>100</v>
      </c>
      <c r="X38" s="1568"/>
      <c r="Y38" s="336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7"/>
      <c r="Q39" s="1573">
        <f t="shared" si="8"/>
        <v>111</v>
      </c>
      <c r="R39" s="1578" t="s">
        <v>8</v>
      </c>
      <c r="S39" s="1579">
        <f t="shared" si="10"/>
        <v>100</v>
      </c>
      <c r="T39" s="1578" t="s">
        <v>8</v>
      </c>
      <c r="U39" s="1579">
        <f t="shared" si="11"/>
        <v>100</v>
      </c>
      <c r="V39" s="1578" t="s">
        <v>8</v>
      </c>
      <c r="W39" s="1579">
        <f t="shared" si="12"/>
        <v>100</v>
      </c>
      <c r="X39" s="1580"/>
      <c r="Y39" s="3367"/>
      <c r="Z39" s="1581">
        <f t="shared" si="13"/>
        <v>111</v>
      </c>
      <c r="AA39" s="1577">
        <f t="shared" si="3"/>
        <v>1</v>
      </c>
      <c r="AB39" s="1577">
        <f t="shared" si="4"/>
        <v>1</v>
      </c>
      <c r="AC39" s="1577">
        <f t="shared" si="5"/>
        <v>1</v>
      </c>
    </row>
    <row r="40" spans="1:29" ht="20.25">
      <c r="A40" s="2909" t="s">
        <v>2757</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67"/>
      <c r="Q40" s="1573" t="str">
        <f>B40</f>
        <v>宗地面积</v>
      </c>
      <c r="R40" s="1574" t="s">
        <v>8</v>
      </c>
      <c r="S40" s="1575" t="e">
        <f t="shared" si="10"/>
        <v>#N/A</v>
      </c>
      <c r="T40" s="1574" t="s">
        <v>8</v>
      </c>
      <c r="U40" s="1575" t="e">
        <f t="shared" si="11"/>
        <v>#N/A</v>
      </c>
      <c r="V40" s="1574" t="s">
        <v>8</v>
      </c>
      <c r="W40" s="1575" t="e">
        <f t="shared" si="12"/>
        <v>#N/A</v>
      </c>
      <c r="X40" s="1568"/>
      <c r="Y40" s="3367"/>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7"/>
      <c r="Q41" s="1573" t="str">
        <f t="shared" ref="Q41:Q47" si="14">B41</f>
        <v>宗地形状</v>
      </c>
      <c r="R41" s="1574" t="s">
        <v>8</v>
      </c>
      <c r="S41" s="1575">
        <f t="shared" si="10"/>
        <v>100</v>
      </c>
      <c r="T41" s="1574" t="s">
        <v>8</v>
      </c>
      <c r="U41" s="1575">
        <f t="shared" si="11"/>
        <v>100</v>
      </c>
      <c r="V41" s="1574" t="s">
        <v>8</v>
      </c>
      <c r="W41" s="1575">
        <f t="shared" si="12"/>
        <v>100</v>
      </c>
      <c r="X41" s="1568"/>
      <c r="Y41" s="336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7"/>
      <c r="Q42" s="1573" t="str">
        <f t="shared" si="14"/>
        <v>临街宽度及深度</v>
      </c>
      <c r="R42" s="1574" t="s">
        <v>8</v>
      </c>
      <c r="S42" s="1575">
        <f t="shared" si="10"/>
        <v>100</v>
      </c>
      <c r="T42" s="1574" t="s">
        <v>8</v>
      </c>
      <c r="U42" s="1575">
        <f t="shared" si="11"/>
        <v>100</v>
      </c>
      <c r="V42" s="1574" t="s">
        <v>8</v>
      </c>
      <c r="W42" s="1575">
        <f t="shared" si="12"/>
        <v>100</v>
      </c>
      <c r="X42" s="1568"/>
      <c r="Y42" s="3367"/>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67"/>
      <c r="Q43" s="1573" t="str">
        <f t="shared" si="14"/>
        <v>宗地开发程度</v>
      </c>
      <c r="R43" s="1569" t="s">
        <v>8</v>
      </c>
      <c r="S43" s="1570">
        <f t="shared" si="10"/>
        <v>100</v>
      </c>
      <c r="T43" s="1569" t="s">
        <v>8</v>
      </c>
      <c r="U43" s="1570">
        <f t="shared" si="11"/>
        <v>100</v>
      </c>
      <c r="V43" s="1569" t="s">
        <v>8</v>
      </c>
      <c r="W43" s="1570">
        <f t="shared" si="12"/>
        <v>100</v>
      </c>
      <c r="X43" s="1571"/>
      <c r="Y43" s="336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7" t="s">
        <v>550</v>
      </c>
      <c r="Q44" s="1573" t="str">
        <f t="shared" si="14"/>
        <v>工程地质条件</v>
      </c>
      <c r="R44" s="1574" t="s">
        <v>8</v>
      </c>
      <c r="S44" s="1575">
        <f t="shared" si="10"/>
        <v>100</v>
      </c>
      <c r="T44" s="1574" t="s">
        <v>8</v>
      </c>
      <c r="U44" s="1575">
        <f t="shared" si="11"/>
        <v>100</v>
      </c>
      <c r="V44" s="1574" t="s">
        <v>8</v>
      </c>
      <c r="W44" s="1575">
        <f t="shared" si="12"/>
        <v>100</v>
      </c>
      <c r="X44" s="1568"/>
      <c r="Y44" s="336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7"/>
      <c r="Q45" s="1573">
        <f t="shared" si="14"/>
        <v>111</v>
      </c>
      <c r="R45" s="1574" t="s">
        <v>8</v>
      </c>
      <c r="S45" s="1575">
        <f t="shared" si="10"/>
        <v>100</v>
      </c>
      <c r="T45" s="1574" t="s">
        <v>8</v>
      </c>
      <c r="U45" s="1575">
        <f t="shared" si="11"/>
        <v>100</v>
      </c>
      <c r="V45" s="1574" t="s">
        <v>8</v>
      </c>
      <c r="W45" s="1575">
        <f t="shared" si="12"/>
        <v>100</v>
      </c>
      <c r="X45" s="1568"/>
      <c r="Y45" s="336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7"/>
      <c r="Q46" s="1573">
        <f t="shared" si="14"/>
        <v>111</v>
      </c>
      <c r="R46" s="1574" t="s">
        <v>8</v>
      </c>
      <c r="S46" s="1575">
        <f t="shared" si="10"/>
        <v>100</v>
      </c>
      <c r="T46" s="1574" t="s">
        <v>8</v>
      </c>
      <c r="U46" s="1575">
        <f t="shared" si="11"/>
        <v>100</v>
      </c>
      <c r="V46" s="1574" t="s">
        <v>8</v>
      </c>
      <c r="W46" s="1575">
        <f t="shared" si="12"/>
        <v>100</v>
      </c>
      <c r="X46" s="1568"/>
      <c r="Y46" s="336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7"/>
      <c r="Q47" s="1573">
        <f t="shared" si="14"/>
        <v>111</v>
      </c>
      <c r="R47" s="1578" t="s">
        <v>8</v>
      </c>
      <c r="S47" s="1579">
        <f t="shared" si="10"/>
        <v>100</v>
      </c>
      <c r="T47" s="1578" t="s">
        <v>8</v>
      </c>
      <c r="U47" s="1579">
        <f t="shared" si="11"/>
        <v>100</v>
      </c>
      <c r="V47" s="1578" t="s">
        <v>8</v>
      </c>
      <c r="W47" s="1579">
        <f t="shared" si="12"/>
        <v>100</v>
      </c>
      <c r="X47" s="1580"/>
      <c r="Y47" s="3367"/>
      <c r="Z47" s="1581">
        <f t="shared" si="13"/>
        <v>111</v>
      </c>
      <c r="AA47" s="1577">
        <f t="shared" si="3"/>
        <v>1</v>
      </c>
      <c r="AB47" s="1577">
        <f t="shared" si="4"/>
        <v>1</v>
      </c>
      <c r="AC47" s="1577">
        <f t="shared" si="5"/>
        <v>1</v>
      </c>
    </row>
    <row r="48" spans="1:29" ht="20.25">
      <c r="A48" s="607" t="s">
        <v>556</v>
      </c>
      <c r="B48" s="608" t="s">
        <v>2934</v>
      </c>
      <c r="C48" s="609" t="s">
        <v>1</v>
      </c>
      <c r="D48" s="610"/>
      <c r="E48" s="611"/>
      <c r="F48" s="612"/>
      <c r="G48" s="613"/>
      <c r="H48" s="614"/>
      <c r="I48" s="611"/>
      <c r="J48" s="614"/>
      <c r="K48" s="1340"/>
      <c r="L48" s="2146"/>
      <c r="M48" s="2134"/>
      <c r="N48" s="2134"/>
      <c r="O48" s="2147"/>
      <c r="P48" s="3362" t="str">
        <f>A48</f>
        <v>成交单价</v>
      </c>
      <c r="Q48" s="3362"/>
      <c r="R48" s="3376">
        <f>E48</f>
        <v>0</v>
      </c>
      <c r="S48" s="3376"/>
      <c r="T48" s="3376">
        <f>G48</f>
        <v>0</v>
      </c>
      <c r="U48" s="3376"/>
      <c r="V48" s="3376">
        <f>I48</f>
        <v>0</v>
      </c>
      <c r="W48" s="3376"/>
      <c r="X48" s="1560"/>
      <c r="Y48" s="1582"/>
      <c r="Z48" s="1560"/>
      <c r="AA48" s="1560"/>
      <c r="AB48" s="1560"/>
      <c r="AC48" s="1560"/>
    </row>
    <row r="49" spans="1:29" ht="21" thickBot="1">
      <c r="A49" s="615" t="s">
        <v>2695</v>
      </c>
      <c r="B49" s="616"/>
      <c r="C49" s="617" t="e">
        <f>R50</f>
        <v>#DIV/0!</v>
      </c>
      <c r="D49" s="618"/>
      <c r="E49" s="617" t="e">
        <f>R49</f>
        <v>#DIV/0!</v>
      </c>
      <c r="F49" s="619"/>
      <c r="G49" s="620" t="e">
        <f>T49</f>
        <v>#DIV/0!</v>
      </c>
      <c r="H49" s="618"/>
      <c r="I49" s="617" t="e">
        <f>V49</f>
        <v>#DIV/0!</v>
      </c>
      <c r="J49" s="618"/>
      <c r="K49" s="1341"/>
      <c r="L49" s="2146"/>
      <c r="M49" s="2134"/>
      <c r="N49" s="2134"/>
      <c r="O49" s="2147"/>
      <c r="P49" s="3362" t="str">
        <f>A49</f>
        <v>比较价格（元/平方米）</v>
      </c>
      <c r="Q49" s="3362"/>
      <c r="R49" s="3386" t="e">
        <f>ROUND(PRODUCT(R48,AA9:AA47),0)</f>
        <v>#DIV/0!</v>
      </c>
      <c r="S49" s="3386"/>
      <c r="T49" s="3386" t="e">
        <f>ROUND(PRODUCT(T48,AB9:AB47),0)</f>
        <v>#DIV/0!</v>
      </c>
      <c r="U49" s="3386"/>
      <c r="V49" s="3386" t="e">
        <f>ROUND(PRODUCT(V48,AC9:AC47),0)</f>
        <v>#DIV/0!</v>
      </c>
      <c r="W49" s="3386"/>
      <c r="X49" s="1560"/>
      <c r="Y49" s="1560"/>
      <c r="Z49" s="1560"/>
      <c r="AA49" s="1560"/>
      <c r="AB49" s="1560"/>
      <c r="AC49" s="1560"/>
    </row>
    <row r="50" spans="1:29" ht="21" thickBot="1">
      <c r="A50" s="621" t="s">
        <v>2935</v>
      </c>
      <c r="B50" s="622"/>
      <c r="C50" s="623" t="e">
        <f>R50</f>
        <v>#DIV/0!</v>
      </c>
      <c r="D50" s="623"/>
      <c r="E50" s="623"/>
      <c r="F50" s="623"/>
      <c r="G50" s="623"/>
      <c r="H50" s="623"/>
      <c r="I50" s="623"/>
      <c r="J50" s="623"/>
      <c r="K50" s="1342"/>
      <c r="L50" s="2146"/>
      <c r="M50" s="2134"/>
      <c r="N50" s="2134"/>
      <c r="O50" s="2147"/>
      <c r="P50" s="3383" t="str">
        <f>A50</f>
        <v>估价对象XX用房的比较价格（楼面单价，元/平方米）</v>
      </c>
      <c r="Q50" s="3384"/>
      <c r="R50" s="3385" t="e">
        <f>ROUND(AVERAGE(R49:V49),0)</f>
        <v>#DIV/0!</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346" t="s">
        <v>2283</v>
      </c>
      <c r="H57" s="334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66660.070000000007</v>
      </c>
      <c r="F58" s="636" t="e">
        <f t="shared" ref="F58:F67" si="15">ROUND(B58*E58/10000,0)</f>
        <v>#DIV/0!</v>
      </c>
      <c r="G58" s="3348"/>
      <c r="H58" s="334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350"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35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35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35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t="e">
        <f t="shared" si="17"/>
        <v>#DIV/0!</v>
      </c>
      <c r="C63" s="378">
        <f t="shared" si="16"/>
        <v>0</v>
      </c>
      <c r="D63" s="2231">
        <v>0.25</v>
      </c>
      <c r="E63" s="641">
        <f>'数据-汇总表'!E11</f>
        <v>0</v>
      </c>
      <c r="F63" s="636" t="e">
        <f t="shared" si="15"/>
        <v>#DIV/0!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66660.070000000007</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8" t="s">
        <v>522</v>
      </c>
      <c r="D6" s="3369"/>
      <c r="E6" s="3392" t="s">
        <v>523</v>
      </c>
      <c r="F6" s="3393"/>
      <c r="G6" s="3368" t="s">
        <v>524</v>
      </c>
      <c r="H6" s="3369"/>
      <c r="I6" s="3368" t="s">
        <v>525</v>
      </c>
      <c r="J6" s="3369"/>
      <c r="K6" s="514" t="s">
        <v>526</v>
      </c>
      <c r="L6" s="2135"/>
      <c r="M6" s="2136"/>
      <c r="N6" s="2136"/>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79" t="s">
        <v>2929</v>
      </c>
      <c r="D7" s="3380"/>
      <c r="E7" s="3394" t="s">
        <v>2930</v>
      </c>
      <c r="F7" s="3395"/>
      <c r="G7" s="3379" t="s">
        <v>2931</v>
      </c>
      <c r="H7" s="3380"/>
      <c r="I7" s="3379" t="s">
        <v>2932</v>
      </c>
      <c r="J7" s="3380"/>
      <c r="K7" s="514"/>
      <c r="L7" s="2135"/>
      <c r="M7" s="2136"/>
      <c r="N7" s="2136"/>
      <c r="O7" s="2136"/>
      <c r="P7" s="3372"/>
      <c r="Q7" s="3373"/>
      <c r="R7" s="3358"/>
      <c r="S7" s="3359"/>
      <c r="T7" s="3358"/>
      <c r="U7" s="3359"/>
      <c r="V7" s="3376"/>
      <c r="W7" s="3376"/>
      <c r="X7" s="1568"/>
      <c r="Y7" s="3358"/>
      <c r="Z7" s="3359"/>
      <c r="AA7" s="3352"/>
      <c r="AB7" s="3352"/>
      <c r="AC7" s="3352"/>
    </row>
    <row r="8" spans="1:29" ht="15.75" thickBot="1">
      <c r="A8" s="517"/>
      <c r="B8" s="518"/>
      <c r="C8" s="3377" t="s">
        <v>2933</v>
      </c>
      <c r="D8" s="3378"/>
      <c r="E8" s="3396" t="s">
        <v>2933</v>
      </c>
      <c r="F8" s="3397"/>
      <c r="G8" s="3377" t="s">
        <v>2933</v>
      </c>
      <c r="H8" s="3378"/>
      <c r="I8" s="3377" t="s">
        <v>2933</v>
      </c>
      <c r="J8" s="3378"/>
      <c r="K8" s="514" t="s">
        <v>528</v>
      </c>
      <c r="L8" s="2135"/>
      <c r="M8" s="2136"/>
      <c r="N8" s="2136"/>
      <c r="O8" s="2136"/>
      <c r="P8" s="3374"/>
      <c r="Q8" s="3375"/>
      <c r="R8" s="3358"/>
      <c r="S8" s="3359"/>
      <c r="T8" s="3360"/>
      <c r="U8" s="3361"/>
      <c r="V8" s="3376"/>
      <c r="W8" s="3376"/>
      <c r="X8" s="1568"/>
      <c r="Y8" s="3360"/>
      <c r="Z8" s="3361"/>
      <c r="AA8" s="3353"/>
      <c r="AB8" s="3353"/>
      <c r="AC8" s="3353"/>
    </row>
    <row r="9" spans="1:29" s="1220" customFormat="1" ht="15.75" thickBot="1">
      <c r="A9" s="2914"/>
      <c r="B9" s="2921" t="s">
        <v>529</v>
      </c>
      <c r="C9" s="519">
        <f>'数据-取费表'!B2</f>
        <v>43384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109</v>
      </c>
      <c r="G12" s="528"/>
      <c r="H12" s="255">
        <f>ROUND(100/'数据-取费表'!G16,0)</f>
        <v>109</v>
      </c>
      <c r="I12" s="528"/>
      <c r="J12" s="255">
        <f>ROUND(100/'数据-取费表'!G16,0)</f>
        <v>109</v>
      </c>
      <c r="K12" s="531"/>
      <c r="L12" s="2140"/>
      <c r="M12" s="2180"/>
      <c r="N12" s="2180"/>
      <c r="O12" s="2141"/>
      <c r="P12" s="3362"/>
      <c r="Q12" s="1151" t="str">
        <f t="shared" si="6"/>
        <v>土地使用年限（年）</v>
      </c>
      <c r="R12" s="1569" t="s">
        <v>8</v>
      </c>
      <c r="S12" s="1570">
        <f t="shared" si="0"/>
        <v>109</v>
      </c>
      <c r="T12" s="1569" t="s">
        <v>8</v>
      </c>
      <c r="U12" s="1570">
        <f t="shared" si="1"/>
        <v>109</v>
      </c>
      <c r="V12" s="1569" t="s">
        <v>8</v>
      </c>
      <c r="W12" s="1570">
        <f t="shared" si="2"/>
        <v>109</v>
      </c>
      <c r="X12" s="1571"/>
      <c r="Y12" s="3319"/>
      <c r="Z12" s="1150" t="str">
        <f t="shared" si="7"/>
        <v>土地使用年限（年）</v>
      </c>
      <c r="AA12" s="1572">
        <f t="shared" si="3"/>
        <v>0.91743119266055051</v>
      </c>
      <c r="AB12" s="1572">
        <f t="shared" si="4"/>
        <v>0.91743119266055051</v>
      </c>
      <c r="AC12" s="1572">
        <f t="shared" si="5"/>
        <v>0.91743119266055051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912"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5"/>
      <c r="Q24" s="1573"/>
      <c r="R24" s="1574"/>
      <c r="S24" s="1575"/>
      <c r="T24" s="1574"/>
      <c r="U24" s="1575"/>
      <c r="V24" s="1574"/>
      <c r="W24" s="1575"/>
      <c r="X24" s="1568"/>
      <c r="Y24" s="3365"/>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65"/>
      <c r="Q26" s="1151"/>
      <c r="R26" s="1569"/>
      <c r="S26" s="1570"/>
      <c r="T26" s="1569"/>
      <c r="U26" s="1570"/>
      <c r="V26" s="1569"/>
      <c r="W26" s="1570"/>
      <c r="X26" s="1571"/>
      <c r="Y26" s="3365"/>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5"/>
      <c r="Q27" s="2580" t="str">
        <f t="shared" ref="Q27" si="9">B27</f>
        <v>基础设施水平</v>
      </c>
      <c r="R27" s="1569" t="s">
        <v>8</v>
      </c>
      <c r="S27" s="1570">
        <f>F27</f>
        <v>100</v>
      </c>
      <c r="T27" s="1569" t="s">
        <v>8</v>
      </c>
      <c r="U27" s="1570">
        <f>H27</f>
        <v>100</v>
      </c>
      <c r="V27" s="1569" t="s">
        <v>8</v>
      </c>
      <c r="W27" s="1570">
        <f>J27</f>
        <v>100</v>
      </c>
      <c r="X27" s="1571"/>
      <c r="Y27" s="336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65"/>
      <c r="Q28" s="2580"/>
      <c r="R28" s="1569"/>
      <c r="S28" s="1570"/>
      <c r="T28" s="1569"/>
      <c r="U28" s="1570"/>
      <c r="V28" s="1569"/>
      <c r="W28" s="1570"/>
      <c r="X28" s="1571"/>
      <c r="Y28" s="336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5"/>
      <c r="Q30" s="1573" t="str">
        <f t="shared" si="8"/>
        <v>毗邻道路的类型与等级</v>
      </c>
      <c r="R30" s="1574" t="s">
        <v>8</v>
      </c>
      <c r="S30" s="1575">
        <f t="shared" si="10"/>
        <v>100</v>
      </c>
      <c r="T30" s="1574" t="s">
        <v>8</v>
      </c>
      <c r="U30" s="1575">
        <f t="shared" si="11"/>
        <v>100</v>
      </c>
      <c r="V30" s="1574" t="s">
        <v>8</v>
      </c>
      <c r="W30" s="1575">
        <f t="shared" si="12"/>
        <v>100</v>
      </c>
      <c r="X30" s="1568"/>
      <c r="Y30" s="336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65"/>
      <c r="Q31" s="1573"/>
      <c r="R31" s="1574"/>
      <c r="S31" s="1575"/>
      <c r="T31" s="1574"/>
      <c r="U31" s="1575"/>
      <c r="V31" s="1574"/>
      <c r="W31" s="1575"/>
      <c r="X31" s="1568"/>
      <c r="Y31" s="336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5"/>
      <c r="Q32" s="1573" t="str">
        <f t="shared" si="8"/>
        <v>土地级别</v>
      </c>
      <c r="R32" s="1574" t="s">
        <v>8</v>
      </c>
      <c r="S32" s="1575">
        <f t="shared" si="10"/>
        <v>100</v>
      </c>
      <c r="T32" s="1574" t="s">
        <v>8</v>
      </c>
      <c r="U32" s="1575">
        <f t="shared" si="11"/>
        <v>100</v>
      </c>
      <c r="V32" s="1574" t="s">
        <v>8</v>
      </c>
      <c r="W32" s="1575">
        <f t="shared" si="12"/>
        <v>100</v>
      </c>
      <c r="X32" s="1568"/>
      <c r="Y32" s="336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5"/>
      <c r="Q33" s="1573">
        <f t="shared" si="8"/>
        <v>111</v>
      </c>
      <c r="R33" s="1574" t="s">
        <v>8</v>
      </c>
      <c r="S33" s="1575">
        <f t="shared" si="10"/>
        <v>100</v>
      </c>
      <c r="T33" s="1574" t="s">
        <v>8</v>
      </c>
      <c r="U33" s="1575">
        <f t="shared" si="11"/>
        <v>100</v>
      </c>
      <c r="V33" s="1574" t="s">
        <v>8</v>
      </c>
      <c r="W33" s="1575">
        <f t="shared" si="12"/>
        <v>100</v>
      </c>
      <c r="X33" s="1568"/>
      <c r="Y33" s="336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6" t="s">
        <v>550</v>
      </c>
      <c r="Q34" s="1573">
        <f t="shared" si="8"/>
        <v>111</v>
      </c>
      <c r="R34" s="1574" t="s">
        <v>8</v>
      </c>
      <c r="S34" s="1575">
        <f t="shared" si="10"/>
        <v>100</v>
      </c>
      <c r="T34" s="1574" t="s">
        <v>8</v>
      </c>
      <c r="U34" s="1575">
        <f t="shared" si="11"/>
        <v>100</v>
      </c>
      <c r="V34" s="1574" t="s">
        <v>8</v>
      </c>
      <c r="W34" s="1575">
        <f t="shared" si="12"/>
        <v>100</v>
      </c>
      <c r="X34" s="1568"/>
      <c r="Y34" s="336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7"/>
      <c r="Q35" s="1573">
        <f t="shared" si="8"/>
        <v>111</v>
      </c>
      <c r="R35" s="1578" t="s">
        <v>8</v>
      </c>
      <c r="S35" s="1579">
        <f t="shared" si="10"/>
        <v>100</v>
      </c>
      <c r="T35" s="1578" t="s">
        <v>8</v>
      </c>
      <c r="U35" s="1579">
        <f t="shared" si="11"/>
        <v>100</v>
      </c>
      <c r="V35" s="1578" t="s">
        <v>8</v>
      </c>
      <c r="W35" s="1579">
        <f t="shared" si="12"/>
        <v>100</v>
      </c>
      <c r="X35" s="1580"/>
      <c r="Y35" s="3367"/>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7"/>
      <c r="Q36" s="1573" t="str">
        <f>B36</f>
        <v>宗地面积</v>
      </c>
      <c r="R36" s="1574" t="s">
        <v>8</v>
      </c>
      <c r="S36" s="1575" t="e">
        <f t="shared" si="10"/>
        <v>#N/A</v>
      </c>
      <c r="T36" s="1574" t="s">
        <v>8</v>
      </c>
      <c r="U36" s="1575" t="e">
        <f t="shared" si="11"/>
        <v>#N/A</v>
      </c>
      <c r="V36" s="1574" t="s">
        <v>8</v>
      </c>
      <c r="W36" s="1575" t="e">
        <f t="shared" si="12"/>
        <v>#N/A</v>
      </c>
      <c r="X36" s="1568"/>
      <c r="Y36" s="336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7"/>
      <c r="Q37" s="1573" t="str">
        <f t="shared" ref="Q37:Q42" si="14">B37</f>
        <v>宗地形状</v>
      </c>
      <c r="R37" s="1574" t="s">
        <v>8</v>
      </c>
      <c r="S37" s="1575">
        <f t="shared" si="10"/>
        <v>100</v>
      </c>
      <c r="T37" s="1574" t="s">
        <v>8</v>
      </c>
      <c r="U37" s="1575">
        <f t="shared" si="11"/>
        <v>100</v>
      </c>
      <c r="V37" s="1574" t="s">
        <v>8</v>
      </c>
      <c r="W37" s="1575">
        <f t="shared" si="12"/>
        <v>100</v>
      </c>
      <c r="X37" s="1568"/>
      <c r="Y37" s="3367"/>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7"/>
      <c r="Q38" s="1573" t="str">
        <f t="shared" si="14"/>
        <v>宗地开发程度</v>
      </c>
      <c r="R38" s="1569" t="s">
        <v>8</v>
      </c>
      <c r="S38" s="1570">
        <f t="shared" si="10"/>
        <v>100</v>
      </c>
      <c r="T38" s="1569" t="s">
        <v>8</v>
      </c>
      <c r="U38" s="1570">
        <f t="shared" si="11"/>
        <v>100</v>
      </c>
      <c r="V38" s="1569" t="s">
        <v>8</v>
      </c>
      <c r="W38" s="1570">
        <f t="shared" si="12"/>
        <v>100</v>
      </c>
      <c r="X38" s="1571"/>
      <c r="Y38" s="336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t="s">
        <v>601</v>
      </c>
      <c r="Q39" s="1573" t="str">
        <f t="shared" si="14"/>
        <v>工程地质条件</v>
      </c>
      <c r="R39" s="1574" t="s">
        <v>8</v>
      </c>
      <c r="S39" s="1575">
        <f t="shared" si="10"/>
        <v>100</v>
      </c>
      <c r="T39" s="1574" t="s">
        <v>8</v>
      </c>
      <c r="U39" s="1575">
        <f t="shared" si="11"/>
        <v>100</v>
      </c>
      <c r="V39" s="1574" t="s">
        <v>8</v>
      </c>
      <c r="W39" s="1575">
        <f t="shared" si="12"/>
        <v>100</v>
      </c>
      <c r="X39" s="1568"/>
      <c r="Y39" s="336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7"/>
      <c r="Q40" s="1573">
        <f t="shared" si="14"/>
        <v>111</v>
      </c>
      <c r="R40" s="1574" t="s">
        <v>8</v>
      </c>
      <c r="S40" s="1575">
        <f t="shared" si="10"/>
        <v>100</v>
      </c>
      <c r="T40" s="1574" t="s">
        <v>8</v>
      </c>
      <c r="U40" s="1575">
        <f t="shared" si="11"/>
        <v>100</v>
      </c>
      <c r="V40" s="1574" t="s">
        <v>8</v>
      </c>
      <c r="W40" s="1575">
        <f t="shared" si="12"/>
        <v>100</v>
      </c>
      <c r="X40" s="1568"/>
      <c r="Y40" s="336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7"/>
      <c r="Q41" s="1573">
        <f t="shared" si="14"/>
        <v>111</v>
      </c>
      <c r="R41" s="1574" t="s">
        <v>8</v>
      </c>
      <c r="S41" s="1575">
        <f t="shared" si="10"/>
        <v>100</v>
      </c>
      <c r="T41" s="1574" t="s">
        <v>8</v>
      </c>
      <c r="U41" s="1575">
        <f t="shared" si="11"/>
        <v>100</v>
      </c>
      <c r="V41" s="1574" t="s">
        <v>8</v>
      </c>
      <c r="W41" s="1575">
        <f t="shared" si="12"/>
        <v>100</v>
      </c>
      <c r="X41" s="1568"/>
      <c r="Y41" s="336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7"/>
      <c r="Q42" s="1573">
        <f t="shared" si="14"/>
        <v>111</v>
      </c>
      <c r="R42" s="1578" t="s">
        <v>8</v>
      </c>
      <c r="S42" s="1579">
        <f t="shared" si="10"/>
        <v>100</v>
      </c>
      <c r="T42" s="1578" t="s">
        <v>8</v>
      </c>
      <c r="U42" s="1579">
        <f t="shared" si="11"/>
        <v>100</v>
      </c>
      <c r="V42" s="1578" t="s">
        <v>8</v>
      </c>
      <c r="W42" s="1579">
        <f t="shared" si="12"/>
        <v>100</v>
      </c>
      <c r="X42" s="1580"/>
      <c r="Y42" s="3367"/>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6"/>
      <c r="M43" s="2136"/>
      <c r="N43" s="2136"/>
      <c r="O43" s="2147"/>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62" t="str">
        <f>A44</f>
        <v>比较价格（元/平方米）</v>
      </c>
      <c r="Q44" s="3362"/>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387" t="s">
        <v>2286</v>
      </c>
      <c r="H52" s="338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66660.070000000007</v>
      </c>
      <c r="F53" s="1952" t="e">
        <f t="shared" ref="F53:F62" si="15">ROUND(B53*E53/10000,0)</f>
        <v>#DIV/0!</v>
      </c>
      <c r="G53" s="3389"/>
      <c r="H53" s="339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1"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66660.070000000007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3" zoomScale="80" zoomScaleNormal="80" workbookViewId="0">
      <selection activeCell="E20" sqref="E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66660.070000000007</v>
      </c>
      <c r="E1" s="1407" t="s">
        <v>2429</v>
      </c>
      <c r="F1" s="2454">
        <f>'数据-基础表'!A3</f>
        <v>66660.070000000007</v>
      </c>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2763</v>
      </c>
      <c r="S1" s="2938" t="s">
        <v>2764</v>
      </c>
      <c r="T1" s="2938" t="s">
        <v>2785</v>
      </c>
      <c r="U1" s="2938" t="s">
        <v>2786</v>
      </c>
      <c r="V1" s="2938" t="s">
        <v>2787</v>
      </c>
      <c r="W1" s="2191"/>
      <c r="X1" s="2191"/>
      <c r="Y1" s="2191"/>
      <c r="Z1" s="2191"/>
      <c r="AA1" s="2191"/>
      <c r="AB1" s="2191"/>
      <c r="AC1" s="2192"/>
    </row>
    <row r="2" spans="1:39" ht="15.75">
      <c r="A2" s="1407" t="s">
        <v>920</v>
      </c>
      <c r="B2" s="1038">
        <f ca="1">C26</f>
        <v>3853</v>
      </c>
      <c r="C2" s="1408" t="s">
        <v>921</v>
      </c>
      <c r="D2" s="1409" t="s">
        <v>922</v>
      </c>
      <c r="E2" s="1410" t="s">
        <v>982</v>
      </c>
      <c r="F2" s="1409" t="s">
        <v>924</v>
      </c>
      <c r="G2" s="1653" t="str">
        <f>IF(E2="商业",项目基本情况!B43,IF(E2="办公",项目基本情况!C43,IF(E2="住宅",项目基本情况!D43,项目基本情况!E43)))</f>
        <v>十一级</v>
      </c>
      <c r="H2" s="1409" t="s">
        <v>926</v>
      </c>
      <c r="I2" s="1654" t="str">
        <f>IF(E2="商业",项目基本情况!B44,IF(E2="办公",项目基本情况!C44,IF(E2="住宅",项目基本情况!D44,项目基本情况!E44)))</f>
        <v>Ⅺ-密1</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1122</v>
      </c>
      <c r="U2" s="2928"/>
      <c r="V2" s="2939">
        <f ca="1">ROUND(T2*U2/10000,0)</f>
        <v>0</v>
      </c>
      <c r="W2" s="2191"/>
      <c r="X2" s="2191"/>
      <c r="Y2" s="2191"/>
      <c r="Z2" s="2191"/>
      <c r="AA2" s="2191"/>
      <c r="AB2" s="2191"/>
      <c r="AC2" s="2192"/>
    </row>
    <row r="3" spans="1:39" ht="15.75">
      <c r="A3" s="1412" t="s">
        <v>1688</v>
      </c>
      <c r="B3" s="1038">
        <f ca="1">ROUND(B2*10000/D1,0)</f>
        <v>578</v>
      </c>
      <c r="C3" s="1408" t="s">
        <v>927</v>
      </c>
      <c r="D3" s="1409" t="s">
        <v>928</v>
      </c>
      <c r="E3" s="1413" t="s">
        <v>2994</v>
      </c>
      <c r="F3" s="1414" t="s">
        <v>2936</v>
      </c>
      <c r="G3" s="1039">
        <f>IF(F3="宗地容积率",'数据-汇总表'!I4,IF(F3="估价对象容积率",'数据-汇总表'!I6,'数据-汇总表'!I7))</f>
        <v>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739</v>
      </c>
      <c r="U3" s="2928"/>
      <c r="V3" s="2939">
        <f t="shared" ref="V3:V16" ca="1" si="1">ROUND(T3*U3/10000,0)</f>
        <v>0</v>
      </c>
      <c r="W3" s="2191"/>
      <c r="X3" s="2191"/>
      <c r="Y3" s="2191"/>
      <c r="Z3" s="2191"/>
      <c r="AA3" s="2191"/>
      <c r="AB3" s="2191"/>
      <c r="AC3" s="2192"/>
    </row>
    <row r="4" spans="1:39" ht="28.5">
      <c r="A4" s="1893" t="s">
        <v>2282</v>
      </c>
      <c r="B4" s="2455">
        <f ca="1">ROUND(B2*10000/F1,0)</f>
        <v>578</v>
      </c>
      <c r="C4" s="1896" t="s">
        <v>2256</v>
      </c>
      <c r="D4" s="1896">
        <f ca="1">ROUND(B2/(F1/666.67),0)</f>
        <v>39</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582</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460</v>
      </c>
      <c r="D5" s="3123">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435</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460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327</v>
      </c>
      <c r="U6" s="2928"/>
      <c r="V6" s="2939">
        <f t="shared" ca="1" si="1"/>
        <v>0</v>
      </c>
      <c r="W6" s="2191"/>
      <c r="X6" s="2191"/>
      <c r="Y6" s="2191"/>
      <c r="Z6" s="2191"/>
      <c r="AA6" s="2191"/>
      <c r="AB6" s="2191"/>
      <c r="AC6" s="2193"/>
      <c r="AD6" s="1420"/>
      <c r="AE6" s="1420"/>
      <c r="AF6" s="1420"/>
      <c r="AG6" s="1420"/>
      <c r="AH6" s="1420"/>
      <c r="AI6" s="1420"/>
      <c r="AJ6" s="1421"/>
    </row>
    <row r="7" spans="1:39" ht="24">
      <c r="A7" s="3399"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261</v>
      </c>
      <c r="U7" s="2928"/>
      <c r="V7" s="2939">
        <f t="shared" ca="1" si="1"/>
        <v>0</v>
      </c>
      <c r="W7" s="2937" t="s">
        <v>2766</v>
      </c>
      <c r="X7" s="2929" t="str">
        <f>G2</f>
        <v>十一级</v>
      </c>
      <c r="Y7" s="2929" t="s">
        <v>2767</v>
      </c>
      <c r="Z7" s="2930">
        <f>G3</f>
        <v>1</v>
      </c>
      <c r="AA7" s="2194"/>
      <c r="AB7" s="2194"/>
      <c r="AC7" s="2195"/>
      <c r="AD7" s="2931"/>
      <c r="AE7" s="2931"/>
      <c r="AF7" s="2931"/>
      <c r="AG7" s="2931"/>
      <c r="AH7" s="2931"/>
      <c r="AI7" s="2931"/>
      <c r="AJ7" s="2932"/>
    </row>
    <row r="8" spans="1:39" ht="15">
      <c r="A8" s="3400"/>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09" t="s">
        <v>2784</v>
      </c>
      <c r="X8" s="3410"/>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00"/>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08" t="s">
        <v>2780</v>
      </c>
      <c r="X9" s="2933" t="s">
        <v>2781</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00"/>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08"/>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00"/>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460</v>
      </c>
      <c r="N11" s="1889">
        <f>SUMPRODUCT((因素修正幅度!B317:B337=I2)*(因素修正幅度!C3:F3=E2)*(因素修正幅度!C317:F337))</f>
        <v>0.14099999999999999</v>
      </c>
      <c r="O11" s="2191"/>
      <c r="P11" s="2191"/>
      <c r="Q11" s="2191"/>
      <c r="R11" s="2939">
        <v>10</v>
      </c>
      <c r="S11" s="2928"/>
      <c r="T11" s="2939">
        <f t="shared" ca="1" si="0"/>
        <v>0</v>
      </c>
      <c r="U11" s="2928"/>
      <c r="V11" s="2939">
        <f t="shared" ca="1" si="1"/>
        <v>0</v>
      </c>
      <c r="W11" s="3408" t="s">
        <v>2782</v>
      </c>
      <c r="X11" s="1048" t="s">
        <v>2767</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399"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08"/>
      <c r="X12" s="2936" t="s">
        <v>2783</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0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08"/>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401"/>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0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399" t="s">
        <v>1839</v>
      </c>
      <c r="B16" s="1428" t="s">
        <v>950</v>
      </c>
      <c r="C16" s="1054">
        <f>ROUND(SUM(G17:J17)/C17,0)</f>
        <v>0</v>
      </c>
      <c r="D16" s="1461" t="s">
        <v>951</v>
      </c>
      <c r="E16" s="1462" t="s">
        <v>2995</v>
      </c>
      <c r="F16" s="1463" t="s">
        <v>2996</v>
      </c>
      <c r="G16" s="1464"/>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00"/>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ROUND(IF(H19="按公示增长率计算",SUMPRODUCT((地价!A3:A24=YEAR(G19)&amp;"-"&amp;ROUNDUP(MONTH(G19)/3,0))*(地价!X2:AB2=E2)*(地价!X3:AB24)),IF(H19="地价指数",M20/M19,(1+I19)^O19)),4)</f>
        <v>1.3087</v>
      </c>
      <c r="D19" s="1475" t="s">
        <v>958</v>
      </c>
      <c r="E19" s="1058">
        <v>41640</v>
      </c>
      <c r="F19" s="1475" t="s">
        <v>959</v>
      </c>
      <c r="G19" s="1059">
        <f>'数据-取费表'!B2</f>
        <v>43384</v>
      </c>
      <c r="H19" s="1476" t="s">
        <v>2937</v>
      </c>
      <c r="I19" s="2786" t="str">
        <f>IF(H19="季度增幅（自定义）",SUMIF(N21:N24,E2,O21:O24),"")</f>
        <v/>
      </c>
      <c r="J19" s="1472"/>
      <c r="K19" s="1482"/>
      <c r="L19" s="3042" t="s">
        <v>2842</v>
      </c>
      <c r="M19" s="3043">
        <f>ROUND(SUMIF(地价!B2:F2,E2,地价!B24:F24),0)</f>
        <v>230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0.92620000000000002</v>
      </c>
      <c r="D20" s="2783" t="s">
        <v>973</v>
      </c>
      <c r="E20" s="3098">
        <f ca="1">存贷款利率!I4/100</f>
        <v>4.3499999999999997E-2</v>
      </c>
      <c r="F20" s="2783" t="s">
        <v>974</v>
      </c>
      <c r="G20" s="2784">
        <f ca="1">SUMIF(M15:P15,E2,M17:P17)</f>
        <v>4.8000000000000001E-2</v>
      </c>
      <c r="H20" s="2783" t="s">
        <v>975</v>
      </c>
      <c r="I20" s="2773">
        <f>SUMIF('数据-取费表'!C6:C15,E2,'数据-取费表'!F6:F15)/COUNTIF('数据-取费表'!C6:C15,E2)</f>
        <v>38.74</v>
      </c>
      <c r="J20" s="2785">
        <f>IF(E2="住宅",70,IF(E2="商业",40,50))</f>
        <v>50</v>
      </c>
      <c r="K20" s="1482"/>
      <c r="L20" s="3044" t="s">
        <v>2843</v>
      </c>
      <c r="M20" s="3045">
        <f>ROUND(SUMPRODUCT((地价!A4:A24=YEAR(G19)&amp;"-"&amp;ROUNDUP(MONTH(G19)/3,0))*(地价!B2:F2=E2)*(地价!B4:F24)),0)</f>
        <v>301</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2997</v>
      </c>
      <c r="C21" s="1158">
        <f>IF(B21="容积率修正",IF(G3&lt;=10,D22,J22),C23)</f>
        <v>1</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1.0358000000000001</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2650</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f ca="1">E29+SUM(E33:E39)</f>
        <v>3853</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578</v>
      </c>
      <c r="D29" s="1505">
        <f>'数据-汇总表'!E3</f>
        <v>66660.070000000007</v>
      </c>
      <c r="E29" s="1851">
        <f ca="1">ROUND(C29*D29/10000,0)</f>
        <v>3853</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87</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5" t="s">
        <v>2963</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6"/>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6"/>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7"/>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116</v>
      </c>
      <c r="D37" s="1538"/>
      <c r="E37" s="1048">
        <f t="shared" ca="1" si="7"/>
        <v>0</v>
      </c>
      <c r="F37" s="1063">
        <f>SUMIF(修正!A45:A56,G2,修正!F45:F56)</f>
        <v>0.2</v>
      </c>
      <c r="G37" s="1048">
        <f ca="1">ROUND(IF(E2="工业",C37*$M$39,C37*$M$38),0)</f>
        <v>17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116</v>
      </c>
      <c r="D38" s="1538"/>
      <c r="E38" s="1048">
        <f t="shared" ca="1" si="7"/>
        <v>0</v>
      </c>
      <c r="F38" s="1063">
        <f>SUMIF(修正!A45:A56,G2,修正!G45:G56)</f>
        <v>0.2</v>
      </c>
      <c r="G38" s="1048">
        <f ca="1">ROUND(IF(E2="工业",C38*$M$39,C38*$M$38),0)</f>
        <v>17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87</v>
      </c>
      <c r="D39" s="1539"/>
      <c r="E39" s="1051">
        <f t="shared" ca="1" si="7"/>
        <v>0</v>
      </c>
      <c r="F39" s="1065">
        <f>SUMIF(修正!A45:A56,G2,修正!H45:H56)</f>
        <v>0.15</v>
      </c>
      <c r="G39" s="1051">
        <f ca="1">ROUND(IF(E2="工业",C39*$M$39,C39*$M$38),0)</f>
        <v>13</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2939</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2938</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2940</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2938</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2938</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1.0358000000000001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t="s">
        <v>2998</v>
      </c>
      <c r="D80" s="2419">
        <f t="shared" ref="D80:D87" si="25">SUMIF($J$79:$N$79,C80,J80:N80)</f>
        <v>1.83E-2</v>
      </c>
      <c r="E80" s="2438">
        <f>ROUND(SUM(D80:D87),4)</f>
        <v>3.5799999999999998E-2</v>
      </c>
      <c r="F80" s="2439">
        <f>IF(E2="工业",SUMIF(L1:L12,G2,N1:N12),"——")</f>
        <v>0.14099999999999999</v>
      </c>
      <c r="G80" s="2417">
        <f>H80</f>
        <v>1.83E-2</v>
      </c>
      <c r="H80" s="2463">
        <f t="shared" ref="H80:H87" si="26">IFERROR(ROUNDDOWN($F$80*I80/2,4),"——")</f>
        <v>1.83E-2</v>
      </c>
      <c r="I80" s="2437">
        <v>0.26</v>
      </c>
      <c r="J80" s="2440">
        <f t="shared" ref="J80:J87" si="27">K80+$G80</f>
        <v>3.6600000000000001E-2</v>
      </c>
      <c r="K80" s="2440">
        <f t="shared" ref="K80:K87" si="28">$L80+$G80</f>
        <v>1.83E-2</v>
      </c>
      <c r="L80" s="2440">
        <v>0</v>
      </c>
      <c r="M80" s="2440">
        <f t="shared" ref="M80:N87" si="29">L80-$G80</f>
        <v>-1.83E-2</v>
      </c>
      <c r="N80" s="2440">
        <f t="shared" si="29"/>
        <v>-3.6600000000000001E-2</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t="s">
        <v>2999</v>
      </c>
      <c r="D81" s="2419">
        <f t="shared" si="25"/>
        <v>0</v>
      </c>
      <c r="E81" s="2447"/>
      <c r="F81" s="2448"/>
      <c r="G81" s="2417">
        <f t="shared" ref="G81:G87" si="30">H81</f>
        <v>2.3199999999999998E-2</v>
      </c>
      <c r="H81" s="2463">
        <f t="shared" si="26"/>
        <v>2.3199999999999998E-2</v>
      </c>
      <c r="I81" s="2437">
        <v>0.33</v>
      </c>
      <c r="J81" s="2440">
        <f t="shared" si="27"/>
        <v>4.6399999999999997E-2</v>
      </c>
      <c r="K81" s="2440">
        <f t="shared" si="28"/>
        <v>2.3199999999999998E-2</v>
      </c>
      <c r="L81" s="2440">
        <v>0</v>
      </c>
      <c r="M81" s="2440">
        <f t="shared" si="29"/>
        <v>-2.3199999999999998E-2</v>
      </c>
      <c r="N81" s="2440">
        <f t="shared" si="29"/>
        <v>-4.6399999999999997E-2</v>
      </c>
      <c r="AC81" s="1406"/>
      <c r="AD81" s="1405"/>
      <c r="AJ81" s="1404"/>
      <c r="AN81" s="1405"/>
    </row>
    <row r="82" spans="1:40" ht="24">
      <c r="A82" s="1067" t="s">
        <v>1023</v>
      </c>
      <c r="B82" s="2410">
        <f>估价对象房地状况!G17</f>
        <v>0</v>
      </c>
      <c r="C82" s="1050" t="s">
        <v>3001</v>
      </c>
      <c r="D82" s="2419">
        <f t="shared" si="25"/>
        <v>7.0000000000000001E-3</v>
      </c>
      <c r="E82" s="2447"/>
      <c r="F82" s="2448"/>
      <c r="G82" s="2417">
        <f t="shared" si="30"/>
        <v>3.5000000000000001E-3</v>
      </c>
      <c r="H82" s="2463">
        <f t="shared" si="26"/>
        <v>3.5000000000000001E-3</v>
      </c>
      <c r="I82" s="2437">
        <v>0.05</v>
      </c>
      <c r="J82" s="2440">
        <f t="shared" si="27"/>
        <v>7.0000000000000001E-3</v>
      </c>
      <c r="K82" s="2440">
        <f t="shared" si="28"/>
        <v>3.5000000000000001E-3</v>
      </c>
      <c r="L82" s="2440">
        <v>0</v>
      </c>
      <c r="M82" s="2440">
        <f t="shared" si="29"/>
        <v>-3.5000000000000001E-3</v>
      </c>
      <c r="N82" s="2440">
        <f t="shared" si="29"/>
        <v>-7.0000000000000001E-3</v>
      </c>
      <c r="AC82" s="1406"/>
      <c r="AD82" s="1405"/>
      <c r="AJ82" s="1404"/>
      <c r="AN82" s="1405"/>
    </row>
    <row r="83" spans="1:40" ht="14.25">
      <c r="A83" s="1067" t="s">
        <v>1035</v>
      </c>
      <c r="B83" s="2410">
        <f>估价对象房地状况!G22</f>
        <v>0</v>
      </c>
      <c r="C83" s="1050" t="s">
        <v>2998</v>
      </c>
      <c r="D83" s="2419">
        <f t="shared" si="25"/>
        <v>2.8E-3</v>
      </c>
      <c r="E83" s="2447"/>
      <c r="F83" s="2448"/>
      <c r="G83" s="2417">
        <f t="shared" si="30"/>
        <v>2.8E-3</v>
      </c>
      <c r="H83" s="2463">
        <f t="shared" si="26"/>
        <v>2.8E-3</v>
      </c>
      <c r="I83" s="2437">
        <v>0.04</v>
      </c>
      <c r="J83" s="2440">
        <f t="shared" si="27"/>
        <v>5.5999999999999999E-3</v>
      </c>
      <c r="K83" s="2440">
        <f t="shared" si="28"/>
        <v>2.8E-3</v>
      </c>
      <c r="L83" s="2440">
        <v>0</v>
      </c>
      <c r="M83" s="2440">
        <f t="shared" si="29"/>
        <v>-2.8E-3</v>
      </c>
      <c r="N83" s="2440">
        <f t="shared" si="29"/>
        <v>-5.5999999999999999E-3</v>
      </c>
      <c r="AC83" s="1406"/>
      <c r="AD83" s="1405"/>
      <c r="AJ83" s="1404"/>
      <c r="AN83" s="1405"/>
    </row>
    <row r="84" spans="1:40" ht="24">
      <c r="A84" s="1067" t="s">
        <v>1027</v>
      </c>
      <c r="B84" s="2411" t="str">
        <f>估价对象房地状况!G19</f>
        <v>估价对象所在区域公共配套设施齐备情况</v>
      </c>
      <c r="C84" s="1050" t="s">
        <v>2999</v>
      </c>
      <c r="D84" s="2419">
        <f t="shared" si="25"/>
        <v>0</v>
      </c>
      <c r="E84" s="2447"/>
      <c r="F84" s="2448"/>
      <c r="G84" s="2417">
        <f t="shared" si="30"/>
        <v>4.1999999999999997E-3</v>
      </c>
      <c r="H84" s="2463">
        <f t="shared" si="26"/>
        <v>4.1999999999999997E-3</v>
      </c>
      <c r="I84" s="2437">
        <v>0.06</v>
      </c>
      <c r="J84" s="2440">
        <f t="shared" si="27"/>
        <v>8.3999999999999995E-3</v>
      </c>
      <c r="K84" s="2440">
        <f t="shared" si="28"/>
        <v>4.1999999999999997E-3</v>
      </c>
      <c r="L84" s="2440">
        <v>0</v>
      </c>
      <c r="M84" s="2440">
        <f t="shared" si="29"/>
        <v>-4.1999999999999997E-3</v>
      </c>
      <c r="N84" s="2440">
        <f t="shared" si="29"/>
        <v>-8.3999999999999995E-3</v>
      </c>
      <c r="AC84" s="1406"/>
      <c r="AD84" s="1405"/>
      <c r="AJ84" s="1404"/>
      <c r="AN84" s="1405"/>
    </row>
    <row r="85" spans="1:40" ht="24">
      <c r="A85" s="1067" t="s">
        <v>1028</v>
      </c>
      <c r="B85" s="2411" t="str">
        <f>估价对象房地状况!G20</f>
        <v>估价对象所在区域基础设施水平</v>
      </c>
      <c r="C85" s="1050" t="s">
        <v>2999</v>
      </c>
      <c r="D85" s="2419">
        <f t="shared" si="25"/>
        <v>0</v>
      </c>
      <c r="E85" s="2447"/>
      <c r="F85" s="2448"/>
      <c r="G85" s="2417">
        <f t="shared" si="30"/>
        <v>1.0500000000000001E-2</v>
      </c>
      <c r="H85" s="2463">
        <f t="shared" si="26"/>
        <v>1.0500000000000001E-2</v>
      </c>
      <c r="I85" s="2437">
        <v>0.15</v>
      </c>
      <c r="J85" s="2440">
        <f t="shared" si="27"/>
        <v>2.1000000000000001E-2</v>
      </c>
      <c r="K85" s="2440">
        <f t="shared" si="28"/>
        <v>1.0500000000000001E-2</v>
      </c>
      <c r="L85" s="2440">
        <v>0</v>
      </c>
      <c r="M85" s="2440">
        <f t="shared" si="29"/>
        <v>-1.0500000000000001E-2</v>
      </c>
      <c r="N85" s="2440">
        <f t="shared" si="29"/>
        <v>-2.1000000000000001E-2</v>
      </c>
      <c r="AC85" s="1406"/>
      <c r="AD85" s="1405"/>
      <c r="AJ85" s="1404"/>
      <c r="AN85" s="1405"/>
    </row>
    <row r="86" spans="1:40" ht="24">
      <c r="A86" s="1067" t="s">
        <v>1026</v>
      </c>
      <c r="B86" s="3099" t="s">
        <v>2938</v>
      </c>
      <c r="C86" s="1050" t="s">
        <v>2998</v>
      </c>
      <c r="D86" s="2419">
        <f t="shared" si="25"/>
        <v>3.5000000000000001E-3</v>
      </c>
      <c r="E86" s="2447"/>
      <c r="F86" s="2448"/>
      <c r="G86" s="2417">
        <f t="shared" si="30"/>
        <v>3.5000000000000001E-3</v>
      </c>
      <c r="H86" s="2463">
        <f t="shared" si="26"/>
        <v>3.5000000000000001E-3</v>
      </c>
      <c r="I86" s="2437">
        <v>0.05</v>
      </c>
      <c r="J86" s="2440">
        <f t="shared" si="27"/>
        <v>7.0000000000000001E-3</v>
      </c>
      <c r="K86" s="2440">
        <f t="shared" si="28"/>
        <v>3.5000000000000001E-3</v>
      </c>
      <c r="L86" s="2440">
        <v>0</v>
      </c>
      <c r="M86" s="2440">
        <f t="shared" si="29"/>
        <v>-3.5000000000000001E-3</v>
      </c>
      <c r="N86" s="2440">
        <f t="shared" si="29"/>
        <v>-7.0000000000000001E-3</v>
      </c>
      <c r="AC86" s="1406"/>
      <c r="AD86" s="1405"/>
      <c r="AJ86" s="1404"/>
      <c r="AN86" s="1405"/>
    </row>
    <row r="87" spans="1:40" ht="36.75" thickBot="1">
      <c r="A87" s="2443" t="s">
        <v>1039</v>
      </c>
      <c r="B87" s="2412" t="str">
        <f>估价对象房地状况!G18</f>
        <v>该园区内是否有污染型企业，绿化情况，卫生条件，整体环境状况判断</v>
      </c>
      <c r="C87" s="1050" t="s">
        <v>2998</v>
      </c>
      <c r="D87" s="2419">
        <f t="shared" si="25"/>
        <v>4.1999999999999997E-3</v>
      </c>
      <c r="E87" s="2449"/>
      <c r="F87" s="2448"/>
      <c r="G87" s="2417">
        <f t="shared" si="30"/>
        <v>4.1999999999999997E-3</v>
      </c>
      <c r="H87" s="2463">
        <f t="shared" si="26"/>
        <v>4.1999999999999997E-3</v>
      </c>
      <c r="I87" s="2444">
        <v>0.06</v>
      </c>
      <c r="J87" s="2440">
        <f t="shared" si="27"/>
        <v>8.3999999999999995E-3</v>
      </c>
      <c r="K87" s="2440">
        <f t="shared" si="28"/>
        <v>4.1999999999999997E-3</v>
      </c>
      <c r="L87" s="2440">
        <v>0</v>
      </c>
      <c r="M87" s="2440">
        <f t="shared" si="29"/>
        <v>-4.1999999999999997E-3</v>
      </c>
      <c r="N87" s="2440">
        <f t="shared" si="29"/>
        <v>-8.3999999999999995E-3</v>
      </c>
      <c r="AC87" s="1406"/>
      <c r="AD87" s="1405"/>
      <c r="AJ87" s="1404"/>
      <c r="AN87" s="1405"/>
    </row>
    <row r="90" spans="1:40">
      <c r="A90" s="3403" t="s">
        <v>1634</v>
      </c>
      <c r="B90" s="3403"/>
      <c r="C90" s="3403"/>
      <c r="D90" s="3403"/>
      <c r="E90" s="3403"/>
      <c r="F90" s="3403"/>
      <c r="G90" s="3403"/>
      <c r="H90" s="3403"/>
      <c r="I90" s="3403"/>
      <c r="J90" s="3403"/>
      <c r="K90" s="2452"/>
      <c r="L90" s="2452"/>
      <c r="M90" s="2452"/>
      <c r="N90" s="2452"/>
    </row>
    <row r="91" spans="1:40">
      <c r="A91" s="3404" t="s">
        <v>1444</v>
      </c>
      <c r="B91" s="3404" t="s">
        <v>1635</v>
      </c>
      <c r="C91" s="1140" t="s">
        <v>1636</v>
      </c>
      <c r="D91" s="1141"/>
      <c r="E91" s="1141"/>
      <c r="F91" s="1141"/>
      <c r="G91" s="1141"/>
      <c r="H91" s="1141"/>
      <c r="I91" s="1141"/>
      <c r="J91" s="1142"/>
      <c r="K91" s="1134"/>
      <c r="L91" s="1134"/>
      <c r="M91" s="1134"/>
      <c r="N91" s="1134"/>
    </row>
    <row r="92" spans="1:40">
      <c r="A92" s="3404"/>
      <c r="B92" s="340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1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1637</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1638</v>
      </c>
      <c r="B101" s="1147" t="s">
        <v>906</v>
      </c>
      <c r="C101" s="1148">
        <f>$G$3</f>
        <v>1</v>
      </c>
      <c r="D101" s="1148">
        <f t="shared" ref="D101:N101" si="32">$G$3</f>
        <v>1</v>
      </c>
      <c r="E101" s="1148">
        <f t="shared" si="32"/>
        <v>1</v>
      </c>
      <c r="F101" s="1148">
        <f t="shared" si="32"/>
        <v>1</v>
      </c>
      <c r="G101" s="1148">
        <f t="shared" si="32"/>
        <v>1</v>
      </c>
      <c r="H101" s="1148">
        <f t="shared" si="32"/>
        <v>1</v>
      </c>
      <c r="I101" s="1148">
        <f t="shared" si="32"/>
        <v>1</v>
      </c>
      <c r="J101" s="1148">
        <f t="shared" si="32"/>
        <v>1</v>
      </c>
      <c r="K101" s="1148">
        <f t="shared" si="32"/>
        <v>1</v>
      </c>
      <c r="L101" s="1148">
        <f t="shared" si="32"/>
        <v>1</v>
      </c>
      <c r="M101" s="1148">
        <f t="shared" si="32"/>
        <v>1</v>
      </c>
      <c r="N101" s="1148">
        <f t="shared" si="32"/>
        <v>1</v>
      </c>
    </row>
    <row r="102" spans="1:14">
      <c r="A102" s="3412"/>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12"/>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12"/>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12"/>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12"/>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12"/>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12"/>
      <c r="B108" s="3414" t="s">
        <v>1639</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413"/>
      <c r="B109" s="3415"/>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8" t="s">
        <v>1640</v>
      </c>
      <c r="B110" s="3398"/>
      <c r="C110" s="3398"/>
      <c r="D110" s="3398"/>
      <c r="E110" s="3398"/>
      <c r="F110" s="3398"/>
      <c r="G110" s="3398"/>
      <c r="H110" s="3398"/>
      <c r="I110" s="3398"/>
      <c r="J110" s="3398"/>
      <c r="K110" s="2450"/>
      <c r="L110" s="2450"/>
      <c r="M110" s="2450"/>
      <c r="N110" s="2450"/>
    </row>
    <row r="112" spans="1:14" ht="12.75" thickBot="1"/>
    <row r="113" spans="1:13" ht="25.5" thickBot="1">
      <c r="A113" s="1016" t="s">
        <v>896</v>
      </c>
      <c r="B113" s="2453">
        <f>G3</f>
        <v>1</v>
      </c>
      <c r="C113" s="1017" t="s">
        <v>897</v>
      </c>
      <c r="D113" s="1018">
        <f>SUMPRODUCT((A115:A118=F113)*(B114:M114=H113)*B115:M118)</f>
        <v>0.55310000000000004</v>
      </c>
      <c r="E113" s="1019" t="s">
        <v>898</v>
      </c>
      <c r="F113" s="1020" t="str">
        <f>E2</f>
        <v>工业</v>
      </c>
      <c r="G113" s="1019" t="s">
        <v>899</v>
      </c>
      <c r="H113" s="1020" t="str">
        <f>G2</f>
        <v>十一级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4" t="s">
        <v>1008</v>
      </c>
      <c r="B18" s="1154" t="s">
        <v>1447</v>
      </c>
      <c r="C18" s="1131" t="s">
        <v>1448</v>
      </c>
      <c r="D18" s="1132"/>
      <c r="E18" s="1154">
        <v>1</v>
      </c>
      <c r="F18" s="1133" t="s">
        <v>1449</v>
      </c>
      <c r="G18" s="1134"/>
      <c r="H18" s="1105"/>
      <c r="I18" s="1105"/>
    </row>
    <row r="19" spans="1:9" s="1600" customFormat="1" ht="19.5" customHeight="1">
      <c r="A19" s="3404"/>
      <c r="B19" s="3404" t="s">
        <v>1450</v>
      </c>
      <c r="C19" s="1131" t="s">
        <v>1451</v>
      </c>
      <c r="D19" s="1132"/>
      <c r="E19" s="1154">
        <v>0.9</v>
      </c>
      <c r="F19" s="1133" t="s">
        <v>1452</v>
      </c>
      <c r="G19" s="1134"/>
      <c r="H19" s="1105"/>
      <c r="I19" s="1105"/>
    </row>
    <row r="20" spans="1:9" s="1600" customFormat="1" ht="19.5" customHeight="1">
      <c r="A20" s="3404"/>
      <c r="B20" s="3404"/>
      <c r="C20" s="1131" t="s">
        <v>1453</v>
      </c>
      <c r="D20" s="1132"/>
      <c r="E20" s="1154">
        <v>1.1000000000000001</v>
      </c>
      <c r="F20" s="1133" t="s">
        <v>1454</v>
      </c>
      <c r="G20" s="1134"/>
      <c r="H20" s="1105"/>
      <c r="I20" s="1105"/>
    </row>
    <row r="21" spans="1:9" s="1600" customFormat="1" ht="19.5" customHeight="1">
      <c r="A21" s="3404"/>
      <c r="B21" s="3404"/>
      <c r="C21" s="1131" t="s">
        <v>1455</v>
      </c>
      <c r="D21" s="1132"/>
      <c r="E21" s="1154">
        <v>0.8</v>
      </c>
      <c r="F21" s="1133" t="s">
        <v>1456</v>
      </c>
      <c r="G21" s="1134"/>
      <c r="H21" s="1105"/>
      <c r="I21" s="1105"/>
    </row>
    <row r="22" spans="1:9" s="1600" customFormat="1" ht="19.5" customHeight="1">
      <c r="A22" s="3404"/>
      <c r="B22" s="3404"/>
      <c r="C22" s="1131" t="s">
        <v>1457</v>
      </c>
      <c r="D22" s="1132"/>
      <c r="E22" s="1154">
        <v>0.5</v>
      </c>
      <c r="F22" s="1133"/>
      <c r="G22" s="1134"/>
      <c r="H22" s="1105"/>
      <c r="I22" s="1105"/>
    </row>
    <row r="23" spans="1:9" s="1600" customFormat="1" ht="19.5" customHeight="1">
      <c r="A23" s="3404" t="s">
        <v>1030</v>
      </c>
      <c r="B23" s="1154" t="s">
        <v>1447</v>
      </c>
      <c r="C23" s="1131" t="s">
        <v>1458</v>
      </c>
      <c r="D23" s="1132"/>
      <c r="E23" s="1154">
        <v>1</v>
      </c>
      <c r="F23" s="1133" t="s">
        <v>1459</v>
      </c>
      <c r="G23" s="1134"/>
      <c r="H23" s="1105"/>
      <c r="I23" s="1105"/>
    </row>
    <row r="24" spans="1:9" s="1600" customFormat="1" ht="19.5" customHeight="1">
      <c r="A24" s="3404"/>
      <c r="B24" s="3404" t="s">
        <v>1450</v>
      </c>
      <c r="C24" s="1131" t="s">
        <v>1460</v>
      </c>
      <c r="D24" s="1132"/>
      <c r="E24" s="1154">
        <v>0.5</v>
      </c>
      <c r="F24" s="1133"/>
      <c r="G24" s="1134"/>
      <c r="H24" s="1105"/>
      <c r="I24" s="1105"/>
    </row>
    <row r="25" spans="1:9" s="1600" customFormat="1" ht="19.5" customHeight="1">
      <c r="A25" s="3404"/>
      <c r="B25" s="3404"/>
      <c r="C25" s="1131" t="s">
        <v>1461</v>
      </c>
      <c r="D25" s="1132"/>
      <c r="E25" s="1154">
        <v>1.1000000000000001</v>
      </c>
      <c r="F25" s="1133"/>
      <c r="G25" s="1134"/>
      <c r="H25" s="1105"/>
      <c r="I25" s="1105"/>
    </row>
    <row r="26" spans="1:9" s="1600" customFormat="1" ht="19.5" customHeight="1">
      <c r="A26" s="3404"/>
      <c r="B26" s="3404"/>
      <c r="C26" s="1131" t="s">
        <v>1462</v>
      </c>
      <c r="D26" s="1132"/>
      <c r="E26" s="1154">
        <v>1.1000000000000001</v>
      </c>
      <c r="F26" s="1133"/>
      <c r="G26" s="1134"/>
      <c r="H26" s="1105"/>
      <c r="I26" s="1105"/>
    </row>
    <row r="27" spans="1:9" s="1600" customFormat="1" ht="19.5" customHeight="1">
      <c r="A27" s="3404"/>
      <c r="B27" s="3404"/>
      <c r="C27" s="1131" t="s">
        <v>1463</v>
      </c>
      <c r="D27" s="1132"/>
      <c r="E27" s="1154">
        <v>0.9</v>
      </c>
      <c r="F27" s="1133" t="s">
        <v>1464</v>
      </c>
      <c r="G27" s="1134"/>
      <c r="H27" s="1105"/>
      <c r="I27" s="1105"/>
    </row>
    <row r="28" spans="1:9" s="1600" customFormat="1" ht="19.5" customHeight="1">
      <c r="A28" s="3404"/>
      <c r="B28" s="3404"/>
      <c r="C28" s="1131" t="s">
        <v>1465</v>
      </c>
      <c r="D28" s="1132"/>
      <c r="E28" s="1154">
        <v>0.9</v>
      </c>
      <c r="F28" s="1133" t="s">
        <v>1466</v>
      </c>
      <c r="G28" s="1134"/>
      <c r="H28" s="1105"/>
      <c r="I28" s="1105"/>
    </row>
    <row r="29" spans="1:9" s="1600" customFormat="1" ht="19.5" customHeight="1">
      <c r="A29" s="3404"/>
      <c r="B29" s="3404"/>
      <c r="C29" s="1131" t="s">
        <v>1467</v>
      </c>
      <c r="D29" s="1132"/>
      <c r="E29" s="1154">
        <v>0.9</v>
      </c>
      <c r="F29" s="1133" t="s">
        <v>1468</v>
      </c>
      <c r="G29" s="1134"/>
      <c r="H29" s="1105"/>
      <c r="I29" s="1105"/>
    </row>
    <row r="30" spans="1:9" s="1600" customFormat="1" ht="19.5" customHeight="1">
      <c r="A30" s="3404"/>
      <c r="B30" s="3404"/>
      <c r="C30" s="1131" t="s">
        <v>1469</v>
      </c>
      <c r="D30" s="1132"/>
      <c r="E30" s="1154">
        <v>0.9</v>
      </c>
      <c r="F30" s="1133" t="s">
        <v>1470</v>
      </c>
      <c r="G30" s="1134"/>
      <c r="H30" s="1105"/>
      <c r="I30" s="1105"/>
    </row>
    <row r="31" spans="1:9" s="1600" customFormat="1" ht="19.5" customHeight="1">
      <c r="A31" s="3404"/>
      <c r="B31" s="3404"/>
      <c r="C31" s="1131" t="s">
        <v>1471</v>
      </c>
      <c r="D31" s="1132"/>
      <c r="E31" s="1154">
        <v>0.8</v>
      </c>
      <c r="F31" s="1133" t="s">
        <v>1472</v>
      </c>
      <c r="G31" s="1134"/>
      <c r="H31" s="1105"/>
      <c r="I31" s="1105"/>
    </row>
    <row r="32" spans="1:9" s="1600" customFormat="1" ht="19.5" customHeight="1">
      <c r="A32" s="3404"/>
      <c r="B32" s="3404"/>
      <c r="C32" s="1131" t="s">
        <v>1473</v>
      </c>
      <c r="D32" s="1132"/>
      <c r="E32" s="1154">
        <v>0.8</v>
      </c>
      <c r="F32" s="1133" t="s">
        <v>1474</v>
      </c>
      <c r="G32" s="1134"/>
      <c r="H32" s="1105"/>
      <c r="I32" s="1105"/>
    </row>
    <row r="33" spans="1:9" s="1600" customFormat="1" ht="19.5" customHeight="1">
      <c r="A33" s="3404" t="s">
        <v>1475</v>
      </c>
      <c r="B33" s="1154" t="s">
        <v>1447</v>
      </c>
      <c r="C33" s="1131" t="s">
        <v>1476</v>
      </c>
      <c r="D33" s="1132"/>
      <c r="E33" s="1154">
        <v>1</v>
      </c>
      <c r="F33" s="1133" t="s">
        <v>1477</v>
      </c>
      <c r="G33" s="1134"/>
      <c r="H33" s="1105"/>
      <c r="I33" s="1105"/>
    </row>
    <row r="34" spans="1:9" s="1600" customFormat="1" ht="19.5" customHeight="1">
      <c r="A34" s="3404"/>
      <c r="B34" s="1154" t="s">
        <v>1450</v>
      </c>
      <c r="C34" s="1131" t="s">
        <v>1478</v>
      </c>
      <c r="D34" s="1132"/>
      <c r="E34" s="1154">
        <v>1.5</v>
      </c>
      <c r="F34" s="1133" t="s">
        <v>1479</v>
      </c>
      <c r="G34" s="1134"/>
      <c r="H34" s="1105"/>
      <c r="I34" s="1105"/>
    </row>
    <row r="35" spans="1:9" s="1600" customFormat="1" ht="19.5" customHeight="1">
      <c r="A35" s="3404" t="s">
        <v>1433</v>
      </c>
      <c r="B35" s="1154" t="s">
        <v>1447</v>
      </c>
      <c r="C35" s="1131" t="s">
        <v>1480</v>
      </c>
      <c r="D35" s="1132"/>
      <c r="E35" s="1154">
        <v>1</v>
      </c>
      <c r="F35" s="1133" t="s">
        <v>1481</v>
      </c>
      <c r="G35" s="1134"/>
      <c r="H35" s="1105"/>
      <c r="I35" s="1105"/>
    </row>
    <row r="36" spans="1:9" s="1600" customFormat="1" ht="19.5" customHeight="1">
      <c r="A36" s="3404"/>
      <c r="B36" s="3404" t="s">
        <v>1450</v>
      </c>
      <c r="C36" s="1131" t="s">
        <v>1482</v>
      </c>
      <c r="D36" s="1132"/>
      <c r="E36" s="1154">
        <v>1</v>
      </c>
      <c r="F36" s="1133" t="s">
        <v>1483</v>
      </c>
      <c r="G36" s="1134"/>
      <c r="H36" s="1105"/>
      <c r="I36" s="1105"/>
    </row>
    <row r="37" spans="1:9" s="1600" customFormat="1" ht="19.5" customHeight="1">
      <c r="A37" s="3404"/>
      <c r="B37" s="3404"/>
      <c r="C37" s="1131" t="s">
        <v>1484</v>
      </c>
      <c r="D37" s="1132"/>
      <c r="E37" s="1154">
        <v>1.5</v>
      </c>
      <c r="F37" s="1133" t="s">
        <v>1485</v>
      </c>
      <c r="G37" s="1134"/>
      <c r="H37" s="1105"/>
      <c r="I37" s="1105"/>
    </row>
    <row r="38" spans="1:9" s="1600" customFormat="1" ht="19.5" customHeight="1">
      <c r="A38" s="3404"/>
      <c r="B38" s="3404"/>
      <c r="C38" s="1131" t="s">
        <v>1486</v>
      </c>
      <c r="D38" s="1132"/>
      <c r="E38" s="1154">
        <v>1</v>
      </c>
      <c r="F38" s="1133" t="s">
        <v>1487</v>
      </c>
      <c r="G38" s="1134"/>
      <c r="H38" s="1105"/>
      <c r="I38" s="1105"/>
    </row>
    <row r="39" spans="1:9" s="1600" customFormat="1" ht="19.5" customHeight="1">
      <c r="A39" s="3404"/>
      <c r="B39" s="340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4" t="s">
        <v>1502</v>
      </c>
      <c r="C61" s="1068" t="s">
        <v>1503</v>
      </c>
      <c r="D61" s="1068" t="s">
        <v>1504</v>
      </c>
      <c r="E61" s="1139">
        <v>0.5</v>
      </c>
      <c r="F61" s="1154">
        <v>80</v>
      </c>
      <c r="H61" s="1105">
        <f>SUMIF(C59:C119,基准地价!C8,E59:E119)</f>
        <v>0</v>
      </c>
    </row>
    <row r="62" spans="1:8" s="1105" customFormat="1" ht="24">
      <c r="A62" s="1154">
        <v>2</v>
      </c>
      <c r="B62" s="3404"/>
      <c r="C62" s="1068" t="s">
        <v>1505</v>
      </c>
      <c r="D62" s="1068" t="s">
        <v>1506</v>
      </c>
      <c r="E62" s="1139">
        <v>0.5</v>
      </c>
      <c r="F62" s="1154">
        <v>80</v>
      </c>
    </row>
    <row r="63" spans="1:8" s="1105" customFormat="1" ht="36">
      <c r="A63" s="1154">
        <v>3</v>
      </c>
      <c r="B63" s="3404"/>
      <c r="C63" s="1068" t="s">
        <v>1507</v>
      </c>
      <c r="D63" s="1068" t="s">
        <v>1508</v>
      </c>
      <c r="E63" s="1139">
        <v>0.5</v>
      </c>
      <c r="F63" s="1154">
        <v>80</v>
      </c>
    </row>
    <row r="64" spans="1:8" s="1105" customFormat="1" ht="36">
      <c r="A64" s="1154">
        <v>4</v>
      </c>
      <c r="B64" s="3404"/>
      <c r="C64" s="1068" t="s">
        <v>1509</v>
      </c>
      <c r="D64" s="1068" t="s">
        <v>1510</v>
      </c>
      <c r="E64" s="1139">
        <v>0.4</v>
      </c>
      <c r="F64" s="1154">
        <v>60</v>
      </c>
    </row>
    <row r="65" spans="1:6" s="1105" customFormat="1" ht="36">
      <c r="A65" s="1154">
        <v>5</v>
      </c>
      <c r="B65" s="3404"/>
      <c r="C65" s="1068" t="s">
        <v>1511</v>
      </c>
      <c r="D65" s="1068" t="s">
        <v>1512</v>
      </c>
      <c r="E65" s="1139">
        <v>0.2</v>
      </c>
      <c r="F65" s="1154">
        <v>30</v>
      </c>
    </row>
    <row r="66" spans="1:6" s="1105" customFormat="1" ht="36">
      <c r="A66" s="1154">
        <v>6</v>
      </c>
      <c r="B66" s="3404"/>
      <c r="C66" s="1068" t="s">
        <v>1513</v>
      </c>
      <c r="D66" s="1068" t="s">
        <v>1514</v>
      </c>
      <c r="E66" s="1139">
        <v>0.3</v>
      </c>
      <c r="F66" s="1154">
        <v>50</v>
      </c>
    </row>
    <row r="67" spans="1:6" s="1105" customFormat="1" ht="36">
      <c r="A67" s="1154">
        <v>7</v>
      </c>
      <c r="B67" s="3404"/>
      <c r="C67" s="1068" t="s">
        <v>1515</v>
      </c>
      <c r="D67" s="1068" t="s">
        <v>1516</v>
      </c>
      <c r="E67" s="1139">
        <v>0.2</v>
      </c>
      <c r="F67" s="1154">
        <v>30</v>
      </c>
    </row>
    <row r="68" spans="1:6" s="1105" customFormat="1" ht="36">
      <c r="A68" s="1154">
        <v>8</v>
      </c>
      <c r="B68" s="3404"/>
      <c r="C68" s="1068" t="s">
        <v>1517</v>
      </c>
      <c r="D68" s="1068" t="s">
        <v>1518</v>
      </c>
      <c r="E68" s="1139">
        <v>0.2</v>
      </c>
      <c r="F68" s="1154">
        <v>30</v>
      </c>
    </row>
    <row r="69" spans="1:6" s="1105" customFormat="1" ht="36">
      <c r="A69" s="1154">
        <v>9</v>
      </c>
      <c r="B69" s="3404"/>
      <c r="C69" s="1068" t="s">
        <v>1519</v>
      </c>
      <c r="D69" s="1068" t="s">
        <v>1520</v>
      </c>
      <c r="E69" s="1139">
        <v>0.2</v>
      </c>
      <c r="F69" s="1154">
        <v>30</v>
      </c>
    </row>
    <row r="70" spans="1:6" s="1105" customFormat="1" ht="48">
      <c r="A70" s="1154">
        <v>10</v>
      </c>
      <c r="B70" s="3404"/>
      <c r="C70" s="1068" t="s">
        <v>1521</v>
      </c>
      <c r="D70" s="1068" t="s">
        <v>1522</v>
      </c>
      <c r="E70" s="1139">
        <v>0.2</v>
      </c>
      <c r="F70" s="1154">
        <v>30</v>
      </c>
    </row>
    <row r="71" spans="1:6" s="1105" customFormat="1" ht="48">
      <c r="A71" s="1154">
        <v>11</v>
      </c>
      <c r="B71" s="3404"/>
      <c r="C71" s="1068" t="s">
        <v>1523</v>
      </c>
      <c r="D71" s="1068" t="s">
        <v>1524</v>
      </c>
      <c r="E71" s="1139">
        <v>0.2</v>
      </c>
      <c r="F71" s="1154">
        <v>30</v>
      </c>
    </row>
    <row r="72" spans="1:6" s="1105" customFormat="1" ht="36">
      <c r="A72" s="1154">
        <v>12</v>
      </c>
      <c r="B72" s="3404"/>
      <c r="C72" s="1068" t="s">
        <v>1525</v>
      </c>
      <c r="D72" s="1068" t="s">
        <v>1526</v>
      </c>
      <c r="E72" s="1139">
        <v>0.5</v>
      </c>
      <c r="F72" s="1154">
        <v>80</v>
      </c>
    </row>
    <row r="73" spans="1:6" s="1105" customFormat="1" ht="24">
      <c r="A73" s="1154">
        <v>13</v>
      </c>
      <c r="B73" s="3404"/>
      <c r="C73" s="1068" t="s">
        <v>1527</v>
      </c>
      <c r="D73" s="1068" t="s">
        <v>1528</v>
      </c>
      <c r="E73" s="1139">
        <v>0.4</v>
      </c>
      <c r="F73" s="1154">
        <v>60</v>
      </c>
    </row>
    <row r="74" spans="1:6" s="1105" customFormat="1" ht="24">
      <c r="A74" s="1154">
        <v>14</v>
      </c>
      <c r="B74" s="3404"/>
      <c r="C74" s="1068" t="s">
        <v>1529</v>
      </c>
      <c r="D74" s="1068" t="s">
        <v>1530</v>
      </c>
      <c r="E74" s="1139">
        <v>0.2</v>
      </c>
      <c r="F74" s="1154">
        <v>30</v>
      </c>
    </row>
    <row r="75" spans="1:6" s="1105" customFormat="1" ht="24">
      <c r="A75" s="1154">
        <v>15</v>
      </c>
      <c r="B75" s="3404"/>
      <c r="C75" s="1068" t="s">
        <v>1531</v>
      </c>
      <c r="D75" s="1068" t="s">
        <v>1532</v>
      </c>
      <c r="E75" s="1139">
        <v>0.2</v>
      </c>
      <c r="F75" s="1154">
        <v>30</v>
      </c>
    </row>
    <row r="76" spans="1:6" s="1105" customFormat="1" ht="24">
      <c r="A76" s="1154">
        <v>16</v>
      </c>
      <c r="B76" s="3404" t="s">
        <v>1533</v>
      </c>
      <c r="C76" s="1068" t="s">
        <v>1534</v>
      </c>
      <c r="D76" s="1068" t="s">
        <v>1535</v>
      </c>
      <c r="E76" s="1139">
        <v>0.5</v>
      </c>
      <c r="F76" s="1154">
        <v>80</v>
      </c>
    </row>
    <row r="77" spans="1:6" s="1105" customFormat="1" ht="24">
      <c r="A77" s="1154">
        <v>17</v>
      </c>
      <c r="B77" s="3404"/>
      <c r="C77" s="1068" t="s">
        <v>1536</v>
      </c>
      <c r="D77" s="1068" t="s">
        <v>1537</v>
      </c>
      <c r="E77" s="1139">
        <v>0.5</v>
      </c>
      <c r="F77" s="1154">
        <v>80</v>
      </c>
    </row>
    <row r="78" spans="1:6" s="1105" customFormat="1" ht="24">
      <c r="A78" s="1154">
        <v>18</v>
      </c>
      <c r="B78" s="3404"/>
      <c r="C78" s="1068" t="s">
        <v>1538</v>
      </c>
      <c r="D78" s="1068" t="s">
        <v>1539</v>
      </c>
      <c r="E78" s="1139">
        <v>0.2</v>
      </c>
      <c r="F78" s="1154">
        <v>30</v>
      </c>
    </row>
    <row r="79" spans="1:6" s="1105" customFormat="1" ht="24">
      <c r="A79" s="1154">
        <v>19</v>
      </c>
      <c r="B79" s="3404"/>
      <c r="C79" s="1068" t="s">
        <v>1540</v>
      </c>
      <c r="D79" s="1068" t="s">
        <v>1541</v>
      </c>
      <c r="E79" s="1139">
        <v>0.5</v>
      </c>
      <c r="F79" s="1154">
        <v>80</v>
      </c>
    </row>
    <row r="80" spans="1:6" s="1105" customFormat="1" ht="36">
      <c r="A80" s="1154">
        <v>20</v>
      </c>
      <c r="B80" s="3404"/>
      <c r="C80" s="1068" t="s">
        <v>1542</v>
      </c>
      <c r="D80" s="1068" t="s">
        <v>1543</v>
      </c>
      <c r="E80" s="1139">
        <v>0.2</v>
      </c>
      <c r="F80" s="1154">
        <v>30</v>
      </c>
    </row>
    <row r="81" spans="1:6" s="1105" customFormat="1" ht="36">
      <c r="A81" s="1154">
        <v>21</v>
      </c>
      <c r="B81" s="3404"/>
      <c r="C81" s="1068" t="s">
        <v>1544</v>
      </c>
      <c r="D81" s="1068" t="s">
        <v>1545</v>
      </c>
      <c r="E81" s="1139">
        <v>0.2</v>
      </c>
      <c r="F81" s="1154">
        <v>30</v>
      </c>
    </row>
    <row r="82" spans="1:6" s="1105" customFormat="1" ht="48">
      <c r="A82" s="1154">
        <v>22</v>
      </c>
      <c r="B82" s="3404"/>
      <c r="C82" s="1068" t="s">
        <v>1546</v>
      </c>
      <c r="D82" s="1068" t="s">
        <v>1547</v>
      </c>
      <c r="E82" s="1139">
        <v>0.2</v>
      </c>
      <c r="F82" s="1154">
        <v>30</v>
      </c>
    </row>
    <row r="83" spans="1:6" s="1105" customFormat="1" ht="48">
      <c r="A83" s="1154">
        <v>23</v>
      </c>
      <c r="B83" s="3404"/>
      <c r="C83" s="1068" t="s">
        <v>1548</v>
      </c>
      <c r="D83" s="1068" t="s">
        <v>1549</v>
      </c>
      <c r="E83" s="1139">
        <v>0.2</v>
      </c>
      <c r="F83" s="1154">
        <v>30</v>
      </c>
    </row>
    <row r="84" spans="1:6" s="1105" customFormat="1" ht="36">
      <c r="A84" s="1154">
        <v>24</v>
      </c>
      <c r="B84" s="3404"/>
      <c r="C84" s="1068" t="s">
        <v>1550</v>
      </c>
      <c r="D84" s="1068" t="s">
        <v>1551</v>
      </c>
      <c r="E84" s="1139">
        <v>0.2</v>
      </c>
      <c r="F84" s="1154">
        <v>30</v>
      </c>
    </row>
    <row r="85" spans="1:6" s="1105" customFormat="1" ht="36">
      <c r="A85" s="1154">
        <v>25</v>
      </c>
      <c r="B85" s="3404"/>
      <c r="C85" s="1068" t="s">
        <v>1552</v>
      </c>
      <c r="D85" s="1068" t="s">
        <v>1553</v>
      </c>
      <c r="E85" s="1139">
        <v>0.5</v>
      </c>
      <c r="F85" s="1154">
        <v>80</v>
      </c>
    </row>
    <row r="86" spans="1:6" s="1105" customFormat="1" ht="36">
      <c r="A86" s="1154">
        <v>26</v>
      </c>
      <c r="B86" s="3404"/>
      <c r="C86" s="1068" t="s">
        <v>1554</v>
      </c>
      <c r="D86" s="1068" t="s">
        <v>1555</v>
      </c>
      <c r="E86" s="1139">
        <v>0.2</v>
      </c>
      <c r="F86" s="1154">
        <v>30</v>
      </c>
    </row>
    <row r="87" spans="1:6" s="1105" customFormat="1" ht="36">
      <c r="A87" s="1154">
        <v>27</v>
      </c>
      <c r="B87" s="3404"/>
      <c r="C87" s="1068" t="s">
        <v>1556</v>
      </c>
      <c r="D87" s="1068" t="s">
        <v>1557</v>
      </c>
      <c r="E87" s="1139">
        <v>0.2</v>
      </c>
      <c r="F87" s="1154">
        <v>30</v>
      </c>
    </row>
    <row r="88" spans="1:6" s="1105" customFormat="1" ht="36">
      <c r="A88" s="1154">
        <v>28</v>
      </c>
      <c r="B88" s="3404"/>
      <c r="C88" s="1068" t="s">
        <v>1558</v>
      </c>
      <c r="D88" s="1068" t="s">
        <v>1559</v>
      </c>
      <c r="E88" s="1139">
        <v>0.2</v>
      </c>
      <c r="F88" s="1154">
        <v>30</v>
      </c>
    </row>
    <row r="89" spans="1:6" s="1105" customFormat="1" ht="24">
      <c r="A89" s="1154">
        <v>29</v>
      </c>
      <c r="B89" s="3404"/>
      <c r="C89" s="1068" t="s">
        <v>1560</v>
      </c>
      <c r="D89" s="1068" t="s">
        <v>1561</v>
      </c>
      <c r="E89" s="1139">
        <v>0.2</v>
      </c>
      <c r="F89" s="1154">
        <v>30</v>
      </c>
    </row>
    <row r="90" spans="1:6" s="1105" customFormat="1" ht="24">
      <c r="A90" s="1154">
        <v>30</v>
      </c>
      <c r="B90" s="3404"/>
      <c r="C90" s="1068" t="s">
        <v>1562</v>
      </c>
      <c r="D90" s="1068" t="s">
        <v>1563</v>
      </c>
      <c r="E90" s="1139">
        <v>0.2</v>
      </c>
      <c r="F90" s="1154">
        <v>30</v>
      </c>
    </row>
    <row r="91" spans="1:6" s="1105" customFormat="1" ht="36">
      <c r="A91" s="1154">
        <v>31</v>
      </c>
      <c r="B91" s="3404"/>
      <c r="C91" s="1068" t="s">
        <v>1564</v>
      </c>
      <c r="D91" s="1068" t="s">
        <v>1565</v>
      </c>
      <c r="E91" s="1139">
        <v>0.2</v>
      </c>
      <c r="F91" s="1154">
        <v>30</v>
      </c>
    </row>
    <row r="92" spans="1:6" s="1105" customFormat="1" ht="24">
      <c r="A92" s="1154">
        <v>32</v>
      </c>
      <c r="B92" s="3404" t="s">
        <v>1566</v>
      </c>
      <c r="C92" s="1154" t="s">
        <v>1567</v>
      </c>
      <c r="D92" s="1068" t="s">
        <v>1568</v>
      </c>
      <c r="E92" s="1139">
        <v>0.2</v>
      </c>
      <c r="F92" s="1154">
        <v>30</v>
      </c>
    </row>
    <row r="93" spans="1:6" s="1105" customFormat="1" ht="36">
      <c r="A93" s="1154">
        <v>33</v>
      </c>
      <c r="B93" s="3404"/>
      <c r="C93" s="1154" t="s">
        <v>1569</v>
      </c>
      <c r="D93" s="1068" t="s">
        <v>1570</v>
      </c>
      <c r="E93" s="1139">
        <v>0.2</v>
      </c>
      <c r="F93" s="1154">
        <v>30</v>
      </c>
    </row>
    <row r="94" spans="1:6" s="1105" customFormat="1" ht="48">
      <c r="A94" s="1154">
        <v>34</v>
      </c>
      <c r="B94" s="3404"/>
      <c r="C94" s="1154" t="s">
        <v>1571</v>
      </c>
      <c r="D94" s="1068" t="s">
        <v>1572</v>
      </c>
      <c r="E94" s="1139">
        <v>0.2</v>
      </c>
      <c r="F94" s="1154">
        <v>30</v>
      </c>
    </row>
    <row r="95" spans="1:6" s="1105" customFormat="1" ht="36">
      <c r="A95" s="1154">
        <v>35</v>
      </c>
      <c r="B95" s="3404"/>
      <c r="C95" s="1154" t="s">
        <v>1573</v>
      </c>
      <c r="D95" s="1068" t="s">
        <v>1574</v>
      </c>
      <c r="E95" s="1139">
        <v>0.2</v>
      </c>
      <c r="F95" s="1154">
        <v>30</v>
      </c>
    </row>
    <row r="96" spans="1:6" s="1105" customFormat="1" ht="48">
      <c r="A96" s="1154">
        <v>36</v>
      </c>
      <c r="B96" s="3404"/>
      <c r="C96" s="1068" t="s">
        <v>1575</v>
      </c>
      <c r="D96" s="1068" t="s">
        <v>1576</v>
      </c>
      <c r="E96" s="1139">
        <v>0.2</v>
      </c>
      <c r="F96" s="1154">
        <v>30</v>
      </c>
    </row>
    <row r="97" spans="1:6" s="1105" customFormat="1" ht="36">
      <c r="A97" s="1154">
        <v>37</v>
      </c>
      <c r="B97" s="3404"/>
      <c r="C97" s="1154" t="s">
        <v>1577</v>
      </c>
      <c r="D97" s="1068" t="s">
        <v>1578</v>
      </c>
      <c r="E97" s="1139">
        <v>0.2</v>
      </c>
      <c r="F97" s="1154">
        <v>30</v>
      </c>
    </row>
    <row r="98" spans="1:6" s="1105" customFormat="1" ht="36">
      <c r="A98" s="1154">
        <v>38</v>
      </c>
      <c r="B98" s="3404"/>
      <c r="C98" s="1154" t="s">
        <v>1579</v>
      </c>
      <c r="D98" s="1068" t="s">
        <v>1580</v>
      </c>
      <c r="E98" s="1139">
        <v>0.2</v>
      </c>
      <c r="F98" s="1154">
        <v>30</v>
      </c>
    </row>
    <row r="99" spans="1:6" s="1105" customFormat="1" ht="36">
      <c r="A99" s="1154">
        <v>39</v>
      </c>
      <c r="B99" s="3404" t="s">
        <v>1581</v>
      </c>
      <c r="C99" s="1154" t="s">
        <v>1582</v>
      </c>
      <c r="D99" s="1068" t="s">
        <v>1583</v>
      </c>
      <c r="E99" s="1139">
        <v>0.3</v>
      </c>
      <c r="F99" s="1154">
        <v>50</v>
      </c>
    </row>
    <row r="100" spans="1:6" s="1105" customFormat="1" ht="24">
      <c r="A100" s="1154">
        <v>40</v>
      </c>
      <c r="B100" s="3404"/>
      <c r="C100" s="1154" t="s">
        <v>1584</v>
      </c>
      <c r="D100" s="1068" t="s">
        <v>1585</v>
      </c>
      <c r="E100" s="1139">
        <v>0.2</v>
      </c>
      <c r="F100" s="1154">
        <v>30</v>
      </c>
    </row>
    <row r="101" spans="1:6" s="1105" customFormat="1" ht="36">
      <c r="A101" s="1154">
        <v>41</v>
      </c>
      <c r="B101" s="340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4" t="s">
        <v>1596</v>
      </c>
      <c r="C105" s="1154" t="s">
        <v>1597</v>
      </c>
      <c r="D105" s="1068" t="s">
        <v>1598</v>
      </c>
      <c r="E105" s="1139">
        <v>0.2</v>
      </c>
      <c r="F105" s="1154">
        <v>30</v>
      </c>
    </row>
    <row r="106" spans="1:6" s="1105" customFormat="1" ht="36">
      <c r="A106" s="1154">
        <v>46</v>
      </c>
      <c r="B106" s="3404"/>
      <c r="C106" s="1154" t="s">
        <v>1599</v>
      </c>
      <c r="D106" s="1068" t="s">
        <v>1600</v>
      </c>
      <c r="E106" s="1139">
        <v>0.2</v>
      </c>
      <c r="F106" s="1154">
        <v>30</v>
      </c>
    </row>
    <row r="107" spans="1:6" s="1105" customFormat="1" ht="36">
      <c r="A107" s="1154">
        <v>47</v>
      </c>
      <c r="B107" s="3404" t="s">
        <v>1601</v>
      </c>
      <c r="C107" s="1154" t="s">
        <v>1602</v>
      </c>
      <c r="D107" s="1068" t="s">
        <v>1603</v>
      </c>
      <c r="E107" s="1139">
        <v>0.3</v>
      </c>
      <c r="F107" s="1154">
        <v>50</v>
      </c>
    </row>
    <row r="108" spans="1:6" s="1105" customFormat="1" ht="36">
      <c r="A108" s="1154">
        <v>48</v>
      </c>
      <c r="B108" s="340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4" t="s">
        <v>1612</v>
      </c>
      <c r="C111" s="1154" t="s">
        <v>1613</v>
      </c>
      <c r="D111" s="1068" t="s">
        <v>1614</v>
      </c>
      <c r="E111" s="1139">
        <v>0.2</v>
      </c>
      <c r="F111" s="1154">
        <v>30</v>
      </c>
    </row>
    <row r="112" spans="1:6" s="1105" customFormat="1" ht="24">
      <c r="A112" s="1154">
        <v>52</v>
      </c>
      <c r="B112" s="3404"/>
      <c r="C112" s="1154" t="s">
        <v>1615</v>
      </c>
      <c r="D112" s="1068" t="s">
        <v>1616</v>
      </c>
      <c r="E112" s="1139">
        <v>0.2</v>
      </c>
      <c r="F112" s="1154">
        <v>30</v>
      </c>
    </row>
    <row r="113" spans="1:14" s="1105" customFormat="1" ht="24">
      <c r="A113" s="1154">
        <v>53</v>
      </c>
      <c r="B113" s="340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4" t="s">
        <v>1625</v>
      </c>
      <c r="C116" s="1154" t="s">
        <v>1626</v>
      </c>
      <c r="D116" s="1068" t="s">
        <v>1627</v>
      </c>
      <c r="E116" s="1139">
        <v>0.2</v>
      </c>
      <c r="F116" s="1154">
        <v>30</v>
      </c>
    </row>
    <row r="117" spans="1:14" ht="36">
      <c r="A117" s="1154">
        <v>57</v>
      </c>
      <c r="B117" s="340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3" t="s">
        <v>1634</v>
      </c>
      <c r="B121" s="3403"/>
      <c r="C121" s="3403"/>
      <c r="D121" s="3403"/>
      <c r="E121" s="3403"/>
      <c r="F121" s="3403"/>
      <c r="G121" s="3403"/>
      <c r="H121" s="3403"/>
      <c r="I121" s="3403"/>
      <c r="J121" s="340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6" t="s">
        <v>1040</v>
      </c>
      <c r="B1" s="3416"/>
      <c r="C1" s="3416"/>
      <c r="D1" s="3416"/>
      <c r="E1" s="3416"/>
      <c r="F1" s="341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7" t="s">
        <v>1053</v>
      </c>
      <c r="B2" s="3417"/>
      <c r="C2" s="3417"/>
      <c r="D2" s="3417"/>
      <c r="E2" s="3417"/>
      <c r="F2" s="341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460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0" t="s">
        <v>2081</v>
      </c>
      <c r="B1" s="3420"/>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2951</v>
      </c>
      <c r="B1" s="3108"/>
      <c r="C1" s="3108"/>
      <c r="D1" s="3108"/>
      <c r="E1" s="3108"/>
      <c r="F1" s="3108"/>
    </row>
    <row r="2" spans="1:6" ht="14.25">
      <c r="A2" s="3109" t="s">
        <v>2946</v>
      </c>
      <c r="B2" s="3110">
        <f ca="1">SUMIF(B7:B14,"&lt;&gt;#ref!",B7:B14)</f>
        <v>3853</v>
      </c>
      <c r="C2" s="3109" t="s">
        <v>2947</v>
      </c>
      <c r="D2" s="3108"/>
      <c r="E2" s="3108"/>
      <c r="F2" s="3108"/>
    </row>
    <row r="3" spans="1:6" ht="14.25">
      <c r="A3" s="3109" t="s">
        <v>2980</v>
      </c>
      <c r="B3" s="3110">
        <f ca="1">ROUND(B2*10000/E3,0)</f>
        <v>578</v>
      </c>
      <c r="C3" s="3109" t="s">
        <v>2080</v>
      </c>
      <c r="D3" s="3109" t="s">
        <v>2948</v>
      </c>
      <c r="E3" s="3110">
        <f ca="1">SUMIF(E7:E14,"&lt;&gt;#ref!",E7:E14)</f>
        <v>66660.070000000007</v>
      </c>
      <c r="F3" s="3108"/>
    </row>
    <row r="4" spans="1:6" ht="14.25">
      <c r="A4" s="3109" t="s">
        <v>2955</v>
      </c>
      <c r="B4" s="3110">
        <f ca="1">ROUND(B2*10000/E4,0)</f>
        <v>578</v>
      </c>
      <c r="C4" s="3109" t="s">
        <v>2080</v>
      </c>
      <c r="D4" s="3109" t="s">
        <v>2956</v>
      </c>
      <c r="E4" s="3110">
        <f ca="1">SUMIF(F7:F14,"&lt;&gt;#ref!",F7:F14)</f>
        <v>66660.070000000007</v>
      </c>
      <c r="F4" s="3108"/>
    </row>
    <row r="5" spans="1:6" ht="14.25">
      <c r="A5" s="3111"/>
      <c r="B5" s="1883"/>
      <c r="C5" s="1883"/>
      <c r="D5" s="1883"/>
      <c r="E5" s="1883"/>
      <c r="F5" s="3108"/>
    </row>
    <row r="6" spans="1:6" ht="28.5">
      <c r="A6" s="3112" t="s">
        <v>2952</v>
      </c>
      <c r="B6" s="3109" t="s">
        <v>2949</v>
      </c>
      <c r="C6" s="3110"/>
      <c r="D6" s="1883"/>
      <c r="E6" s="3109" t="s">
        <v>2950</v>
      </c>
      <c r="F6" s="3109" t="s">
        <v>2954</v>
      </c>
    </row>
    <row r="7" spans="1:6" ht="14.25">
      <c r="A7" s="260" t="s">
        <v>2953</v>
      </c>
      <c r="B7" s="3113">
        <f ca="1">SUMIF(INDIRECT("'"&amp;A7&amp;"'"&amp;"!A:A"),"总价",INDIRECT("'"&amp;A7&amp;"'"&amp;"!B:B"))</f>
        <v>3853</v>
      </c>
      <c r="C7" s="3109" t="s">
        <v>2947</v>
      </c>
      <c r="D7" s="1883"/>
      <c r="E7" s="3114">
        <f ca="1">SUMIF(INDIRECT("'"&amp;A7&amp;"'"&amp;"!C:C"),"建筑面积",INDIRECT("'"&amp;A7&amp;"'"&amp;"!D:D"))</f>
        <v>66660.070000000007</v>
      </c>
      <c r="F7" s="3114">
        <f ca="1">SUMIF(INDIRECT("'"&amp;A7&amp;"'"&amp;"!E:E"),"土地面积",INDIRECT("'"&amp;A7&amp;"'"&amp;"!F:F"))</f>
        <v>66660.070000000007</v>
      </c>
    </row>
    <row r="8" spans="1:6" ht="14.25">
      <c r="A8" s="260"/>
      <c r="B8" s="3113" t="e">
        <f t="shared" ref="B8:B14" ca="1" si="0">SUMIF(INDIRECT("'"&amp;A8&amp;"'"&amp;"!A:A"),"总价",INDIRECT("'"&amp;A8&amp;"'"&amp;"!B:B"))</f>
        <v>#REF!</v>
      </c>
      <c r="C8" s="3109" t="s">
        <v>2947</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2947</v>
      </c>
      <c r="D9" s="1883"/>
      <c r="E9" s="3114" t="e">
        <f t="shared" ca="1" si="1"/>
        <v>#REF!</v>
      </c>
      <c r="F9" s="3114" t="e">
        <f t="shared" ca="1" si="2"/>
        <v>#REF!</v>
      </c>
    </row>
    <row r="10" spans="1:6" ht="14.25">
      <c r="A10" s="260"/>
      <c r="B10" s="3113" t="e">
        <f t="shared" ca="1" si="0"/>
        <v>#REF!</v>
      </c>
      <c r="C10" s="3109" t="s">
        <v>2947</v>
      </c>
      <c r="D10" s="1883"/>
      <c r="E10" s="3114" t="e">
        <f t="shared" ca="1" si="1"/>
        <v>#REF!</v>
      </c>
      <c r="F10" s="3114" t="e">
        <f t="shared" ca="1" si="2"/>
        <v>#REF!</v>
      </c>
    </row>
    <row r="11" spans="1:6" ht="14.25">
      <c r="A11" s="260"/>
      <c r="B11" s="3113" t="e">
        <f t="shared" ca="1" si="0"/>
        <v>#REF!</v>
      </c>
      <c r="C11" s="3109" t="s">
        <v>2947</v>
      </c>
      <c r="D11" s="1883"/>
      <c r="E11" s="3114" t="e">
        <f t="shared" ca="1" si="1"/>
        <v>#REF!</v>
      </c>
      <c r="F11" s="3114" t="e">
        <f t="shared" ca="1" si="2"/>
        <v>#REF!</v>
      </c>
    </row>
    <row r="12" spans="1:6" ht="14.25">
      <c r="A12" s="260"/>
      <c r="B12" s="3113" t="e">
        <f t="shared" ca="1" si="0"/>
        <v>#REF!</v>
      </c>
      <c r="C12" s="3109" t="s">
        <v>2947</v>
      </c>
      <c r="D12" s="1883"/>
      <c r="E12" s="3114" t="e">
        <f t="shared" ca="1" si="1"/>
        <v>#REF!</v>
      </c>
      <c r="F12" s="3114" t="e">
        <f t="shared" ca="1" si="2"/>
        <v>#REF!</v>
      </c>
    </row>
    <row r="13" spans="1:6" ht="14.25">
      <c r="A13" s="260"/>
      <c r="B13" s="3113" t="e">
        <f t="shared" ca="1" si="0"/>
        <v>#REF!</v>
      </c>
      <c r="C13" s="3109" t="s">
        <v>2947</v>
      </c>
      <c r="D13" s="1883"/>
      <c r="E13" s="3114" t="e">
        <f t="shared" ca="1" si="1"/>
        <v>#REF!</v>
      </c>
      <c r="F13" s="3114" t="e">
        <f t="shared" ca="1" si="2"/>
        <v>#REF!</v>
      </c>
    </row>
    <row r="14" spans="1:6" ht="14.25">
      <c r="A14" s="3107"/>
      <c r="B14" s="3113" t="e">
        <f t="shared" ca="1" si="0"/>
        <v>#REF!</v>
      </c>
      <c r="C14" s="3109" t="s">
        <v>2947</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9" sqref="C129:F13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22" t="s">
        <v>2465</v>
      </c>
      <c r="C8" s="1827">
        <f ca="1">ROUND(F8*F10*F9*(1-F11)/10000,0)</f>
        <v>0</v>
      </c>
      <c r="D8" s="1824" t="s">
        <v>2536</v>
      </c>
      <c r="E8" s="61" t="s">
        <v>637</v>
      </c>
      <c r="F8" s="785">
        <f ca="1">INDIRECT("'数据-取费表'!u"&amp;$G$1)</f>
        <v>0</v>
      </c>
      <c r="G8" s="1593"/>
      <c r="H8" s="2506" t="s">
        <v>1825</v>
      </c>
      <c r="I8" s="3422" t="s">
        <v>2465</v>
      </c>
      <c r="J8" s="783">
        <f ca="1">ROUND(M8*M10*M9*(1-M11)/10000,0)</f>
        <v>0</v>
      </c>
      <c r="K8" s="341" t="s">
        <v>2536</v>
      </c>
      <c r="L8" s="784" t="s">
        <v>1739</v>
      </c>
      <c r="M8" s="785">
        <f ca="1">INDIRECT("'数据-取费表'!z"&amp;$G$1)</f>
        <v>0</v>
      </c>
    </row>
    <row r="9" spans="1:25" ht="18" customHeight="1">
      <c r="A9" s="2502"/>
      <c r="B9" s="3423"/>
      <c r="C9" s="1828"/>
      <c r="D9" s="1825"/>
      <c r="E9" s="61" t="s">
        <v>638</v>
      </c>
      <c r="F9" s="785">
        <f ca="1">IF(INDIRECT("'数据-取费表'!ah"&amp;$G$1)="",INDIRECT("'数据-取费表'!k"&amp;$G$1),INDIRECT("'数据-取费表'!ah"&amp;$G$1))</f>
        <v>0</v>
      </c>
      <c r="G9" s="1593"/>
      <c r="H9" s="2491"/>
      <c r="I9" s="3423"/>
      <c r="J9" s="788"/>
      <c r="K9" s="789"/>
      <c r="L9" s="784" t="s">
        <v>1740</v>
      </c>
      <c r="M9" s="785">
        <f ca="1">F9</f>
        <v>0</v>
      </c>
    </row>
    <row r="10" spans="1:25" ht="18" customHeight="1">
      <c r="A10" s="2495"/>
      <c r="B10" s="3424"/>
      <c r="C10" s="1828"/>
      <c r="D10" s="1825"/>
      <c r="E10" s="61" t="s">
        <v>639</v>
      </c>
      <c r="F10" s="785">
        <f ca="1">INDIRECT("'数据-取费表'!ai"&amp;$G$1)</f>
        <v>0</v>
      </c>
      <c r="G10" s="1593"/>
      <c r="H10" s="2491"/>
      <c r="I10" s="3424"/>
      <c r="J10" s="788"/>
      <c r="K10" s="789"/>
      <c r="L10" s="784" t="s">
        <v>1741</v>
      </c>
      <c r="M10" s="785">
        <f ca="1">INDIRECT("'数据-取费表'!ai"&amp;$G$1)</f>
        <v>0</v>
      </c>
    </row>
    <row r="11" spans="1:25" ht="18" customHeight="1">
      <c r="A11" s="786"/>
      <c r="B11" s="3425"/>
      <c r="C11" s="1828"/>
      <c r="D11" s="1825"/>
      <c r="E11" s="61" t="s">
        <v>640</v>
      </c>
      <c r="F11" s="794">
        <f ca="1">INDIRECT("'数据-取费表'!w"&amp;$G$1)</f>
        <v>0</v>
      </c>
      <c r="G11" s="1593"/>
      <c r="H11" s="2507"/>
      <c r="I11" s="3424"/>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2976</v>
      </c>
      <c r="E12" s="2500" t="s">
        <v>2466</v>
      </c>
      <c r="F12" s="2623"/>
      <c r="G12" s="1593"/>
      <c r="H12" s="2563" t="s">
        <v>1826</v>
      </c>
      <c r="I12" s="2568" t="s">
        <v>2461</v>
      </c>
      <c r="J12" s="783">
        <f ca="1">ROUND(IF(M12="押一",J8/12*M13,IF(M12="押二",J8/12*2*M13,IF(M12="押三",J8/12*3*M13,J13*M13))),0)</f>
        <v>0</v>
      </c>
      <c r="K12" s="2503" t="s">
        <v>2976</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2823</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2824</v>
      </c>
      <c r="C31" s="2546">
        <f ca="1">ROUND((C21+C22+C25+C28)/(1-F23-C26-C29-C30),0)</f>
        <v>0</v>
      </c>
      <c r="D31" s="2547"/>
      <c r="E31" s="2548"/>
      <c r="F31" s="2549"/>
      <c r="G31" s="1594"/>
      <c r="H31" s="823" t="s">
        <v>1873</v>
      </c>
      <c r="I31" s="3014" t="s">
        <v>2825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21"/>
      <c r="J36" s="2081"/>
      <c r="K36" s="2082"/>
      <c r="L36" s="2081"/>
      <c r="M36" s="2081"/>
    </row>
    <row r="37" spans="1:18" ht="18" customHeight="1">
      <c r="A37" s="815"/>
      <c r="B37" s="793"/>
      <c r="C37" s="69"/>
      <c r="D37" s="816"/>
      <c r="E37" s="784" t="s">
        <v>674</v>
      </c>
      <c r="F37" s="785">
        <f ca="1">INDIRECT("'数据-取费表'!r"&amp;$G$1)</f>
        <v>0</v>
      </c>
      <c r="G37" s="2064"/>
      <c r="H37" s="2067"/>
      <c r="I37" s="342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2964</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3" t="str">
        <f ca="1">IF(M48="住宅",0,IF(L49&gt;J52,L61,J61))</f>
        <v>0</v>
      </c>
      <c r="O47" s="2396" t="s">
        <v>2412</v>
      </c>
      <c r="P47" s="1593"/>
      <c r="Q47" s="1605"/>
      <c r="R47" s="1593"/>
    </row>
    <row r="48" spans="1:18" s="2061" customFormat="1" ht="18" customHeight="1" thickBot="1">
      <c r="A48" s="2086"/>
      <c r="C48" s="2089"/>
      <c r="D48" s="2090"/>
      <c r="E48" s="2090"/>
      <c r="F48" s="2091"/>
      <c r="G48" s="2092"/>
      <c r="I48" s="3153" t="s">
        <v>2346</v>
      </c>
      <c r="J48" s="2383"/>
      <c r="K48" s="3160" t="s">
        <v>2351</v>
      </c>
      <c r="L48" s="3164">
        <f ca="1">INDIRECT("'数据-取费表'!d"&amp;$G$1)</f>
        <v>0</v>
      </c>
      <c r="M48" s="3124"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9" t="s">
        <v>2347</v>
      </c>
      <c r="J49" s="2384"/>
      <c r="K49" s="3161"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9" t="s">
        <v>2348</v>
      </c>
      <c r="J50" s="2385"/>
      <c r="K50" s="3162"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9" t="s">
        <v>2349</v>
      </c>
      <c r="J51" s="3157">
        <f>SUMPRODUCT((I64:I66=J48)*(J63:L63=J49)*(J64:L66))</f>
        <v>0</v>
      </c>
      <c r="K51" s="3162" t="s">
        <v>2355</v>
      </c>
      <c r="L51" s="2386"/>
      <c r="O51" s="2403" t="s">
        <v>2385</v>
      </c>
      <c r="P51" s="2401" t="s">
        <v>2409</v>
      </c>
      <c r="Q51" s="2402">
        <f ca="1">C31</f>
        <v>0</v>
      </c>
      <c r="R51" s="2401" t="s">
        <v>2382</v>
      </c>
    </row>
    <row r="52" spans="1:18" s="2061" customFormat="1" ht="18" customHeight="1" thickBot="1">
      <c r="A52" s="2098"/>
      <c r="F52" s="2087"/>
      <c r="I52" s="3154" t="s">
        <v>2350</v>
      </c>
      <c r="J52" s="3158">
        <f>IF(J50="",J51,J50+J51-YEAR('数据-取费表'!B3))</f>
        <v>0</v>
      </c>
      <c r="K52" s="3129" t="s">
        <v>2356</v>
      </c>
      <c r="L52" s="3165">
        <f ca="1">ROUND(-PV(INDIRECT("'数据-取费表'!h"&amp;$G$1),L49,(C40-C14*J36),0),0)</f>
        <v>0</v>
      </c>
      <c r="O52" s="2403" t="s">
        <v>2386</v>
      </c>
      <c r="P52" s="2401" t="s">
        <v>2387</v>
      </c>
      <c r="Q52" s="2404" t="e">
        <f ca="1">J59</f>
        <v>#VALUE!</v>
      </c>
      <c r="R52" s="2405"/>
    </row>
    <row r="53" spans="1:18" s="2061" customFormat="1" ht="18" customHeight="1" thickBot="1">
      <c r="A53" s="2098"/>
      <c r="F53" s="2087"/>
      <c r="I53" s="3155" t="s">
        <v>2423</v>
      </c>
      <c r="J53" s="2387"/>
      <c r="K53" s="3155" t="s">
        <v>2422</v>
      </c>
      <c r="L53" s="2387"/>
      <c r="O53" s="2403" t="s">
        <v>2388</v>
      </c>
      <c r="P53" s="2401" t="s">
        <v>2389</v>
      </c>
      <c r="Q53" s="2404">
        <f>J53</f>
        <v>0</v>
      </c>
      <c r="R53" s="2405"/>
    </row>
    <row r="54" spans="1:18" s="2061" customFormat="1" ht="29.25" thickBot="1">
      <c r="A54" s="2098"/>
      <c r="I54" s="3156" t="s">
        <v>2981</v>
      </c>
      <c r="J54" s="3159">
        <f ca="1">IF(M48="住宅",MAX(J52,L49-'数据-取费表'!B20),MIN(J52,L49-'数据-取费表'!B20))</f>
        <v>-2</v>
      </c>
      <c r="K54" s="3426"/>
      <c r="L54" s="3427"/>
      <c r="O54" s="2403" t="s">
        <v>2390</v>
      </c>
      <c r="P54" s="2401" t="s">
        <v>2391</v>
      </c>
      <c r="Q54" s="2402">
        <f ca="1">J54</f>
        <v>-2</v>
      </c>
      <c r="R54" s="2401" t="s">
        <v>2392</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2393</v>
      </c>
      <c r="P55" s="2401" t="s">
        <v>2410</v>
      </c>
      <c r="Q55" s="2402">
        <f ca="1">Q49+Q50</f>
        <v>0</v>
      </c>
      <c r="R55" s="2405" t="s">
        <v>2394</v>
      </c>
    </row>
    <row r="56" spans="1:18" s="2061" customFormat="1" ht="16.5" thickBot="1">
      <c r="A56" s="2098"/>
      <c r="B56" s="2099"/>
      <c r="C56" s="2099"/>
      <c r="I56" s="3168" t="s">
        <v>2357</v>
      </c>
      <c r="J56" s="3104" t="e">
        <f ca="1">ROUND(IF(J48="钢混",J58/J51,1-(1-2%)*(J51-J58)/J51),3)</f>
        <v>#VALUE!</v>
      </c>
      <c r="K56" s="3169" t="s">
        <v>2358</v>
      </c>
      <c r="L56" s="2388"/>
      <c r="O56" s="2406" t="s">
        <v>2413</v>
      </c>
      <c r="P56" s="1593"/>
      <c r="Q56" s="1605"/>
      <c r="R56" s="1593"/>
    </row>
    <row r="57" spans="1:18" s="2061" customFormat="1" ht="43.5" thickBot="1">
      <c r="A57" s="2098"/>
      <c r="B57" s="2099"/>
      <c r="C57" s="2099"/>
      <c r="I57" s="3170" t="s">
        <v>2359</v>
      </c>
      <c r="J57" s="3180" t="s">
        <v>1679</v>
      </c>
      <c r="K57" s="3129" t="s">
        <v>2364</v>
      </c>
      <c r="L57" s="1910">
        <f ca="1">IF(L49&lt;J52,"——",L49-J52)</f>
        <v>0</v>
      </c>
      <c r="O57" s="2397" t="s">
        <v>2377</v>
      </c>
      <c r="P57" s="2398" t="s">
        <v>2378</v>
      </c>
      <c r="Q57" s="2399" t="s">
        <v>2379</v>
      </c>
      <c r="R57" s="2398" t="s">
        <v>2380</v>
      </c>
    </row>
    <row r="58" spans="1:18" s="2061" customFormat="1" ht="29.25" thickBot="1">
      <c r="A58" s="2098"/>
      <c r="B58" s="2099"/>
      <c r="C58" s="2099"/>
      <c r="I58" s="3171" t="s">
        <v>2360</v>
      </c>
      <c r="J58" s="3172" t="str">
        <f ca="1">IF(OR(M48="住宅",J52&lt;L49,J57="是"),"——",J52-L49)</f>
        <v>——</v>
      </c>
      <c r="K58" s="3129"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1" t="s">
        <v>2361</v>
      </c>
      <c r="J59" s="3105" t="e">
        <f ca="1">IF(J56&lt;0.4,0.4,J56)</f>
        <v>#VALUE!</v>
      </c>
      <c r="K59" s="3129"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1" t="s">
        <v>2362</v>
      </c>
      <c r="J60" s="3172" t="str">
        <f ca="1">IF(OR(M48="住宅",J52&lt;L49,J57="是"),"——",ROUND(C30*J59,0))</f>
        <v>——</v>
      </c>
      <c r="K60" s="3129"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3" t="s">
        <v>2363</v>
      </c>
      <c r="J61" s="3174" t="str">
        <f ca="1">IF(OR(M48="住宅",J52&lt;L49,J57="是"),"0",ROUND(J60/(1+J53)^J54,0))</f>
        <v>0</v>
      </c>
      <c r="K61" s="3175" t="s">
        <v>2368</v>
      </c>
      <c r="L61" s="3174"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6" t="s">
        <v>2369</v>
      </c>
      <c r="J63" s="3177" t="s">
        <v>2370</v>
      </c>
      <c r="K63" s="3177" t="s">
        <v>2371</v>
      </c>
      <c r="L63" s="3177" t="s">
        <v>2352</v>
      </c>
      <c r="M63" s="3178" t="s">
        <v>2944</v>
      </c>
      <c r="O63" s="2403" t="s">
        <v>2390</v>
      </c>
      <c r="P63" s="2401" t="s">
        <v>2398</v>
      </c>
      <c r="Q63" s="2402">
        <f ca="1">L60</f>
        <v>0</v>
      </c>
      <c r="R63" s="2405" t="s">
        <v>2399</v>
      </c>
    </row>
    <row r="64" spans="1:18" s="2061" customFormat="1" ht="15.75" thickBot="1">
      <c r="A64" s="2098"/>
      <c r="B64" s="2099"/>
      <c r="C64" s="2099"/>
      <c r="I64" s="3176" t="s">
        <v>2372</v>
      </c>
      <c r="J64" s="3177">
        <v>70</v>
      </c>
      <c r="K64" s="3177">
        <v>50</v>
      </c>
      <c r="L64" s="3177">
        <v>80</v>
      </c>
      <c r="M64" s="3179">
        <v>0.02</v>
      </c>
      <c r="O64" s="2400" t="s">
        <v>2393</v>
      </c>
      <c r="P64" s="2401" t="s">
        <v>2410</v>
      </c>
      <c r="Q64" s="2402" t="e">
        <f ca="1">Q58+Q59</f>
        <v>#DIV/0!</v>
      </c>
      <c r="R64" s="2405" t="s">
        <v>2394</v>
      </c>
    </row>
    <row r="65" spans="1:18" s="2061" customFormat="1" ht="16.5" thickBot="1">
      <c r="A65" s="2098"/>
      <c r="B65" s="2099"/>
      <c r="C65" s="2099"/>
      <c r="I65" s="3176" t="s">
        <v>2373</v>
      </c>
      <c r="J65" s="3177">
        <v>50</v>
      </c>
      <c r="K65" s="3177">
        <v>35</v>
      </c>
      <c r="L65" s="3177">
        <v>60</v>
      </c>
      <c r="M65" s="846">
        <v>0</v>
      </c>
      <c r="O65" s="2406" t="s">
        <v>2417</v>
      </c>
      <c r="P65" s="1593"/>
      <c r="Q65" s="1605"/>
      <c r="R65" s="1593"/>
    </row>
    <row r="66" spans="1:18" s="2061" customFormat="1" ht="15.75" thickBot="1">
      <c r="A66" s="2098"/>
      <c r="B66" s="2099"/>
      <c r="C66" s="2099"/>
      <c r="I66" s="3176" t="s">
        <v>2374</v>
      </c>
      <c r="J66" s="3177">
        <v>40</v>
      </c>
      <c r="K66" s="3177">
        <v>30</v>
      </c>
      <c r="L66" s="3177">
        <v>50</v>
      </c>
      <c r="M66" s="3179">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129" sqref="C129:F13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30" t="s">
        <v>2578</v>
      </c>
      <c r="C1" s="3430"/>
      <c r="D1" s="3430"/>
      <c r="E1" s="3430"/>
      <c r="F1" s="3430"/>
      <c r="G1" s="3429" t="s">
        <v>2579</v>
      </c>
      <c r="H1" s="3429"/>
      <c r="I1" s="3429"/>
      <c r="J1" s="3429"/>
      <c r="K1" s="3429"/>
      <c r="L1" s="3429"/>
      <c r="N1" s="3429" t="s">
        <v>2580</v>
      </c>
      <c r="O1" s="3429"/>
      <c r="P1" s="3429"/>
      <c r="Q1" s="3429"/>
      <c r="R1" s="2656"/>
      <c r="S1" s="3429" t="s">
        <v>2581</v>
      </c>
      <c r="T1" s="3429"/>
      <c r="U1" s="3429"/>
      <c r="V1" s="3429"/>
      <c r="X1" s="3428" t="s">
        <v>2641</v>
      </c>
      <c r="Y1" s="3429"/>
      <c r="Z1" s="3429"/>
      <c r="AA1" s="3429"/>
      <c r="AB1" s="3429"/>
      <c r="AD1" s="3428" t="s">
        <v>2645</v>
      </c>
      <c r="AE1" s="3429"/>
      <c r="AF1" s="3429"/>
      <c r="AG1" s="3429"/>
      <c r="AH1" s="3429"/>
    </row>
    <row r="2" spans="1:34" s="2758" customFormat="1" ht="14.25" thickBot="1">
      <c r="B2" s="2766" t="s">
        <v>2582</v>
      </c>
      <c r="C2" s="2766" t="s">
        <v>2643</v>
      </c>
      <c r="D2" s="2759" t="s">
        <v>1645</v>
      </c>
      <c r="E2" s="2759" t="s">
        <v>1952</v>
      </c>
      <c r="F2" s="2766" t="s">
        <v>2644</v>
      </c>
      <c r="G2" s="2762"/>
      <c r="H2" s="2761"/>
      <c r="I2" s="2766" t="s">
        <v>2958</v>
      </c>
      <c r="J2" s="2759" t="s">
        <v>2960</v>
      </c>
      <c r="K2" s="2759" t="s">
        <v>2961</v>
      </c>
      <c r="L2" s="2766" t="s">
        <v>2962</v>
      </c>
      <c r="N2" s="2766" t="s">
        <v>2582</v>
      </c>
      <c r="O2" s="2759" t="s">
        <v>2959</v>
      </c>
      <c r="P2" s="2759" t="s">
        <v>1952</v>
      </c>
      <c r="Q2" s="2766" t="s">
        <v>2644</v>
      </c>
      <c r="R2" s="2760"/>
      <c r="S2" s="2766" t="s">
        <v>2582</v>
      </c>
      <c r="T2" s="2759" t="s">
        <v>2959</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7" customFormat="1" ht="14.25">
      <c r="A3" s="3149" t="s">
        <v>2971</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2984</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2972</v>
      </c>
      <c r="X5" s="3121">
        <f>ROUND(SUMPRODUCT(PRODUCT(1+N5:N$23)),4)</f>
        <v>1.4956</v>
      </c>
      <c r="Y5" s="3121">
        <f>ROUND(SUMPRODUCT(PRODUCT(1+O5:O$23)),4)</f>
        <v>1.3237000000000001</v>
      </c>
      <c r="Z5" s="3121">
        <f t="shared" ref="Z5" si="10">Y5</f>
        <v>1.3237000000000001</v>
      </c>
      <c r="AA5" s="3121">
        <f>ROUND(SUMPRODUCT(PRODUCT(1+P5:P$23)),4)</f>
        <v>1.554</v>
      </c>
      <c r="AB5" s="3121">
        <f>ROUND(SUMPRODUCT(PRODUCT(1+Q5:Q$23)),4)</f>
        <v>1.3087</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2982</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2983</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2978</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2969</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2973</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2583</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2584</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37">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32"/>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32"/>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33"/>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31">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32"/>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32"/>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33"/>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31">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32"/>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32"/>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33"/>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2642</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2585</v>
      </c>
      <c r="B25" s="2663">
        <v>299</v>
      </c>
      <c r="C25" s="2663">
        <v>252</v>
      </c>
      <c r="D25" s="2663">
        <f t="shared" si="55"/>
        <v>252</v>
      </c>
      <c r="E25" s="2663">
        <v>409</v>
      </c>
      <c r="F25" s="2664">
        <v>227</v>
      </c>
      <c r="G25" s="3434">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35"/>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2587</v>
      </c>
      <c r="B27" s="2671">
        <f t="shared" si="64"/>
        <v>288.2649053828776</v>
      </c>
      <c r="C27" s="2671">
        <f t="shared" si="64"/>
        <v>243.64564425013293</v>
      </c>
      <c r="D27" s="2671">
        <f t="shared" si="55"/>
        <v>243.64564425013293</v>
      </c>
      <c r="E27" s="2671">
        <f t="shared" si="65"/>
        <v>393.31080825986544</v>
      </c>
      <c r="F27" s="2671">
        <f t="shared" si="65"/>
        <v>223.07903790551154</v>
      </c>
      <c r="G27" s="3435"/>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2588</v>
      </c>
      <c r="B28" s="2671">
        <f t="shared" si="64"/>
        <v>282.50186729015837</v>
      </c>
      <c r="C28" s="2671">
        <f t="shared" si="64"/>
        <v>238.09796174155468</v>
      </c>
      <c r="D28" s="2671">
        <f t="shared" si="55"/>
        <v>238.09796174155468</v>
      </c>
      <c r="E28" s="2671">
        <f t="shared" si="65"/>
        <v>385.33438646014054</v>
      </c>
      <c r="F28" s="2671">
        <f t="shared" si="65"/>
        <v>221.55034055567739</v>
      </c>
      <c r="G28" s="3436"/>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2589</v>
      </c>
      <c r="B29" s="2701">
        <v>278</v>
      </c>
      <c r="C29" s="2701">
        <v>234</v>
      </c>
      <c r="D29" s="2701">
        <f t="shared" si="55"/>
        <v>234</v>
      </c>
      <c r="E29" s="2701">
        <v>379</v>
      </c>
      <c r="F29" s="2702">
        <v>220</v>
      </c>
      <c r="G29" s="3431">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2590</v>
      </c>
      <c r="B30" s="2671">
        <f>B29/(1+N29)</f>
        <v>275.49301357645425</v>
      </c>
      <c r="C30" s="2671">
        <f>C29/(1+O29)</f>
        <v>232.41954707985698</v>
      </c>
      <c r="D30" s="2671">
        <f t="shared" si="55"/>
        <v>232.41954707985698</v>
      </c>
      <c r="E30" s="2671">
        <f t="shared" ref="E30:F32" si="66">E29/(1+P29)</f>
        <v>375.32184591008121</v>
      </c>
      <c r="F30" s="2671">
        <f t="shared" si="66"/>
        <v>218.03766105054513</v>
      </c>
      <c r="G30" s="3432"/>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2591</v>
      </c>
      <c r="B31" s="2671">
        <f>B30/(1+N30)</f>
        <v>275.24529281292263</v>
      </c>
      <c r="C31" s="2671">
        <f>C30/(1+O30)</f>
        <v>231.74747938962707</v>
      </c>
      <c r="D31" s="2671">
        <f t="shared" si="55"/>
        <v>231.74747938962707</v>
      </c>
      <c r="E31" s="2671">
        <f t="shared" si="66"/>
        <v>375.35938184826603</v>
      </c>
      <c r="F31" s="2671">
        <f t="shared" si="66"/>
        <v>216.78033510692495</v>
      </c>
      <c r="G31" s="3432"/>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2592</v>
      </c>
      <c r="B32" s="2671">
        <f>B31/(1+N31)</f>
        <v>275.19025476197027</v>
      </c>
      <c r="C32" s="2703">
        <v>232</v>
      </c>
      <c r="D32" s="2703">
        <f t="shared" si="55"/>
        <v>232</v>
      </c>
      <c r="E32" s="2671">
        <f t="shared" si="66"/>
        <v>375.65990977608692</v>
      </c>
      <c r="F32" s="2671">
        <f t="shared" si="66"/>
        <v>214.12518283971252</v>
      </c>
      <c r="G32" s="3433"/>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2593</v>
      </c>
      <c r="B33" s="2663">
        <v>275</v>
      </c>
      <c r="C33" s="2663">
        <v>232</v>
      </c>
      <c r="D33" s="2663">
        <f t="shared" si="55"/>
        <v>232</v>
      </c>
      <c r="E33" s="2663">
        <v>376</v>
      </c>
      <c r="F33" s="2664">
        <v>213</v>
      </c>
      <c r="G33" s="3431">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32">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2595</v>
      </c>
      <c r="B35" s="2671">
        <f t="shared" si="67"/>
        <v>275.19335084830601</v>
      </c>
      <c r="C35" s="2671">
        <f t="shared" si="67"/>
        <v>230.18088050139744</v>
      </c>
      <c r="D35" s="2671">
        <f t="shared" si="55"/>
        <v>230.18088050139744</v>
      </c>
      <c r="E35" s="2671">
        <f t="shared" si="68"/>
        <v>377.58482925212331</v>
      </c>
      <c r="F35" s="2671">
        <f t="shared" si="68"/>
        <v>210.90687997847917</v>
      </c>
      <c r="G35" s="3432">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2596</v>
      </c>
      <c r="B36" s="2671">
        <f t="shared" si="67"/>
        <v>276.29854502841971</v>
      </c>
      <c r="C36" s="2671">
        <f t="shared" si="67"/>
        <v>229.79023709833027</v>
      </c>
      <c r="D36" s="2671">
        <f t="shared" si="55"/>
        <v>229.79023709833027</v>
      </c>
      <c r="E36" s="2671">
        <f t="shared" si="68"/>
        <v>379.78759731655936</v>
      </c>
      <c r="F36" s="2671">
        <f t="shared" si="68"/>
        <v>211.32953905659235</v>
      </c>
      <c r="G36" s="3433">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2597</v>
      </c>
      <c r="B37" s="2663">
        <v>269</v>
      </c>
      <c r="C37" s="2663">
        <v>221</v>
      </c>
      <c r="D37" s="2663">
        <f t="shared" si="55"/>
        <v>221</v>
      </c>
      <c r="E37" s="2663">
        <v>373</v>
      </c>
      <c r="F37" s="2664">
        <v>196</v>
      </c>
      <c r="G37" s="3431">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32">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2599</v>
      </c>
      <c r="B39" s="2671">
        <f t="shared" si="69"/>
        <v>242.95398227588385</v>
      </c>
      <c r="C39" s="2671">
        <f t="shared" si="69"/>
        <v>199.59137053614126</v>
      </c>
      <c r="D39" s="2671">
        <f t="shared" si="55"/>
        <v>199.59137053614126</v>
      </c>
      <c r="E39" s="2671">
        <f t="shared" si="70"/>
        <v>335.92189522342125</v>
      </c>
      <c r="F39" s="2671">
        <f t="shared" si="70"/>
        <v>183.10139991109489</v>
      </c>
      <c r="G39" s="3432">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2600</v>
      </c>
      <c r="B40" s="2671">
        <f t="shared" si="69"/>
        <v>232.06990378821649</v>
      </c>
      <c r="C40" s="2671">
        <f t="shared" si="69"/>
        <v>192.74878854286936</v>
      </c>
      <c r="D40" s="2671">
        <f t="shared" si="55"/>
        <v>192.74878854286936</v>
      </c>
      <c r="E40" s="2671">
        <f t="shared" si="70"/>
        <v>319.71247284992984</v>
      </c>
      <c r="F40" s="2671">
        <f t="shared" si="70"/>
        <v>175.67053622862409</v>
      </c>
      <c r="G40" s="3433">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2601</v>
      </c>
      <c r="B41" s="2663">
        <v>220</v>
      </c>
      <c r="C41" s="2663">
        <v>187</v>
      </c>
      <c r="D41" s="2663">
        <f t="shared" si="55"/>
        <v>187</v>
      </c>
      <c r="E41" s="2663">
        <v>301</v>
      </c>
      <c r="F41" s="2664">
        <v>168</v>
      </c>
      <c r="G41" s="3431">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32">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2603</v>
      </c>
      <c r="B43" s="2671">
        <f t="shared" si="71"/>
        <v>210.630522469011</v>
      </c>
      <c r="C43" s="2671">
        <f t="shared" si="71"/>
        <v>181.69567812247232</v>
      </c>
      <c r="D43" s="2671">
        <f t="shared" si="55"/>
        <v>181.69567812247232</v>
      </c>
      <c r="E43" s="2671">
        <f t="shared" si="72"/>
        <v>286.13517466736738</v>
      </c>
      <c r="F43" s="2671">
        <f t="shared" si="72"/>
        <v>165.47535084591149</v>
      </c>
      <c r="G43" s="3432">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2604</v>
      </c>
      <c r="B44" s="2671">
        <f t="shared" si="71"/>
        <v>208.83454537875372</v>
      </c>
      <c r="C44" s="2671">
        <f t="shared" si="71"/>
        <v>183.77230517090351</v>
      </c>
      <c r="D44" s="2671">
        <f t="shared" si="55"/>
        <v>183.77230517090351</v>
      </c>
      <c r="E44" s="2671">
        <f t="shared" si="72"/>
        <v>281.10342338870947</v>
      </c>
      <c r="F44" s="2671">
        <f t="shared" si="72"/>
        <v>168.97309388942256</v>
      </c>
      <c r="G44" s="3433">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2605</v>
      </c>
      <c r="B45" s="2701">
        <v>214</v>
      </c>
      <c r="C45" s="2701">
        <v>188</v>
      </c>
      <c r="D45" s="2701">
        <f t="shared" si="55"/>
        <v>188</v>
      </c>
      <c r="E45" s="2701">
        <v>289</v>
      </c>
      <c r="F45" s="2702">
        <v>166</v>
      </c>
      <c r="G45" s="3431">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32">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2607</v>
      </c>
      <c r="B47" s="2671">
        <f t="shared" si="73"/>
        <v>206.31694671589116</v>
      </c>
      <c r="C47" s="2671">
        <f t="shared" si="73"/>
        <v>183.61041121036101</v>
      </c>
      <c r="D47" s="2671">
        <f t="shared" si="55"/>
        <v>183.61041121036101</v>
      </c>
      <c r="E47" s="2671">
        <f t="shared" si="74"/>
        <v>276.66850301795557</v>
      </c>
      <c r="F47" s="2671">
        <f t="shared" si="74"/>
        <v>165.1360938278614</v>
      </c>
      <c r="G47" s="3432">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2608</v>
      </c>
      <c r="B48" s="2704">
        <f t="shared" si="73"/>
        <v>196.62341248059772</v>
      </c>
      <c r="C48" s="2704">
        <f t="shared" si="73"/>
        <v>170.99125648199012</v>
      </c>
      <c r="D48" s="2704">
        <f t="shared" si="55"/>
        <v>170.99125648199012</v>
      </c>
      <c r="E48" s="2704">
        <f t="shared" si="74"/>
        <v>266.07857570490052</v>
      </c>
      <c r="F48" s="2704">
        <f t="shared" si="74"/>
        <v>154.53499328828505</v>
      </c>
      <c r="G48" s="3433">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2609</v>
      </c>
      <c r="B49" s="2663">
        <v>188</v>
      </c>
      <c r="C49" s="2663">
        <v>165</v>
      </c>
      <c r="D49" s="2663">
        <f t="shared" si="55"/>
        <v>165</v>
      </c>
      <c r="E49" s="2663">
        <v>254</v>
      </c>
      <c r="F49" s="2664">
        <v>148</v>
      </c>
      <c r="G49" s="3431">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32">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2611</v>
      </c>
      <c r="B51" s="2671">
        <f t="shared" si="77"/>
        <v>168.82017748715555</v>
      </c>
      <c r="C51" s="2671">
        <f t="shared" si="77"/>
        <v>148.06267029972753</v>
      </c>
      <c r="D51" s="2671">
        <f t="shared" si="55"/>
        <v>148.06267029972753</v>
      </c>
      <c r="E51" s="2671">
        <f t="shared" si="78"/>
        <v>216.46288379323747</v>
      </c>
      <c r="F51" s="2671">
        <f t="shared" si="78"/>
        <v>134.23529411764704</v>
      </c>
      <c r="G51" s="3432">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2612</v>
      </c>
      <c r="B52" s="2671">
        <f t="shared" si="77"/>
        <v>163.84913591779542</v>
      </c>
      <c r="C52" s="2671">
        <f t="shared" si="77"/>
        <v>145.0283378746594</v>
      </c>
      <c r="D52" s="2671">
        <f t="shared" si="55"/>
        <v>145.0283378746594</v>
      </c>
      <c r="E52" s="2671">
        <f t="shared" si="78"/>
        <v>204.95180722891567</v>
      </c>
      <c r="F52" s="2671">
        <f t="shared" si="78"/>
        <v>125.95920303605313</v>
      </c>
      <c r="G52" s="3433">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2613</v>
      </c>
      <c r="B53" s="2685">
        <v>159</v>
      </c>
      <c r="C53" s="2685">
        <v>141</v>
      </c>
      <c r="D53" s="2685">
        <f t="shared" si="55"/>
        <v>141</v>
      </c>
      <c r="E53" s="2685">
        <v>195</v>
      </c>
      <c r="F53" s="2686">
        <v>122</v>
      </c>
      <c r="G53" s="3431">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32">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2615</v>
      </c>
      <c r="B55" s="2671">
        <f t="shared" si="81"/>
        <v>146.57412060301507</v>
      </c>
      <c r="C55" s="2671">
        <f t="shared" si="81"/>
        <v>136.46831955922866</v>
      </c>
      <c r="D55" s="2671">
        <f t="shared" si="55"/>
        <v>136.46831955922866</v>
      </c>
      <c r="E55" s="2671">
        <f t="shared" si="82"/>
        <v>166.73864894795128</v>
      </c>
      <c r="F55" s="2671">
        <f t="shared" si="82"/>
        <v>115.05882352941177</v>
      </c>
      <c r="G55" s="3432">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2616</v>
      </c>
      <c r="B56" s="2671">
        <f t="shared" si="81"/>
        <v>144.04145728643215</v>
      </c>
      <c r="C56" s="2671">
        <f t="shared" si="81"/>
        <v>136.12396694214877</v>
      </c>
      <c r="D56" s="2671">
        <f t="shared" si="55"/>
        <v>136.12396694214877</v>
      </c>
      <c r="E56" s="2671">
        <f t="shared" si="82"/>
        <v>158.32225913621264</v>
      </c>
      <c r="F56" s="2671">
        <f t="shared" si="82"/>
        <v>114.04278074866311</v>
      </c>
      <c r="G56" s="3433">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2617</v>
      </c>
      <c r="B57" s="2685">
        <v>138</v>
      </c>
      <c r="C57" s="2685">
        <v>131</v>
      </c>
      <c r="D57" s="2685">
        <f t="shared" si="55"/>
        <v>131</v>
      </c>
      <c r="E57" s="2685">
        <v>155</v>
      </c>
      <c r="F57" s="2686">
        <v>114</v>
      </c>
      <c r="G57" s="3431">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32">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2619</v>
      </c>
      <c r="B59" s="2671">
        <f t="shared" si="85"/>
        <v>124.29032258064517</v>
      </c>
      <c r="C59" s="2671">
        <f t="shared" si="85"/>
        <v>123.8968609865471</v>
      </c>
      <c r="D59" s="2671">
        <f t="shared" si="55"/>
        <v>123.8968609865471</v>
      </c>
      <c r="E59" s="2671">
        <f t="shared" si="86"/>
        <v>138.00507614213197</v>
      </c>
      <c r="F59" s="2671">
        <f t="shared" si="86"/>
        <v>107.96106557377048</v>
      </c>
      <c r="G59" s="3432">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2620</v>
      </c>
      <c r="B60" s="2671">
        <f t="shared" si="85"/>
        <v>122.57204301075269</v>
      </c>
      <c r="C60" s="2671">
        <f t="shared" si="85"/>
        <v>123.4932735426009</v>
      </c>
      <c r="D60" s="2671">
        <f t="shared" si="55"/>
        <v>123.4932735426009</v>
      </c>
      <c r="E60" s="2671">
        <f t="shared" si="86"/>
        <v>129.82233502538071</v>
      </c>
      <c r="F60" s="2671">
        <f t="shared" si="86"/>
        <v>107.39446721311475</v>
      </c>
      <c r="G60" s="3433">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2621</v>
      </c>
      <c r="B61" s="2701">
        <v>121</v>
      </c>
      <c r="C61" s="2701">
        <v>122</v>
      </c>
      <c r="D61" s="2701">
        <f t="shared" si="55"/>
        <v>122</v>
      </c>
      <c r="E61" s="2701">
        <v>124</v>
      </c>
      <c r="F61" s="2702">
        <v>107</v>
      </c>
      <c r="G61" s="3431">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32">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2623</v>
      </c>
      <c r="B63" s="2671">
        <f t="shared" si="89"/>
        <v>116.99099099099099</v>
      </c>
      <c r="C63" s="2671">
        <f t="shared" si="89"/>
        <v>118.84848484848486</v>
      </c>
      <c r="D63" s="2671">
        <f t="shared" si="55"/>
        <v>118.84848484848486</v>
      </c>
      <c r="E63" s="2671">
        <f t="shared" si="90"/>
        <v>117.60960960960961</v>
      </c>
      <c r="F63" s="2671">
        <f t="shared" si="90"/>
        <v>104</v>
      </c>
      <c r="G63" s="3432">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2624</v>
      </c>
      <c r="B64" s="2704">
        <f t="shared" si="89"/>
        <v>112.48648648648648</v>
      </c>
      <c r="C64" s="2704">
        <f t="shared" si="89"/>
        <v>115.21212121212122</v>
      </c>
      <c r="D64" s="2704">
        <f t="shared" si="55"/>
        <v>115.21212121212122</v>
      </c>
      <c r="E64" s="2704">
        <f t="shared" si="90"/>
        <v>110.4024024024024</v>
      </c>
      <c r="F64" s="2704">
        <f t="shared" si="90"/>
        <v>104</v>
      </c>
      <c r="G64" s="3433">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2625</v>
      </c>
      <c r="B65" s="2722">
        <v>111</v>
      </c>
      <c r="C65" s="2722">
        <v>114</v>
      </c>
      <c r="D65" s="2722">
        <f t="shared" si="55"/>
        <v>114</v>
      </c>
      <c r="E65" s="2722">
        <v>108</v>
      </c>
      <c r="F65" s="2723">
        <v>104</v>
      </c>
      <c r="G65" s="3431">
        <v>2003</v>
      </c>
      <c r="H65" s="2712">
        <v>4</v>
      </c>
      <c r="I65" s="2724"/>
      <c r="J65" s="2724"/>
      <c r="K65" s="2724"/>
      <c r="L65" s="2724"/>
      <c r="N65" s="2725"/>
      <c r="O65" s="2724"/>
      <c r="P65" s="2724"/>
      <c r="Q65" s="2724"/>
      <c r="S65" s="2725"/>
      <c r="T65" s="2724"/>
      <c r="U65" s="2724"/>
      <c r="V65" s="2724"/>
      <c r="X65" s="2716"/>
      <c r="Y65" s="2716"/>
      <c r="Z65" s="2716"/>
    </row>
    <row r="66" spans="1:26">
      <c r="A66" s="2657" t="s">
        <v>2626</v>
      </c>
      <c r="B66" s="2726">
        <f t="shared" ref="B66:C68" si="91">B67+(B$65-B$69)/4</f>
        <v>109.75</v>
      </c>
      <c r="C66" s="2726">
        <f t="shared" si="91"/>
        <v>112.25</v>
      </c>
      <c r="D66" s="2726">
        <f t="shared" si="55"/>
        <v>112.25</v>
      </c>
      <c r="E66" s="2726">
        <f t="shared" ref="E66:F68" si="92">E67+(E$65-E$69)/4</f>
        <v>107.25</v>
      </c>
      <c r="F66" s="2726">
        <f t="shared" si="92"/>
        <v>103.5</v>
      </c>
      <c r="G66" s="3432">
        <v>2003</v>
      </c>
      <c r="H66" s="2682">
        <v>3</v>
      </c>
      <c r="I66" s="2724"/>
      <c r="J66" s="2724"/>
      <c r="K66" s="2724"/>
      <c r="L66" s="2724"/>
      <c r="X66" s="2716"/>
      <c r="Y66" s="2716"/>
      <c r="Z66" s="2716"/>
    </row>
    <row r="67" spans="1:26">
      <c r="A67" s="2657" t="s">
        <v>2627</v>
      </c>
      <c r="B67" s="2726">
        <f t="shared" si="91"/>
        <v>108.5</v>
      </c>
      <c r="C67" s="2726">
        <f t="shared" si="91"/>
        <v>110.5</v>
      </c>
      <c r="D67" s="2726">
        <f t="shared" si="55"/>
        <v>110.5</v>
      </c>
      <c r="E67" s="2726">
        <f t="shared" si="92"/>
        <v>106.5</v>
      </c>
      <c r="F67" s="2726">
        <f t="shared" si="92"/>
        <v>103</v>
      </c>
      <c r="G67" s="3432">
        <v>2003</v>
      </c>
      <c r="H67" s="2662">
        <v>2</v>
      </c>
      <c r="I67" s="2724"/>
      <c r="J67" s="2724"/>
      <c r="K67" s="2724"/>
      <c r="L67" s="2724"/>
      <c r="X67" s="2716"/>
      <c r="Y67" s="2716"/>
      <c r="Z67" s="2716"/>
    </row>
    <row r="68" spans="1:26" ht="13.5" thickBot="1">
      <c r="A68" s="2657" t="s">
        <v>2628</v>
      </c>
      <c r="B68" s="2726">
        <f t="shared" si="91"/>
        <v>107.25</v>
      </c>
      <c r="C68" s="2726">
        <f t="shared" si="91"/>
        <v>108.75</v>
      </c>
      <c r="D68" s="2726">
        <f t="shared" si="55"/>
        <v>108.75</v>
      </c>
      <c r="E68" s="2726">
        <f t="shared" si="92"/>
        <v>105.75</v>
      </c>
      <c r="F68" s="2726">
        <f t="shared" si="92"/>
        <v>102.5</v>
      </c>
      <c r="G68" s="3433">
        <v>2003</v>
      </c>
      <c r="H68" s="2727">
        <v>1</v>
      </c>
      <c r="I68" s="2724"/>
      <c r="J68" s="2724"/>
      <c r="K68" s="2724"/>
      <c r="L68" s="2724"/>
      <c r="S68" s="2666"/>
      <c r="T68" s="2667"/>
      <c r="U68" s="2667"/>
      <c r="X68" s="2716"/>
      <c r="Y68" s="2716"/>
      <c r="Z68" s="2716"/>
    </row>
    <row r="69" spans="1:26" ht="13.5" thickBot="1">
      <c r="A69" s="2657" t="s">
        <v>2629</v>
      </c>
      <c r="B69" s="2728">
        <v>106</v>
      </c>
      <c r="C69" s="2728">
        <v>107</v>
      </c>
      <c r="D69" s="2728">
        <f t="shared" si="55"/>
        <v>107</v>
      </c>
      <c r="E69" s="2728">
        <v>105</v>
      </c>
      <c r="F69" s="2729">
        <v>102</v>
      </c>
      <c r="G69" s="3431">
        <v>2002</v>
      </c>
      <c r="H69" s="2677">
        <v>4</v>
      </c>
      <c r="I69" s="2724"/>
      <c r="J69" s="2724"/>
      <c r="K69" s="2724"/>
      <c r="L69" s="2724"/>
      <c r="N69" s="2725"/>
      <c r="O69" s="2724"/>
      <c r="P69" s="2724"/>
      <c r="Q69" s="2724"/>
      <c r="S69" s="2725"/>
      <c r="T69" s="2724"/>
      <c r="U69" s="2724"/>
      <c r="V69" s="2724"/>
      <c r="X69" s="2716"/>
      <c r="Y69" s="2716"/>
      <c r="Z69" s="2716"/>
    </row>
    <row r="70" spans="1:26">
      <c r="A70" s="2657" t="s">
        <v>2630</v>
      </c>
      <c r="B70" s="2726">
        <f t="shared" ref="B70:C72" si="93">B71+(B$69-B$73)/4</f>
        <v>105</v>
      </c>
      <c r="C70" s="2726">
        <f t="shared" si="93"/>
        <v>106</v>
      </c>
      <c r="D70" s="2726">
        <f t="shared" si="55"/>
        <v>106</v>
      </c>
      <c r="E70" s="2726">
        <f t="shared" ref="E70:F72" si="94">E71+(E$69-E$73)/4</f>
        <v>104.5</v>
      </c>
      <c r="F70" s="2726">
        <f t="shared" si="94"/>
        <v>101.5</v>
      </c>
      <c r="G70" s="3432">
        <v>2002</v>
      </c>
      <c r="H70" s="2682">
        <v>3</v>
      </c>
      <c r="I70" s="2724"/>
      <c r="J70" s="2724"/>
      <c r="K70" s="2724"/>
      <c r="L70" s="2724"/>
      <c r="X70" s="2716"/>
      <c r="Y70" s="2716"/>
      <c r="Z70" s="2716"/>
    </row>
    <row r="71" spans="1:26">
      <c r="A71" s="2657" t="s">
        <v>2631</v>
      </c>
      <c r="B71" s="2726">
        <f t="shared" si="93"/>
        <v>104</v>
      </c>
      <c r="C71" s="2726">
        <f t="shared" si="93"/>
        <v>105</v>
      </c>
      <c r="D71" s="2726">
        <f t="shared" si="55"/>
        <v>105</v>
      </c>
      <c r="E71" s="2726">
        <f t="shared" si="94"/>
        <v>104</v>
      </c>
      <c r="F71" s="2726">
        <f t="shared" si="94"/>
        <v>101</v>
      </c>
      <c r="G71" s="3432">
        <v>2002</v>
      </c>
      <c r="H71" s="2662">
        <v>2</v>
      </c>
      <c r="I71" s="2724"/>
      <c r="J71" s="2724"/>
      <c r="K71" s="2724"/>
      <c r="L71" s="2724"/>
      <c r="X71" s="2716"/>
      <c r="Y71" s="2716"/>
      <c r="Z71" s="2716"/>
    </row>
    <row r="72" spans="1:26" s="2693" customFormat="1" ht="13.5" thickBot="1">
      <c r="A72" s="2689" t="s">
        <v>2632</v>
      </c>
      <c r="B72" s="2730">
        <f t="shared" si="93"/>
        <v>103</v>
      </c>
      <c r="C72" s="2730">
        <f t="shared" si="93"/>
        <v>104</v>
      </c>
      <c r="D72" s="2730">
        <f t="shared" si="55"/>
        <v>104</v>
      </c>
      <c r="E72" s="2730">
        <f t="shared" si="94"/>
        <v>103.5</v>
      </c>
      <c r="F72" s="2730">
        <f t="shared" si="94"/>
        <v>100.5</v>
      </c>
      <c r="G72" s="3433">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2633</v>
      </c>
      <c r="G75" s="2740"/>
      <c r="N75" s="2740"/>
      <c r="S75" s="2740"/>
    </row>
    <row r="76" spans="1:26" s="2739" customFormat="1">
      <c r="A76" s="2739" t="s">
        <v>2634</v>
      </c>
      <c r="G76" s="2740"/>
      <c r="N76" s="2740"/>
      <c r="S76" s="2740"/>
    </row>
    <row r="77" spans="1:26" s="2739" customFormat="1">
      <c r="A77" s="2739" t="s">
        <v>2635</v>
      </c>
      <c r="G77" s="2740"/>
      <c r="I77" s="2741"/>
      <c r="J77" s="2741"/>
      <c r="K77" s="2741"/>
      <c r="L77" s="2741"/>
      <c r="N77" s="2742"/>
      <c r="O77" s="2741"/>
      <c r="P77" s="2741"/>
      <c r="Q77" s="2741"/>
      <c r="S77" s="2742"/>
      <c r="T77" s="2741"/>
      <c r="U77" s="2741"/>
      <c r="V77" s="2741"/>
    </row>
    <row r="78" spans="1:26" s="2739" customFormat="1">
      <c r="A78" s="2739" t="s">
        <v>2636</v>
      </c>
      <c r="G78" s="2740"/>
      <c r="N78" s="2740"/>
      <c r="S78" s="2740"/>
    </row>
    <row r="85" spans="7:22" ht="13.5" thickBot="1"/>
    <row r="86" spans="7:22">
      <c r="G86" s="2665"/>
      <c r="S86" s="2743" t="s">
        <v>2637</v>
      </c>
      <c r="T86" s="2744" t="s">
        <v>2638</v>
      </c>
      <c r="U86" s="2744" t="s">
        <v>2639</v>
      </c>
      <c r="V86" s="2744" t="s">
        <v>2640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估价对象为使用的、位于北京市出让国有建设用地使用权。根据，估价对象（分摊）出让国有建设用地使用权面积为66660.07平方米。根据，估价对象规划建筑面积为66660.07平方米。</v>
      </c>
    </row>
    <row r="7" spans="1:4" ht="56.25">
      <c r="A7" s="1797" t="s">
        <v>2749</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2018年10月11日（评估专业人员勘察现场之日）</v>
      </c>
    </row>
    <row r="12" spans="1:4" ht="18.75">
      <c r="A12" s="1799" t="s">
        <v>2027</v>
      </c>
    </row>
    <row r="13" spans="1:4" ht="18.75">
      <c r="A13" s="1793" t="s">
        <v>2943</v>
      </c>
    </row>
    <row r="14" spans="1:4" ht="18.75">
      <c r="A14" s="1793" t="str">
        <f>"根据"&amp;项目基本情况!F12&amp;"，本次评估估价对象证载（地类）用途为"&amp;项目基本情况!B12&amp;"。"</f>
        <v>根据，本次评估估价对象证载（地类）用途为。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根据，估价对象（分摊）出让国有建设用地使用权面积为66660.07平方米。根据，估价对象规划建筑面积为66660.07平方米。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本次估价对象为出让国有建设用地使用权，依据、，土地终止日期为工业2057年6月30日。截至估价期日，出让国有建设用地使用权剩余土地使用年限为。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11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C129" sqref="C129:F1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2376</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0</v>
      </c>
      <c r="D5" s="2498" t="s">
        <v>2463</v>
      </c>
      <c r="E5" s="2492"/>
      <c r="F5" s="2493"/>
      <c r="G5" s="1593"/>
      <c r="H5" s="781">
        <v>1</v>
      </c>
      <c r="I5" s="782" t="s">
        <v>2460</v>
      </c>
      <c r="J5" s="55">
        <f ca="1">J6+J10+J12</f>
        <v>0</v>
      </c>
      <c r="K5" s="2498" t="s">
        <v>2463</v>
      </c>
      <c r="L5" s="2492"/>
      <c r="M5" s="2493"/>
    </row>
    <row r="6" spans="1:33" ht="18" customHeight="1">
      <c r="A6" s="1832" t="s">
        <v>1825</v>
      </c>
      <c r="B6" s="3422" t="s">
        <v>2465</v>
      </c>
      <c r="C6" s="783">
        <f ca="1">ROUND(F6*F8*F7*(1-F9)/10000,0)</f>
        <v>0</v>
      </c>
      <c r="D6" s="2499" t="s">
        <v>2464</v>
      </c>
      <c r="E6" s="784" t="s">
        <v>1739</v>
      </c>
      <c r="F6" s="785">
        <f ca="1">INDIRECT("'数据-取费表'!u"&amp;$G$1)</f>
        <v>0</v>
      </c>
      <c r="G6" s="1593"/>
      <c r="H6" s="2506" t="s">
        <v>2470</v>
      </c>
      <c r="I6" s="3422" t="s">
        <v>2465</v>
      </c>
      <c r="J6" s="783">
        <f ca="1">ROUND(M6*M8*M7*(1-M9)/10000,0)</f>
        <v>0</v>
      </c>
      <c r="K6" s="341" t="s">
        <v>1738</v>
      </c>
      <c r="L6" s="784" t="s">
        <v>1739</v>
      </c>
      <c r="M6" s="785">
        <f ca="1">INDIRECT("'数据-取费表'!z"&amp;$G$1)</f>
        <v>0</v>
      </c>
    </row>
    <row r="7" spans="1:33" ht="18" customHeight="1">
      <c r="A7" s="2502"/>
      <c r="B7" s="3423"/>
      <c r="C7" s="788"/>
      <c r="D7" s="789"/>
      <c r="E7" s="784" t="s">
        <v>1740</v>
      </c>
      <c r="F7" s="785">
        <f ca="1">IF(INDIRECT("'数据-取费表'!ah"&amp;$G$1)="",INDIRECT("'数据-取费表'!k"&amp;$G$1),INDIRECT("'数据-取费表'!ah"&amp;$G$1))</f>
        <v>0</v>
      </c>
      <c r="G7" s="1593"/>
      <c r="H7" s="2491"/>
      <c r="I7" s="3423"/>
      <c r="J7" s="788"/>
      <c r="K7" s="789"/>
      <c r="L7" s="784" t="s">
        <v>1740</v>
      </c>
      <c r="M7" s="785">
        <f ca="1">F7</f>
        <v>0</v>
      </c>
    </row>
    <row r="8" spans="1:33" ht="18" customHeight="1">
      <c r="A8" s="2495"/>
      <c r="B8" s="3424"/>
      <c r="C8" s="788"/>
      <c r="D8" s="789"/>
      <c r="E8" s="784" t="s">
        <v>1741</v>
      </c>
      <c r="F8" s="785">
        <f ca="1">INDIRECT("'数据-取费表'!ai"&amp;$G$1)</f>
        <v>0</v>
      </c>
      <c r="G8" s="1593"/>
      <c r="H8" s="2491"/>
      <c r="I8" s="3424"/>
      <c r="J8" s="788"/>
      <c r="K8" s="789"/>
      <c r="L8" s="784" t="s">
        <v>1741</v>
      </c>
      <c r="M8" s="785">
        <f ca="1">INDIRECT("'数据-取费表'!ai"&amp;$G$1)</f>
        <v>0</v>
      </c>
    </row>
    <row r="9" spans="1:33" ht="18" customHeight="1">
      <c r="A9" s="786"/>
      <c r="B9" s="3425"/>
      <c r="C9" s="788"/>
      <c r="D9" s="789"/>
      <c r="E9" s="784" t="s">
        <v>1742</v>
      </c>
      <c r="F9" s="794">
        <f ca="1">INDIRECT("'数据-取费表'!w"&amp;$G$1)</f>
        <v>0</v>
      </c>
      <c r="G9" s="1593"/>
      <c r="H9" s="2507"/>
      <c r="I9" s="3424"/>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2976</v>
      </c>
      <c r="E10" s="2500" t="s">
        <v>2466</v>
      </c>
      <c r="F10" s="2623"/>
      <c r="G10" s="1593"/>
      <c r="H10" s="2563" t="s">
        <v>2471</v>
      </c>
      <c r="I10" s="2568" t="s">
        <v>2461</v>
      </c>
      <c r="J10" s="783">
        <f ca="1">ROUND(IF(M10="押一",J6/12*M11,IF(M10="押二",J6/12*2*M11,IF(M10="押三",J6/12*3*M11,J11*M11))),0)</f>
        <v>0</v>
      </c>
      <c r="K10" s="2503" t="s">
        <v>2976</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0</v>
      </c>
      <c r="D13" s="1836" t="s">
        <v>2299</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2827</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2537</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2823</v>
      </c>
      <c r="J25" s="792">
        <f ca="1">J5-J16</f>
        <v>0</v>
      </c>
      <c r="K25" s="2550" t="s">
        <v>1778</v>
      </c>
      <c r="L25" s="2551"/>
      <c r="M25" s="2552"/>
    </row>
    <row r="26" spans="1:33" ht="18" customHeight="1">
      <c r="A26" s="1649" t="s">
        <v>1832</v>
      </c>
      <c r="B26" s="784" t="s">
        <v>2440</v>
      </c>
      <c r="C26" s="53">
        <f ca="1">ROUND((C19+C20)*F26,0)</f>
        <v>0</v>
      </c>
      <c r="D26" s="812" t="s">
        <v>1779</v>
      </c>
      <c r="E26" s="795" t="s">
        <v>1780</v>
      </c>
      <c r="F26" s="794">
        <f ca="1">INDIRECT("'数据-取费表'!q"&amp;$G$1)</f>
        <v>0</v>
      </c>
      <c r="G26" s="1593"/>
      <c r="H26" s="2504" t="s">
        <v>1781</v>
      </c>
      <c r="I26" s="2234" t="s">
        <v>2828</v>
      </c>
      <c r="J26" s="783">
        <f ca="1">IF(J5&lt;&gt;0,ROUND(J25*(1-((1+M28)/(1+M26))^M27)/(M26-M28),0),0)</f>
        <v>0</v>
      </c>
      <c r="K26" s="814" t="s">
        <v>1782</v>
      </c>
      <c r="L26" s="784" t="s">
        <v>2421</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2301</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2823</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2303</v>
      </c>
      <c r="C40" s="783" t="e">
        <f ca="1">ROUND(C39*(1-((1+F42)/(1+F40))^F41)/(F40-F42),0)</f>
        <v>#DIV/0!</v>
      </c>
      <c r="D40" s="814" t="s">
        <v>1808</v>
      </c>
      <c r="E40" s="784" t="s">
        <v>2421</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2966</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#DIV/0!</v>
      </c>
      <c r="D46" s="2087"/>
      <c r="E46" s="2087"/>
      <c r="F46" s="2087"/>
      <c r="I46" s="2380" t="s">
        <v>2345</v>
      </c>
      <c r="J46" s="2381"/>
      <c r="K46" s="2382"/>
      <c r="L46" s="3163" t="e">
        <f ca="1">IF(OR(M47="住宅",D1="土地（套用方法）"),0,IF(L48&gt;J51,L60,J60))</f>
        <v>#DIV/0!</v>
      </c>
      <c r="O46" s="2396" t="s">
        <v>2412</v>
      </c>
      <c r="P46" s="1593"/>
      <c r="Q46" s="1605"/>
      <c r="R46" s="1593"/>
    </row>
    <row r="47" spans="1:18" s="2061" customFormat="1" ht="18" customHeight="1" thickBot="1">
      <c r="A47" s="2374">
        <v>1</v>
      </c>
      <c r="B47" s="2375" t="s">
        <v>635</v>
      </c>
      <c r="C47" s="2576">
        <f ca="1">C48+C52+C54</f>
        <v>0</v>
      </c>
      <c r="D47" s="2087"/>
      <c r="E47" s="2087"/>
      <c r="F47" s="2087"/>
      <c r="I47" s="3153" t="s">
        <v>2346</v>
      </c>
      <c r="J47" s="2383"/>
      <c r="K47" s="3160" t="s">
        <v>2351</v>
      </c>
      <c r="L47" s="3164">
        <f ca="1">INDIRECT("'数据-取费表'!d"&amp;$G$1)</f>
        <v>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9" t="s">
        <v>2347</v>
      </c>
      <c r="J48" s="2384"/>
      <c r="K48" s="3161" t="s">
        <v>2353</v>
      </c>
      <c r="L48" s="1910">
        <f ca="1">INDIRECT("'数据-取费表'!f"&amp;$G$1)</f>
        <v>0</v>
      </c>
      <c r="O48" s="2400" t="s">
        <v>2381</v>
      </c>
      <c r="P48" s="2401" t="s">
        <v>2407</v>
      </c>
      <c r="Q48" s="2402" t="e">
        <f ca="1">C40+J29</f>
        <v>#DIV/0!</v>
      </c>
      <c r="R48" s="2401" t="s">
        <v>2382</v>
      </c>
    </row>
    <row r="49" spans="1:18" s="2061" customFormat="1" ht="18" customHeight="1" thickBot="1">
      <c r="A49" s="786"/>
      <c r="B49" s="787"/>
      <c r="C49" s="788"/>
      <c r="D49" s="789"/>
      <c r="E49" s="784" t="s">
        <v>1740</v>
      </c>
      <c r="F49" s="785">
        <f ca="1">F7</f>
        <v>0</v>
      </c>
      <c r="G49" s="2092"/>
      <c r="H49" s="2095"/>
      <c r="I49" s="3129" t="s">
        <v>2348</v>
      </c>
      <c r="J49" s="2385"/>
      <c r="K49" s="3162" t="s">
        <v>2354</v>
      </c>
      <c r="L49" s="2386"/>
      <c r="O49" s="2400" t="s">
        <v>2383</v>
      </c>
      <c r="P49" s="2401" t="s">
        <v>2408</v>
      </c>
      <c r="Q49" s="2402" t="e">
        <f ca="1">J60</f>
        <v>#DIV/0!</v>
      </c>
      <c r="R49" s="2401" t="s">
        <v>2384</v>
      </c>
    </row>
    <row r="50" spans="1:18" s="2061" customFormat="1" ht="18" customHeight="1" thickBot="1">
      <c r="A50" s="786"/>
      <c r="B50" s="787"/>
      <c r="C50" s="788"/>
      <c r="D50" s="789"/>
      <c r="E50" s="784" t="s">
        <v>1741</v>
      </c>
      <c r="F50" s="785">
        <f ca="1">F8</f>
        <v>0</v>
      </c>
      <c r="G50" s="2097"/>
      <c r="H50" s="2095"/>
      <c r="I50" s="3129" t="s">
        <v>2349</v>
      </c>
      <c r="J50" s="3157">
        <f>SUMPRODUCT((I63:I65=J47)*(J62:L62=J48)*(J63:L65))</f>
        <v>0</v>
      </c>
      <c r="K50" s="3162" t="s">
        <v>2355</v>
      </c>
      <c r="L50" s="2386"/>
      <c r="O50" s="2403" t="s">
        <v>2385</v>
      </c>
      <c r="P50" s="2401" t="s">
        <v>2409</v>
      </c>
      <c r="Q50" s="2402">
        <f ca="1">C29</f>
        <v>0</v>
      </c>
      <c r="R50" s="2401" t="s">
        <v>2382</v>
      </c>
    </row>
    <row r="51" spans="1:18" s="2061" customFormat="1" ht="18" customHeight="1" thickBot="1">
      <c r="A51" s="786"/>
      <c r="B51" s="787"/>
      <c r="C51" s="788"/>
      <c r="D51" s="789"/>
      <c r="E51" s="784" t="s">
        <v>640</v>
      </c>
      <c r="F51" s="2373"/>
      <c r="H51" s="2095"/>
      <c r="I51" s="3154" t="s">
        <v>2350</v>
      </c>
      <c r="J51" s="3158">
        <f>IF(J49="",J50,J49+J50-YEAR('数据-取费表'!B2))</f>
        <v>0</v>
      </c>
      <c r="K51" s="3129" t="s">
        <v>2356</v>
      </c>
      <c r="L51" s="3165">
        <f ca="1">ROUND(-PV(INDIRECT("'数据-取费表'!h"&amp;$G$1),L48,(C39-C13*J36),0),0)</f>
        <v>0</v>
      </c>
      <c r="O51" s="2403" t="s">
        <v>2386</v>
      </c>
      <c r="P51" s="2401" t="s">
        <v>2387</v>
      </c>
      <c r="Q51" s="2404" t="e">
        <f ca="1">J58</f>
        <v>#DIV/0!</v>
      </c>
      <c r="R51" s="2405"/>
    </row>
    <row r="52" spans="1:18" s="2061" customFormat="1" ht="18" customHeight="1" thickBot="1">
      <c r="A52" s="781" t="s">
        <v>2538</v>
      </c>
      <c r="B52" s="2496" t="s">
        <v>2461</v>
      </c>
      <c r="C52" s="799">
        <f ca="1">ROUND(IF(F52="押一",C48/12*F11,IF(F52="押二",C48/12*2*F11,IF(F52="押三",C48/12*3*F11,C53*F11))),0)</f>
        <v>0</v>
      </c>
      <c r="D52" s="2503" t="s">
        <v>2977</v>
      </c>
      <c r="E52" s="2500" t="s">
        <v>2466</v>
      </c>
      <c r="F52" s="2623"/>
      <c r="I52" s="3155" t="s">
        <v>2423</v>
      </c>
      <c r="J52" s="2387"/>
      <c r="K52" s="3155" t="s">
        <v>2422</v>
      </c>
      <c r="L52" s="2387"/>
      <c r="O52" s="2403" t="s">
        <v>2388</v>
      </c>
      <c r="P52" s="2401" t="s">
        <v>2389</v>
      </c>
      <c r="Q52" s="2404">
        <f>J52</f>
        <v>0</v>
      </c>
      <c r="R52" s="2405"/>
    </row>
    <row r="53" spans="1:18" s="2061" customFormat="1" ht="39.75" customHeight="1" thickBot="1">
      <c r="A53" s="786"/>
      <c r="B53" s="2497" t="s">
        <v>2575</v>
      </c>
      <c r="C53" s="2501"/>
      <c r="D53" s="2503"/>
      <c r="E53" s="2500"/>
      <c r="F53" s="800"/>
      <c r="I53" s="3156" t="s">
        <v>2981</v>
      </c>
      <c r="J53" s="3159">
        <f ca="1">IF(M47="住宅",IF(D1="——",MAX(J51,L48),MAX(J51,L48-'数据-取费表'!B20)),IF(D1="——",MIN(J51,L48),MIN(J51,L48-'数据-取费表'!B20)))</f>
        <v>0</v>
      </c>
      <c r="K53" s="3438" t="s">
        <v>2968</v>
      </c>
      <c r="L53" s="3439"/>
      <c r="O53" s="2403" t="s">
        <v>2390</v>
      </c>
      <c r="P53" s="2401" t="s">
        <v>2391</v>
      </c>
      <c r="Q53" s="2402">
        <f ca="1">J53</f>
        <v>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2393</v>
      </c>
      <c r="P54" s="2401" t="s">
        <v>2410</v>
      </c>
      <c r="Q54" s="2402" t="e">
        <f ca="1">Q48+Q49</f>
        <v>#DIV/0!</v>
      </c>
      <c r="R54" s="2405" t="s">
        <v>2394</v>
      </c>
    </row>
    <row r="55" spans="1:18" s="2061" customFormat="1" ht="18" customHeight="1" thickTop="1" thickBot="1">
      <c r="A55" s="797">
        <v>2</v>
      </c>
      <c r="B55" s="798" t="s">
        <v>644</v>
      </c>
      <c r="C55" s="799">
        <f ca="1">C13</f>
        <v>0</v>
      </c>
      <c r="D55" s="795"/>
      <c r="E55" s="795"/>
      <c r="F55" s="800"/>
      <c r="I55" s="3168" t="s">
        <v>2357</v>
      </c>
      <c r="J55" s="3104" t="e">
        <f ca="1">ROUND(IF(J47="钢混",J57/J50,1-(1-2%)*(J50-J57)/J50),3)</f>
        <v>#DIV/0!</v>
      </c>
      <c r="K55" s="3169" t="s">
        <v>2358</v>
      </c>
      <c r="L55" s="2388"/>
      <c r="O55" s="2406" t="s">
        <v>2413</v>
      </c>
      <c r="P55" s="1593"/>
      <c r="Q55" s="1605"/>
      <c r="R55" s="1593"/>
    </row>
    <row r="56" spans="1:18" s="2061" customFormat="1" ht="42.75" customHeight="1" thickBot="1">
      <c r="A56" s="1651"/>
      <c r="B56" s="2233" t="s">
        <v>2304</v>
      </c>
      <c r="C56" s="53">
        <f ca="1">C29</f>
        <v>0</v>
      </c>
      <c r="D56" s="2641"/>
      <c r="E56" s="784"/>
      <c r="F56" s="809"/>
      <c r="I56" s="3170" t="s">
        <v>2359</v>
      </c>
      <c r="J56" s="3180"/>
      <c r="K56" s="3129" t="s">
        <v>2364</v>
      </c>
      <c r="L56" s="1910">
        <f ca="1">IF(L48&lt;J51,"——",L48-J51)</f>
        <v>0</v>
      </c>
      <c r="O56" s="2397" t="s">
        <v>2377</v>
      </c>
      <c r="P56" s="2398" t="s">
        <v>2378</v>
      </c>
      <c r="Q56" s="2399" t="s">
        <v>2379</v>
      </c>
      <c r="R56" s="2398" t="s">
        <v>2380</v>
      </c>
    </row>
    <row r="57" spans="1:18" s="2061" customFormat="1" ht="28.5" customHeight="1" thickBot="1">
      <c r="A57" s="797" t="s">
        <v>1749</v>
      </c>
      <c r="B57" s="798" t="s">
        <v>651</v>
      </c>
      <c r="C57" s="799">
        <f ca="1">ROUND(C58+C63+C64+C65,0)</f>
        <v>0</v>
      </c>
      <c r="D57" s="26" t="s">
        <v>1751</v>
      </c>
      <c r="E57" s="2642"/>
      <c r="F57" s="56"/>
      <c r="I57" s="3171" t="s">
        <v>2360</v>
      </c>
      <c r="J57" s="3172">
        <f ca="1">IF(OR(M47="住宅",J51&lt;L48,J56="是"),"——",J51-L48)</f>
        <v>0</v>
      </c>
      <c r="K57" s="3129" t="s">
        <v>2365</v>
      </c>
      <c r="L57" s="1910">
        <f ca="1">IF(L48&lt;J51,"——",IF(L55="比较法",L49,IF(L55="基准地价",L50,L51)))</f>
        <v>0</v>
      </c>
      <c r="O57" s="2400" t="s">
        <v>2381</v>
      </c>
      <c r="P57" s="2401" t="s">
        <v>2411</v>
      </c>
      <c r="Q57" s="2402" t="e">
        <f ca="1">C40+J29</f>
        <v>#DIV/0!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1" t="s">
        <v>2361</v>
      </c>
      <c r="J58" s="3105" t="e">
        <f ca="1">IF(J55&lt;0.4,0.4,J55)</f>
        <v>#DIV/0!</v>
      </c>
      <c r="K58" s="3129" t="s">
        <v>2366</v>
      </c>
      <c r="L58" s="1910" t="e">
        <f ca="1">ROUND(POWER(1+L52,L47-L48)*(POWER(1+L52,L48)-1)/(POWER(1+L52,L47)-1),4)</f>
        <v>#DIV/0!</v>
      </c>
      <c r="O58" s="2400" t="s">
        <v>2383</v>
      </c>
      <c r="P58" s="2401" t="s">
        <v>2414</v>
      </c>
      <c r="Q58" s="2402" t="e">
        <f ca="1">L60</f>
        <v>#DIV/0!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71" t="s">
        <v>2362</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3" t="s">
        <v>2363</v>
      </c>
      <c r="J60" s="3174" t="e">
        <f ca="1">IF(OR(M47="住宅",J51&lt;L48,J56="是"),"0",ROUND(J59/(1+J52)^J53,0))</f>
        <v>#DIV/0!</v>
      </c>
      <c r="K60" s="3175" t="s">
        <v>2368</v>
      </c>
      <c r="L60" s="3174" t="e">
        <f ca="1">IF(OR(M47="住宅",L48&lt;J51),0,ROUND(L57*(L58/L59-1),0))</f>
        <v>#DIV/0!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0</v>
      </c>
      <c r="I62" s="3176" t="s">
        <v>2369</v>
      </c>
      <c r="J62" s="3177" t="s">
        <v>2370</v>
      </c>
      <c r="K62" s="3177" t="s">
        <v>2371</v>
      </c>
      <c r="L62" s="3177" t="s">
        <v>2352</v>
      </c>
      <c r="M62" s="3178" t="s">
        <v>2944</v>
      </c>
      <c r="O62" s="2403" t="s">
        <v>2390</v>
      </c>
      <c r="P62" s="2401" t="str">
        <f>K59</f>
        <v>建筑物剩余耐用年限下的土地年期修正系数Kn</v>
      </c>
      <c r="Q62" s="2402" t="e">
        <f ca="1">L59</f>
        <v>#DIV/0!</v>
      </c>
      <c r="R62" s="2405" t="s">
        <v>2399</v>
      </c>
    </row>
    <row r="63" spans="1:18" s="2061" customFormat="1" ht="15.75" thickBot="1">
      <c r="A63" s="1650" t="s">
        <v>1890</v>
      </c>
      <c r="B63" s="784" t="s">
        <v>676</v>
      </c>
      <c r="C63" s="53">
        <f ca="1">ROUND(C56*F63,1)</f>
        <v>0</v>
      </c>
      <c r="D63" s="2641" t="s">
        <v>1804</v>
      </c>
      <c r="E63" s="784" t="s">
        <v>1748</v>
      </c>
      <c r="F63" s="817">
        <f t="shared" ca="1" si="0"/>
        <v>0</v>
      </c>
      <c r="I63" s="3176" t="s">
        <v>2372</v>
      </c>
      <c r="J63" s="3177">
        <v>70</v>
      </c>
      <c r="K63" s="3177">
        <v>50</v>
      </c>
      <c r="L63" s="3177">
        <v>80</v>
      </c>
      <c r="M63" s="3179">
        <v>0.02</v>
      </c>
      <c r="O63" s="2400" t="s">
        <v>2393</v>
      </c>
      <c r="P63" s="2401" t="s">
        <v>2410</v>
      </c>
      <c r="Q63" s="2402" t="e">
        <f ca="1">Q57+Q58</f>
        <v>#DIV/0!</v>
      </c>
      <c r="R63" s="2405" t="s">
        <v>2394</v>
      </c>
    </row>
    <row r="64" spans="1:18" s="2061" customFormat="1" ht="16.5" thickBot="1">
      <c r="A64" s="1650" t="s">
        <v>1891</v>
      </c>
      <c r="B64" s="784" t="s">
        <v>679</v>
      </c>
      <c r="C64" s="53">
        <f ca="1">ROUND(C55*F64,1)</f>
        <v>0</v>
      </c>
      <c r="D64" s="2641" t="s">
        <v>680</v>
      </c>
      <c r="E64" s="784" t="s">
        <v>1748</v>
      </c>
      <c r="F64" s="818">
        <f t="shared" ca="1" si="0"/>
        <v>0</v>
      </c>
      <c r="I64" s="3176" t="s">
        <v>2373</v>
      </c>
      <c r="J64" s="3177">
        <v>50</v>
      </c>
      <c r="K64" s="3177">
        <v>35</v>
      </c>
      <c r="L64" s="3177">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2374</v>
      </c>
      <c r="J65" s="3177">
        <v>40</v>
      </c>
      <c r="K65" s="3177">
        <v>30</v>
      </c>
      <c r="L65" s="3177">
        <v>50</v>
      </c>
      <c r="M65" s="3179">
        <v>0.02</v>
      </c>
      <c r="O65" s="2397" t="s">
        <v>2377</v>
      </c>
      <c r="P65" s="2398" t="s">
        <v>2378</v>
      </c>
      <c r="Q65" s="2399" t="s">
        <v>2379</v>
      </c>
      <c r="R65" s="2398" t="s">
        <v>2380</v>
      </c>
    </row>
    <row r="66" spans="1:18" s="2061" customFormat="1" ht="24.75" thickBot="1">
      <c r="A66" s="797" t="s">
        <v>1777</v>
      </c>
      <c r="B66" s="3013" t="s">
        <v>2823</v>
      </c>
      <c r="C66" s="799">
        <f ca="1">C47-C57</f>
        <v>0</v>
      </c>
      <c r="D66" s="2640" t="s">
        <v>700</v>
      </c>
      <c r="E66" s="2639"/>
      <c r="F66" s="820"/>
      <c r="K66" s="2088"/>
      <c r="O66" s="2400" t="s">
        <v>2381</v>
      </c>
      <c r="P66" s="2401" t="s">
        <v>2411</v>
      </c>
      <c r="Q66" s="2402" t="e">
        <f ca="1">C40+J29</f>
        <v>#DIV/0!</v>
      </c>
      <c r="R66" s="2401" t="s">
        <v>2382</v>
      </c>
    </row>
    <row r="67" spans="1:18" s="2061" customFormat="1" ht="20.25" thickBot="1">
      <c r="A67" s="781" t="s">
        <v>1781</v>
      </c>
      <c r="B67" s="2234" t="s">
        <v>2303</v>
      </c>
      <c r="C67" s="783" t="e">
        <f ca="1">ROUND(C66*(1-((1+F69)/(1+F67))^F68)/(F67-F69),0)</f>
        <v>#DIV/0!</v>
      </c>
      <c r="D67" s="814" t="s">
        <v>704</v>
      </c>
      <c r="E67" s="784" t="s">
        <v>705</v>
      </c>
      <c r="F67" s="794">
        <f ca="1">F40</f>
        <v>0</v>
      </c>
      <c r="K67" s="2088"/>
      <c r="O67" s="2400" t="s">
        <v>2383</v>
      </c>
      <c r="P67" s="2401" t="s">
        <v>2414</v>
      </c>
      <c r="Q67" s="2402" t="e">
        <f ca="1">L60</f>
        <v>#DIV/0!</v>
      </c>
      <c r="R67" s="2405" t="s">
        <v>2416</v>
      </c>
    </row>
    <row r="68" spans="1:18" ht="21.75" thickBot="1">
      <c r="A68" s="786"/>
      <c r="B68" s="787"/>
      <c r="C68" s="788"/>
      <c r="D68" s="821" t="s">
        <v>1809</v>
      </c>
      <c r="E68" s="784" t="s">
        <v>1785</v>
      </c>
      <c r="F68" s="822">
        <f ca="1">F41</f>
        <v>0</v>
      </c>
      <c r="O68" s="2403" t="s">
        <v>2385</v>
      </c>
      <c r="P68" s="2401" t="s">
        <v>2415</v>
      </c>
      <c r="Q68" s="2407">
        <f ca="1">L51</f>
        <v>0</v>
      </c>
      <c r="R68" s="2408" t="s">
        <v>2418</v>
      </c>
    </row>
    <row r="69" spans="1:18" ht="20.25" thickBot="1">
      <c r="A69" s="790"/>
      <c r="B69" s="791"/>
      <c r="C69" s="792"/>
      <c r="D69" s="816"/>
      <c r="E69" s="784" t="s">
        <v>710</v>
      </c>
      <c r="F69" s="2373"/>
      <c r="O69" s="2403" t="s">
        <v>2386</v>
      </c>
      <c r="P69" s="2409" t="s">
        <v>2400</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2401</v>
      </c>
      <c r="P70" s="2409" t="s">
        <v>2402</v>
      </c>
      <c r="Q70" s="2402">
        <f ca="1">C39</f>
        <v>0</v>
      </c>
      <c r="R70" s="2401" t="s">
        <v>2382</v>
      </c>
    </row>
    <row r="71" spans="1:18" ht="15.75" thickBot="1">
      <c r="O71" s="2403" t="s">
        <v>2403</v>
      </c>
      <c r="P71" s="2409" t="s">
        <v>2404</v>
      </c>
      <c r="Q71" s="2402">
        <f ca="1">C13</f>
        <v>0</v>
      </c>
      <c r="R71" s="2401" t="s">
        <v>2382</v>
      </c>
    </row>
    <row r="72" spans="1:18" ht="15.75" thickBot="1">
      <c r="O72" s="2403" t="s">
        <v>2405</v>
      </c>
      <c r="P72" s="2409" t="s">
        <v>2406</v>
      </c>
      <c r="Q72" s="2404">
        <f ca="1">J36</f>
        <v>0</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t="e">
        <f ca="1">Q66+Q67</f>
        <v>#DIV/0!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3456" t="s">
        <v>2473</v>
      </c>
      <c r="B1" s="3457"/>
      <c r="C1" s="3458"/>
      <c r="D1" s="3459">
        <f>SUM(I10,I15,I20,I21,I23)</f>
        <v>0</v>
      </c>
      <c r="E1" s="3459"/>
      <c r="F1" s="3459"/>
      <c r="G1" s="3459"/>
      <c r="H1" s="3459"/>
      <c r="I1" s="3460"/>
    </row>
    <row r="2" spans="1:9">
      <c r="A2" s="3446" t="s">
        <v>2474</v>
      </c>
      <c r="B2" s="3447" t="s">
        <v>2475</v>
      </c>
      <c r="C2" s="3447"/>
      <c r="D2" s="2509" t="s">
        <v>2476</v>
      </c>
      <c r="E2" s="2509" t="s">
        <v>2477</v>
      </c>
      <c r="F2" s="2509" t="s">
        <v>2478</v>
      </c>
      <c r="G2" s="2509" t="s">
        <v>2479</v>
      </c>
      <c r="H2" s="2509" t="s">
        <v>2480</v>
      </c>
      <c r="I2" s="2510" t="s">
        <v>2481</v>
      </c>
    </row>
    <row r="3" spans="1:9">
      <c r="A3" s="3446"/>
      <c r="B3" s="3447" t="s">
        <v>2482</v>
      </c>
      <c r="C3" s="3447"/>
      <c r="D3" s="2511"/>
      <c r="E3" s="2509"/>
      <c r="F3" s="2512"/>
      <c r="G3" s="2512"/>
      <c r="H3" s="2513"/>
      <c r="I3" s="2514">
        <f>ROUND(D3*E3*F3*G3*H3/10000,0)</f>
        <v>0</v>
      </c>
    </row>
    <row r="4" spans="1:9">
      <c r="A4" s="3446"/>
      <c r="B4" s="3447" t="s">
        <v>2483</v>
      </c>
      <c r="C4" s="3447"/>
      <c r="D4" s="2511"/>
      <c r="E4" s="2509"/>
      <c r="F4" s="2512"/>
      <c r="G4" s="2512"/>
      <c r="H4" s="2513"/>
      <c r="I4" s="2514">
        <f t="shared" ref="I4:I9" si="0">ROUND(D4*E4*F4*G4*H4/10000,0)</f>
        <v>0</v>
      </c>
    </row>
    <row r="5" spans="1:9">
      <c r="A5" s="3446"/>
      <c r="B5" s="3447" t="s">
        <v>2484</v>
      </c>
      <c r="C5" s="3447"/>
      <c r="D5" s="2511"/>
      <c r="E5" s="2509"/>
      <c r="F5" s="2512"/>
      <c r="G5" s="2512"/>
      <c r="H5" s="2513"/>
      <c r="I5" s="2514">
        <f t="shared" si="0"/>
        <v>0</v>
      </c>
    </row>
    <row r="6" spans="1:9">
      <c r="A6" s="3446"/>
      <c r="B6" s="3447" t="s">
        <v>2485</v>
      </c>
      <c r="C6" s="3447"/>
      <c r="D6" s="2511"/>
      <c r="E6" s="2509"/>
      <c r="F6" s="2512"/>
      <c r="G6" s="2512"/>
      <c r="H6" s="2513"/>
      <c r="I6" s="2514">
        <f t="shared" si="0"/>
        <v>0</v>
      </c>
    </row>
    <row r="7" spans="1:9">
      <c r="A7" s="3446"/>
      <c r="B7" s="3447" t="s">
        <v>2486</v>
      </c>
      <c r="C7" s="3447"/>
      <c r="D7" s="2511"/>
      <c r="E7" s="2509"/>
      <c r="F7" s="2512"/>
      <c r="G7" s="2512"/>
      <c r="H7" s="2513"/>
      <c r="I7" s="2514">
        <f t="shared" si="0"/>
        <v>0</v>
      </c>
    </row>
    <row r="8" spans="1:9">
      <c r="A8" s="3446"/>
      <c r="B8" s="3447" t="s">
        <v>2487</v>
      </c>
      <c r="C8" s="3447"/>
      <c r="D8" s="2511"/>
      <c r="E8" s="2509"/>
      <c r="F8" s="2512"/>
      <c r="G8" s="2512"/>
      <c r="H8" s="2513"/>
      <c r="I8" s="2514">
        <f t="shared" si="0"/>
        <v>0</v>
      </c>
    </row>
    <row r="9" spans="1:9">
      <c r="A9" s="3446"/>
      <c r="B9" s="3447" t="s">
        <v>2488</v>
      </c>
      <c r="C9" s="3447"/>
      <c r="D9" s="2511"/>
      <c r="E9" s="2509"/>
      <c r="F9" s="2512"/>
      <c r="G9" s="2512"/>
      <c r="H9" s="2513"/>
      <c r="I9" s="2514">
        <f t="shared" si="0"/>
        <v>0</v>
      </c>
    </row>
    <row r="10" spans="1:9">
      <c r="A10" s="3446"/>
      <c r="B10" s="3448" t="s">
        <v>2489</v>
      </c>
      <c r="C10" s="3448"/>
      <c r="D10" s="2515">
        <v>527</v>
      </c>
      <c r="E10" s="2515" t="e">
        <f>ROUND(D1*10000/D10/H9,0)</f>
        <v>#DIV/0!</v>
      </c>
      <c r="F10" s="2516"/>
      <c r="G10" s="2516"/>
      <c r="H10" s="2517"/>
      <c r="I10" s="2518">
        <f>SUM(I3:I9)</f>
        <v>0</v>
      </c>
    </row>
    <row r="11" spans="1:9" ht="14.25">
      <c r="A11" s="3446" t="s">
        <v>2490</v>
      </c>
      <c r="B11" s="3447" t="s">
        <v>2491</v>
      </c>
      <c r="C11" s="3447"/>
      <c r="D11" s="2511" t="s">
        <v>2492</v>
      </c>
      <c r="E11" s="2511" t="s">
        <v>2493</v>
      </c>
      <c r="F11" s="2512" t="s">
        <v>2494</v>
      </c>
      <c r="G11" s="2512" t="s">
        <v>2495</v>
      </c>
      <c r="H11" s="2519" t="s">
        <v>2496</v>
      </c>
      <c r="I11" s="2510" t="s">
        <v>2497</v>
      </c>
    </row>
    <row r="12" spans="1:9">
      <c r="A12" s="3446"/>
      <c r="B12" s="3447" t="s">
        <v>2498</v>
      </c>
      <c r="C12" s="3447"/>
      <c r="D12" s="2511"/>
      <c r="E12" s="2511"/>
      <c r="F12" s="2512"/>
      <c r="G12" s="2513"/>
      <c r="H12" s="2520"/>
      <c r="I12" s="2510">
        <f>ROUND(D12*E12*F12*G12/10000,0)</f>
        <v>0</v>
      </c>
    </row>
    <row r="13" spans="1:9">
      <c r="A13" s="3446"/>
      <c r="B13" s="3447" t="s">
        <v>2499</v>
      </c>
      <c r="C13" s="3447"/>
      <c r="D13" s="2511"/>
      <c r="E13" s="2511"/>
      <c r="F13" s="2512"/>
      <c r="G13" s="2513"/>
      <c r="H13" s="2520"/>
      <c r="I13" s="2510">
        <f>ROUND(D13*E13*F13*G13/10000,0)</f>
        <v>0</v>
      </c>
    </row>
    <row r="14" spans="1:9">
      <c r="A14" s="3446"/>
      <c r="B14" s="3447" t="s">
        <v>2500</v>
      </c>
      <c r="C14" s="3447"/>
      <c r="D14" s="2511"/>
      <c r="E14" s="2511"/>
      <c r="F14" s="2512"/>
      <c r="G14" s="2513"/>
      <c r="H14" s="2520"/>
      <c r="I14" s="2510">
        <f>ROUND(D14*E14*F14*G14/10000,0)</f>
        <v>0</v>
      </c>
    </row>
    <row r="15" spans="1:9">
      <c r="A15" s="3446"/>
      <c r="B15" s="3448" t="s">
        <v>2489</v>
      </c>
      <c r="C15" s="3448"/>
      <c r="D15" s="2515"/>
      <c r="E15" s="2515">
        <f>SUM(E12:E14)</f>
        <v>0</v>
      </c>
      <c r="F15" s="2516"/>
      <c r="G15" s="2513"/>
      <c r="H15" s="2520"/>
      <c r="I15" s="2521">
        <f>SUM(I12:I14)</f>
        <v>0</v>
      </c>
    </row>
    <row r="16" spans="1:9" ht="24">
      <c r="A16" s="3446" t="s">
        <v>2501</v>
      </c>
      <c r="B16" s="3447" t="s">
        <v>2502</v>
      </c>
      <c r="C16" s="3447"/>
      <c r="D16" s="2511" t="s">
        <v>2503</v>
      </c>
      <c r="E16" s="2522" t="s">
        <v>2504</v>
      </c>
      <c r="F16" s="2512" t="s">
        <v>2505</v>
      </c>
      <c r="G16" s="2513" t="s">
        <v>2495</v>
      </c>
      <c r="H16" s="2519" t="s">
        <v>2496</v>
      </c>
      <c r="I16" s="2510" t="s">
        <v>2497</v>
      </c>
    </row>
    <row r="17" spans="1:9" ht="14.25">
      <c r="A17" s="3446"/>
      <c r="B17" s="3447" t="s">
        <v>2506</v>
      </c>
      <c r="C17" s="3447"/>
      <c r="D17" s="2511"/>
      <c r="E17" s="2511"/>
      <c r="F17" s="2512"/>
      <c r="G17" s="2513"/>
      <c r="H17" s="2523"/>
      <c r="I17" s="2524">
        <f>ROUND(D17*E17*F17*G17/10000,0)</f>
        <v>0</v>
      </c>
    </row>
    <row r="18" spans="1:9" ht="14.25">
      <c r="A18" s="3446"/>
      <c r="B18" s="3447" t="s">
        <v>2507</v>
      </c>
      <c r="C18" s="3447"/>
      <c r="D18" s="2511"/>
      <c r="E18" s="2511"/>
      <c r="F18" s="2512"/>
      <c r="G18" s="2513"/>
      <c r="H18" s="2523"/>
      <c r="I18" s="2524">
        <f>ROUND(D18*E18*F18*G18/10000,0)</f>
        <v>0</v>
      </c>
    </row>
    <row r="19" spans="1:9" ht="14.25">
      <c r="A19" s="3446"/>
      <c r="B19" s="3447" t="s">
        <v>2508</v>
      </c>
      <c r="C19" s="3447"/>
      <c r="D19" s="2511"/>
      <c r="E19" s="2511"/>
      <c r="F19" s="2512"/>
      <c r="G19" s="2513"/>
      <c r="H19" s="2523"/>
      <c r="I19" s="2524">
        <f>ROUND(D19*E19*F19*G19/10000,0)</f>
        <v>0</v>
      </c>
    </row>
    <row r="20" spans="1:9">
      <c r="A20" s="3446"/>
      <c r="B20" s="3448" t="s">
        <v>2489</v>
      </c>
      <c r="C20" s="3448"/>
      <c r="D20" s="2515">
        <f>SUM(D17:D19)</f>
        <v>0</v>
      </c>
      <c r="E20" s="2515"/>
      <c r="F20" s="2516"/>
      <c r="G20" s="2513"/>
      <c r="H20" s="2520"/>
      <c r="I20" s="2521">
        <f>SUM(I17:I19)</f>
        <v>0</v>
      </c>
    </row>
    <row r="21" spans="1:9">
      <c r="A21" s="3446" t="s">
        <v>2509</v>
      </c>
      <c r="B21" s="3449"/>
      <c r="C21" s="3449"/>
      <c r="D21" s="3449"/>
      <c r="E21" s="3449"/>
      <c r="F21" s="3449"/>
      <c r="G21" s="3449"/>
      <c r="H21" s="2525">
        <v>0.1</v>
      </c>
      <c r="I21" s="2518">
        <f>ROUND(I10*H21,0)</f>
        <v>0</v>
      </c>
    </row>
    <row r="22" spans="1:9" ht="14.25">
      <c r="A22" s="3450" t="s">
        <v>2510</v>
      </c>
      <c r="B22" s="3451"/>
      <c r="C22" s="3452"/>
      <c r="D22" s="2526" t="s">
        <v>2511</v>
      </c>
      <c r="E22" s="2526" t="s">
        <v>2512</v>
      </c>
      <c r="F22" s="2527" t="s">
        <v>2513</v>
      </c>
      <c r="G22" s="2527" t="s">
        <v>2514</v>
      </c>
      <c r="H22" s="2519" t="s">
        <v>2515</v>
      </c>
      <c r="I22" s="2510" t="s">
        <v>2516</v>
      </c>
    </row>
    <row r="23" spans="1:9" ht="14.25" thickBot="1">
      <c r="A23" s="3453"/>
      <c r="B23" s="3454"/>
      <c r="C23" s="3455"/>
      <c r="D23" s="2528"/>
      <c r="E23" s="2528"/>
      <c r="F23" s="2528"/>
      <c r="G23" s="2529"/>
      <c r="H23" s="2530"/>
      <c r="I23" s="2531">
        <f>ROUND(E23*D23*F23*(1-G23)/10000,0)</f>
        <v>0</v>
      </c>
    </row>
    <row r="26" spans="1:9">
      <c r="A26" s="2532" t="s">
        <v>2517</v>
      </c>
      <c r="B26" s="2532"/>
      <c r="C26" s="2532"/>
      <c r="D26" s="2532"/>
      <c r="E26" s="3443">
        <f>C27-C30-C31-C32</f>
        <v>0</v>
      </c>
      <c r="F26" s="3443"/>
      <c r="G26" s="3443"/>
      <c r="H26" s="3046" t="s">
        <v>2844</v>
      </c>
    </row>
    <row r="27" spans="1:9">
      <c r="A27" s="2533">
        <v>1</v>
      </c>
      <c r="B27" s="2534" t="s">
        <v>2518</v>
      </c>
      <c r="C27" s="2534"/>
      <c r="D27" s="2534"/>
      <c r="E27" s="3444"/>
      <c r="F27" s="3444"/>
      <c r="G27" s="3444"/>
    </row>
    <row r="28" spans="1:9">
      <c r="A28" s="2535" t="s">
        <v>2519</v>
      </c>
      <c r="B28" s="2534" t="s">
        <v>2520</v>
      </c>
      <c r="C28" s="2534"/>
      <c r="D28" s="2534"/>
      <c r="E28" s="3444"/>
      <c r="F28" s="3444"/>
      <c r="G28" s="3444"/>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45"/>
      <c r="F32" s="3445"/>
      <c r="G32" s="3445"/>
    </row>
    <row r="33" spans="1:7" hidden="1">
      <c r="A33" s="3440" t="s">
        <v>2528</v>
      </c>
      <c r="B33" s="3441"/>
      <c r="C33" s="3441"/>
      <c r="D33" s="3442"/>
      <c r="E33" s="3443"/>
      <c r="F33" s="3443"/>
      <c r="G33" s="3443"/>
    </row>
    <row r="34" spans="1:7" hidden="1">
      <c r="A34" s="2537">
        <v>1</v>
      </c>
      <c r="B34" s="2534" t="s">
        <v>2529</v>
      </c>
      <c r="C34" s="2534"/>
      <c r="D34" s="2534"/>
      <c r="E34" s="3444"/>
      <c r="F34" s="3444"/>
      <c r="G34" s="3444"/>
    </row>
    <row r="35" spans="1:7" hidden="1">
      <c r="A35" s="2537">
        <v>2</v>
      </c>
      <c r="B35" s="2534" t="s">
        <v>2530</v>
      </c>
      <c r="C35" s="2534"/>
      <c r="D35" s="2534"/>
      <c r="E35" s="3444"/>
      <c r="F35" s="3444"/>
      <c r="G35" s="3444"/>
    </row>
    <row r="36" spans="1:7" hidden="1">
      <c r="A36" s="2537">
        <v>3</v>
      </c>
      <c r="B36" s="2534" t="s">
        <v>2531</v>
      </c>
      <c r="C36" s="2534"/>
      <c r="D36" s="2534"/>
      <c r="E36" s="3444"/>
      <c r="F36" s="3444"/>
      <c r="G36" s="3444"/>
    </row>
    <row r="37" spans="1:7" hidden="1">
      <c r="A37" s="2537">
        <v>4</v>
      </c>
      <c r="B37" s="2534" t="s">
        <v>2532</v>
      </c>
      <c r="C37" s="2534"/>
      <c r="D37" s="2534"/>
      <c r="E37" s="3444"/>
      <c r="F37" s="3444"/>
      <c r="G37" s="3444"/>
    </row>
    <row r="38" spans="1:7" hidden="1">
      <c r="A38" s="3440" t="s">
        <v>2533</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9" sqref="C129:F134"/>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66660.070000000007</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0</v>
      </c>
      <c r="D12" s="758">
        <f>'数据-汇总表'!E5</f>
        <v>0</v>
      </c>
      <c r="E12" s="757">
        <f>'数据-取费表'!B27</f>
        <v>150</v>
      </c>
      <c r="F12" s="755"/>
      <c r="G12" s="759"/>
    </row>
    <row r="13" spans="1:25" s="2185" customFormat="1" ht="13.5" customHeight="1">
      <c r="A13" s="2478" t="s">
        <v>2449</v>
      </c>
      <c r="B13" s="756" t="s">
        <v>612</v>
      </c>
      <c r="C13" s="757">
        <f>ROUND(D13*E13/10000,0)</f>
        <v>1000</v>
      </c>
      <c r="D13" s="758">
        <f>'数据-汇总表'!E6</f>
        <v>66660.070000000007</v>
      </c>
      <c r="E13" s="757">
        <f>'数据-取费表'!B28</f>
        <v>150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0.81799999999999995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9" sqref="C129:F13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8" t="s">
        <v>522</v>
      </c>
      <c r="D4" s="3369"/>
      <c r="E4" s="3392" t="s">
        <v>523</v>
      </c>
      <c r="F4" s="3393"/>
      <c r="G4" s="3368" t="s">
        <v>524</v>
      </c>
      <c r="H4" s="3369"/>
      <c r="I4" s="3368" t="s">
        <v>525</v>
      </c>
      <c r="J4" s="3369"/>
      <c r="K4" s="853"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2929</v>
      </c>
      <c r="D5" s="3380"/>
      <c r="E5" s="3394" t="s">
        <v>2930</v>
      </c>
      <c r="F5" s="3395"/>
      <c r="G5" s="3379" t="s">
        <v>2931</v>
      </c>
      <c r="H5" s="3380"/>
      <c r="I5" s="3379" t="s">
        <v>2932</v>
      </c>
      <c r="J5" s="3380"/>
      <c r="K5" s="85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2933</v>
      </c>
      <c r="D6" s="3378"/>
      <c r="E6" s="3396" t="s">
        <v>2933</v>
      </c>
      <c r="F6" s="3397"/>
      <c r="G6" s="3377" t="s">
        <v>2933</v>
      </c>
      <c r="H6" s="3378"/>
      <c r="I6" s="3377" t="s">
        <v>2933</v>
      </c>
      <c r="J6" s="3378"/>
      <c r="K6" s="85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43384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912"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65"/>
      <c r="Q21" s="2581" t="str">
        <f>B21</f>
        <v>基础设施水平</v>
      </c>
      <c r="R21" s="1574" t="s">
        <v>11</v>
      </c>
      <c r="S21" s="1575">
        <f>F21</f>
        <v>100</v>
      </c>
      <c r="T21" s="1574" t="s">
        <v>11</v>
      </c>
      <c r="U21" s="1575">
        <f>H21</f>
        <v>100</v>
      </c>
      <c r="V21" s="1574" t="s">
        <v>11</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65"/>
      <c r="Q22" s="2581"/>
      <c r="R22" s="1574"/>
      <c r="S22" s="1575"/>
      <c r="T22" s="1574"/>
      <c r="U22" s="1575"/>
      <c r="V22" s="1574"/>
      <c r="W22" s="1575"/>
      <c r="X22" s="2583"/>
      <c r="Y22" s="336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5"/>
      <c r="Q25" s="1573" t="str">
        <f t="shared" ref="Q25:Q46" si="11">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5"/>
      <c r="Q26" s="1573" t="str">
        <f t="shared" si="11"/>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5"/>
      <c r="Q27" s="1151" t="str">
        <f t="shared" si="11"/>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5"/>
      <c r="Q29" s="1573">
        <f t="shared" si="11"/>
        <v>111</v>
      </c>
      <c r="R29" s="1574" t="s">
        <v>11</v>
      </c>
      <c r="S29" s="1575">
        <f t="shared" si="12"/>
        <v>100</v>
      </c>
      <c r="T29" s="1574" t="s">
        <v>11</v>
      </c>
      <c r="U29" s="1575">
        <f t="shared" si="13"/>
        <v>100</v>
      </c>
      <c r="V29" s="1574" t="s">
        <v>11</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5"/>
      <c r="Q30" s="1573">
        <f t="shared" si="11"/>
        <v>111</v>
      </c>
      <c r="R30" s="1574" t="s">
        <v>11</v>
      </c>
      <c r="S30" s="1575">
        <f t="shared" si="12"/>
        <v>100</v>
      </c>
      <c r="T30" s="1574" t="s">
        <v>11</v>
      </c>
      <c r="U30" s="1575">
        <f t="shared" si="13"/>
        <v>100</v>
      </c>
      <c r="V30" s="1574" t="s">
        <v>11</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5"/>
      <c r="Q31" s="1573">
        <f t="shared" si="11"/>
        <v>111</v>
      </c>
      <c r="R31" s="1574" t="s">
        <v>11</v>
      </c>
      <c r="S31" s="1575">
        <f t="shared" si="12"/>
        <v>100</v>
      </c>
      <c r="T31" s="1574" t="s">
        <v>11</v>
      </c>
      <c r="U31" s="1575">
        <f t="shared" si="13"/>
        <v>100</v>
      </c>
      <c r="V31" s="1574" t="s">
        <v>11</v>
      </c>
      <c r="W31" s="1575">
        <f t="shared" si="14"/>
        <v>100</v>
      </c>
      <c r="X31" s="1568"/>
      <c r="Y31" s="3365"/>
      <c r="Z31" s="1576">
        <f t="shared" si="15"/>
        <v>111</v>
      </c>
      <c r="AA31" s="1577">
        <f t="shared" si="3"/>
        <v>1</v>
      </c>
      <c r="AB31" s="1577">
        <f t="shared" si="4"/>
        <v>1</v>
      </c>
      <c r="AC31" s="1577">
        <f t="shared" si="5"/>
        <v>1</v>
      </c>
    </row>
    <row r="32" spans="1:29" ht="15">
      <c r="A32" s="2909"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6" t="s">
        <v>550</v>
      </c>
      <c r="Q32" s="1573" t="str">
        <f t="shared" si="11"/>
        <v>建筑类型</v>
      </c>
      <c r="R32" s="1574" t="s">
        <v>11</v>
      </c>
      <c r="S32" s="1575">
        <f t="shared" si="12"/>
        <v>100</v>
      </c>
      <c r="T32" s="1574" t="s">
        <v>11</v>
      </c>
      <c r="U32" s="1575">
        <f t="shared" si="13"/>
        <v>100</v>
      </c>
      <c r="V32" s="1574" t="s">
        <v>11</v>
      </c>
      <c r="W32" s="1575">
        <f t="shared" si="14"/>
        <v>100</v>
      </c>
      <c r="X32" s="1568"/>
      <c r="Y32" s="336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67"/>
      <c r="Q33" s="1606" t="str">
        <f t="shared" si="11"/>
        <v>项目建筑规模</v>
      </c>
      <c r="R33" s="1578" t="s">
        <v>11</v>
      </c>
      <c r="S33" s="1579" t="e">
        <f t="shared" si="12"/>
        <v>#N/A</v>
      </c>
      <c r="T33" s="1578" t="s">
        <v>11</v>
      </c>
      <c r="U33" s="1579" t="e">
        <f t="shared" si="13"/>
        <v>#N/A</v>
      </c>
      <c r="V33" s="1578" t="s">
        <v>11</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7"/>
      <c r="Q34" s="1573" t="str">
        <f t="shared" si="11"/>
        <v>建筑结构</v>
      </c>
      <c r="R34" s="1574" t="s">
        <v>11</v>
      </c>
      <c r="S34" s="1575">
        <f t="shared" si="12"/>
        <v>100</v>
      </c>
      <c r="T34" s="1574" t="s">
        <v>11</v>
      </c>
      <c r="U34" s="1575">
        <f t="shared" si="13"/>
        <v>100</v>
      </c>
      <c r="V34" s="1574" t="s">
        <v>11</v>
      </c>
      <c r="W34" s="1575">
        <f t="shared" si="14"/>
        <v>100</v>
      </c>
      <c r="X34" s="1568"/>
      <c r="Y34" s="336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7"/>
      <c r="Q35" s="1573" t="str">
        <f t="shared" si="11"/>
        <v>建筑品质</v>
      </c>
      <c r="R35" s="1574" t="s">
        <v>11</v>
      </c>
      <c r="S35" s="1575">
        <f t="shared" si="12"/>
        <v>100</v>
      </c>
      <c r="T35" s="1574" t="s">
        <v>11</v>
      </c>
      <c r="U35" s="1575">
        <f t="shared" si="13"/>
        <v>100</v>
      </c>
      <c r="V35" s="1574" t="s">
        <v>11</v>
      </c>
      <c r="W35" s="1575">
        <f t="shared" si="14"/>
        <v>100</v>
      </c>
      <c r="X35" s="1568"/>
      <c r="Y35" s="336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7"/>
      <c r="Q36" s="1573" t="str">
        <f t="shared" si="11"/>
        <v>公共部分装修</v>
      </c>
      <c r="R36" s="1574" t="s">
        <v>11</v>
      </c>
      <c r="S36" s="1575">
        <f t="shared" si="12"/>
        <v>100</v>
      </c>
      <c r="T36" s="1574" t="s">
        <v>11</v>
      </c>
      <c r="U36" s="1575">
        <f t="shared" si="13"/>
        <v>100</v>
      </c>
      <c r="V36" s="1574" t="s">
        <v>11</v>
      </c>
      <c r="W36" s="1575">
        <f t="shared" si="14"/>
        <v>100</v>
      </c>
      <c r="X36" s="1568"/>
      <c r="Y36" s="336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67"/>
      <c r="Q37" s="1151" t="str">
        <f t="shared" si="11"/>
        <v>成新度</v>
      </c>
      <c r="R37" s="1569" t="s">
        <v>11</v>
      </c>
      <c r="S37" s="1570" t="e">
        <f t="shared" si="12"/>
        <v>#N/A</v>
      </c>
      <c r="T37" s="1569" t="s">
        <v>11</v>
      </c>
      <c r="U37" s="1570" t="e">
        <f t="shared" si="13"/>
        <v>#N/A</v>
      </c>
      <c r="V37" s="1569" t="s">
        <v>11</v>
      </c>
      <c r="W37" s="1570" t="e">
        <f t="shared" si="14"/>
        <v>#N/A</v>
      </c>
      <c r="X37" s="1571"/>
      <c r="Y37" s="336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7" t="s">
        <v>550</v>
      </c>
      <c r="Q38" s="1573" t="str">
        <f t="shared" si="11"/>
        <v>物业管理</v>
      </c>
      <c r="R38" s="1574" t="s">
        <v>11</v>
      </c>
      <c r="S38" s="1575">
        <f t="shared" si="12"/>
        <v>100</v>
      </c>
      <c r="T38" s="1574" t="s">
        <v>11</v>
      </c>
      <c r="U38" s="1575">
        <f t="shared" si="13"/>
        <v>100</v>
      </c>
      <c r="V38" s="1574" t="s">
        <v>11</v>
      </c>
      <c r="W38" s="1575">
        <f t="shared" si="14"/>
        <v>100</v>
      </c>
      <c r="X38" s="1568"/>
      <c r="Y38" s="3367"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7"/>
      <c r="Q39" s="1573" t="str">
        <f t="shared" si="11"/>
        <v>市政基础设施</v>
      </c>
      <c r="R39" s="1574" t="s">
        <v>11</v>
      </c>
      <c r="S39" s="1575">
        <f t="shared" si="12"/>
        <v>100</v>
      </c>
      <c r="T39" s="1574" t="s">
        <v>11</v>
      </c>
      <c r="U39" s="1575">
        <f t="shared" si="13"/>
        <v>100</v>
      </c>
      <c r="V39" s="1574" t="s">
        <v>11</v>
      </c>
      <c r="W39" s="1575">
        <f t="shared" si="14"/>
        <v>100</v>
      </c>
      <c r="X39" s="1568"/>
      <c r="Y39" s="336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7"/>
      <c r="Q40" s="1573" t="str">
        <f t="shared" si="11"/>
        <v>房型</v>
      </c>
      <c r="R40" s="1574" t="s">
        <v>11</v>
      </c>
      <c r="S40" s="1575">
        <f t="shared" si="12"/>
        <v>100</v>
      </c>
      <c r="T40" s="1574" t="s">
        <v>11</v>
      </c>
      <c r="U40" s="1575">
        <f t="shared" si="13"/>
        <v>100</v>
      </c>
      <c r="V40" s="1574" t="s">
        <v>11</v>
      </c>
      <c r="W40" s="1575">
        <f t="shared" si="14"/>
        <v>100</v>
      </c>
      <c r="X40" s="1568"/>
      <c r="Y40" s="336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7"/>
      <c r="Q41" s="1606" t="str">
        <f t="shared" si="11"/>
        <v>单套/主力户型建筑面积</v>
      </c>
      <c r="R41" s="1578" t="s">
        <v>11</v>
      </c>
      <c r="S41" s="1579">
        <f t="shared" si="12"/>
        <v>100</v>
      </c>
      <c r="T41" s="1578" t="s">
        <v>11</v>
      </c>
      <c r="U41" s="1579">
        <f t="shared" si="13"/>
        <v>100</v>
      </c>
      <c r="V41" s="1578" t="s">
        <v>11</v>
      </c>
      <c r="W41" s="1579">
        <f t="shared" si="14"/>
        <v>100</v>
      </c>
      <c r="X41" s="1580"/>
      <c r="Y41" s="336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7"/>
      <c r="Q42" s="1573" t="str">
        <f t="shared" si="11"/>
        <v>内部装修</v>
      </c>
      <c r="R42" s="1574" t="s">
        <v>11</v>
      </c>
      <c r="S42" s="1575">
        <f t="shared" si="12"/>
        <v>100</v>
      </c>
      <c r="T42" s="1574" t="s">
        <v>11</v>
      </c>
      <c r="U42" s="1575">
        <f t="shared" si="13"/>
        <v>100</v>
      </c>
      <c r="V42" s="1574" t="s">
        <v>11</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7"/>
      <c r="Q43" s="1573" t="str">
        <f t="shared" si="11"/>
        <v>内部装修维护情况</v>
      </c>
      <c r="R43" s="1574" t="s">
        <v>11</v>
      </c>
      <c r="S43" s="1575">
        <f t="shared" si="12"/>
        <v>100</v>
      </c>
      <c r="T43" s="1574" t="s">
        <v>11</v>
      </c>
      <c r="U43" s="1575">
        <f t="shared" si="13"/>
        <v>100</v>
      </c>
      <c r="V43" s="1574" t="s">
        <v>11</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7"/>
      <c r="Q44" s="1151">
        <f t="shared" si="11"/>
        <v>111</v>
      </c>
      <c r="R44" s="1569" t="s">
        <v>11</v>
      </c>
      <c r="S44" s="1570">
        <f t="shared" si="12"/>
        <v>100</v>
      </c>
      <c r="T44" s="1569" t="s">
        <v>11</v>
      </c>
      <c r="U44" s="1570">
        <f t="shared" si="13"/>
        <v>100</v>
      </c>
      <c r="V44" s="1569" t="s">
        <v>11</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7"/>
      <c r="Q45" s="1573">
        <f t="shared" si="11"/>
        <v>111</v>
      </c>
      <c r="R45" s="1574" t="s">
        <v>11</v>
      </c>
      <c r="S45" s="1575">
        <f t="shared" si="12"/>
        <v>100</v>
      </c>
      <c r="T45" s="1574" t="s">
        <v>11</v>
      </c>
      <c r="U45" s="1575">
        <f t="shared" si="13"/>
        <v>100</v>
      </c>
      <c r="V45" s="1574" t="s">
        <v>11</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3"/>
      <c r="Q46" s="1573">
        <f t="shared" si="11"/>
        <v>111</v>
      </c>
      <c r="R46" s="1574" t="s">
        <v>10</v>
      </c>
      <c r="S46" s="1575">
        <f t="shared" si="12"/>
        <v>100</v>
      </c>
      <c r="T46" s="1574" t="s">
        <v>10</v>
      </c>
      <c r="U46" s="1575">
        <f t="shared" si="13"/>
        <v>100</v>
      </c>
      <c r="V46" s="1574" t="s">
        <v>10</v>
      </c>
      <c r="W46" s="1575">
        <f t="shared" si="14"/>
        <v>100</v>
      </c>
      <c r="X46" s="1568"/>
      <c r="Y46" s="3463"/>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62" t="str">
        <f>A47</f>
        <v>成交单价（元/平方米）</v>
      </c>
      <c r="Q47" s="3362"/>
      <c r="R47" s="3462">
        <f>E47</f>
        <v>0</v>
      </c>
      <c r="S47" s="3462"/>
      <c r="T47" s="3462">
        <f>G47</f>
        <v>0</v>
      </c>
      <c r="U47" s="3462"/>
      <c r="V47" s="3462">
        <f>I47</f>
        <v>0</v>
      </c>
      <c r="W47" s="3462"/>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08"/>
      <c r="L48" s="2146"/>
      <c r="M48" s="2147"/>
      <c r="N48" s="2147"/>
      <c r="O48" s="2147"/>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0"/>
      <c r="Y48" s="1560"/>
      <c r="Z48" s="1560"/>
      <c r="AA48" s="1560"/>
      <c r="AB48" s="1560"/>
      <c r="AC48" s="1560"/>
    </row>
    <row r="49" spans="1:29" ht="15.75" thickBot="1">
      <c r="A49" s="621" t="s">
        <v>2935</v>
      </c>
      <c r="B49" s="622"/>
      <c r="C49" s="2638" t="e">
        <f>R49</f>
        <v>#DIV/0!</v>
      </c>
      <c r="D49" s="2638"/>
      <c r="E49" s="2638"/>
      <c r="F49" s="2638"/>
      <c r="G49" s="2638"/>
      <c r="H49" s="2638"/>
      <c r="I49" s="2638"/>
      <c r="J49" s="2638"/>
      <c r="K49" s="1609"/>
      <c r="L49" s="2146"/>
      <c r="M49" s="2147"/>
      <c r="N49" s="2147"/>
      <c r="O49" s="2147"/>
      <c r="P49" s="3383" t="str">
        <f>A49</f>
        <v>估价对象XX用房的比较价格（楼面单价，元/平方米）</v>
      </c>
      <c r="Q49" s="3384"/>
      <c r="R49" s="3461" t="e">
        <f>IF(F1="售价",ROUND(AVERAGE(R48:V48),0),ROUND(AVERAGE(R48:V48),1))</f>
        <v>#DIV/0!</v>
      </c>
      <c r="S49" s="3461"/>
      <c r="T49" s="3461"/>
      <c r="U49" s="3461"/>
      <c r="V49" s="3461"/>
      <c r="W49" s="346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9" sqref="C129:F1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8" t="s">
        <v>522</v>
      </c>
      <c r="D4" s="3369"/>
      <c r="E4" s="3392" t="s">
        <v>523</v>
      </c>
      <c r="F4" s="3393"/>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79" t="s">
        <v>2929</v>
      </c>
      <c r="D5" s="3380"/>
      <c r="E5" s="3394" t="s">
        <v>2930</v>
      </c>
      <c r="F5" s="3395"/>
      <c r="G5" s="3379" t="s">
        <v>2931</v>
      </c>
      <c r="H5" s="3380"/>
      <c r="I5" s="3379" t="s">
        <v>2932</v>
      </c>
      <c r="J5" s="3380"/>
      <c r="K5" s="514"/>
      <c r="L5" s="2135"/>
      <c r="M5" s="2136"/>
      <c r="N5" s="2136"/>
      <c r="O5" s="2136"/>
      <c r="P5" s="3372"/>
      <c r="Q5" s="3373"/>
      <c r="R5" s="3358"/>
      <c r="S5" s="3359"/>
      <c r="T5" s="3358"/>
      <c r="U5" s="3359"/>
      <c r="V5" s="3376"/>
      <c r="W5" s="3376"/>
      <c r="X5" s="1568"/>
      <c r="Y5" s="3358"/>
      <c r="Z5" s="3359"/>
      <c r="AA5" s="3352"/>
      <c r="AB5" s="3376"/>
      <c r="AC5" s="3352"/>
    </row>
    <row r="6" spans="1:29" ht="15.75" thickBot="1">
      <c r="A6" s="517"/>
      <c r="B6" s="518"/>
      <c r="C6" s="3377" t="s">
        <v>2933</v>
      </c>
      <c r="D6" s="3378"/>
      <c r="E6" s="3396" t="s">
        <v>2933</v>
      </c>
      <c r="F6" s="3397"/>
      <c r="G6" s="3377" t="s">
        <v>2933</v>
      </c>
      <c r="H6" s="3378"/>
      <c r="I6" s="3377" t="s">
        <v>2933</v>
      </c>
      <c r="J6" s="3378"/>
      <c r="K6" s="514" t="s">
        <v>528</v>
      </c>
      <c r="L6" s="2135"/>
      <c r="M6" s="2136"/>
      <c r="N6" s="2136"/>
      <c r="O6" s="2136"/>
      <c r="P6" s="3374"/>
      <c r="Q6" s="3375"/>
      <c r="R6" s="3358"/>
      <c r="S6" s="3359"/>
      <c r="T6" s="3360"/>
      <c r="U6" s="3361"/>
      <c r="V6" s="3376"/>
      <c r="W6" s="3376"/>
      <c r="X6" s="1568"/>
      <c r="Y6" s="3360"/>
      <c r="Z6" s="3361"/>
      <c r="AA6" s="3353"/>
      <c r="AB6" s="3376"/>
      <c r="AC6" s="3353"/>
    </row>
    <row r="7" spans="1:29" s="1220" customFormat="1" ht="15.75" thickBot="1">
      <c r="A7" s="2914"/>
      <c r="B7" s="2921" t="s">
        <v>529</v>
      </c>
      <c r="C7" s="519">
        <f>'数据-取费表'!B2</f>
        <v>43384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12"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65"/>
      <c r="Q22" s="2581"/>
      <c r="R22" s="1574"/>
      <c r="S22" s="1575"/>
      <c r="T22" s="1574"/>
      <c r="U22" s="1575"/>
      <c r="V22" s="1574"/>
      <c r="W22" s="1575"/>
      <c r="X22" s="2583"/>
      <c r="Y22" s="336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5"/>
      <c r="Q25" s="1573" t="str">
        <f t="shared" ref="Q25:Q46" si="11">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5"/>
      <c r="Q26" s="1573" t="str">
        <f t="shared" si="11"/>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5"/>
      <c r="Q27" s="1151" t="str">
        <f t="shared" si="11"/>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5"/>
      <c r="Q29" s="1573">
        <f t="shared" si="11"/>
        <v>111</v>
      </c>
      <c r="R29" s="1574" t="s">
        <v>8</v>
      </c>
      <c r="S29" s="1575">
        <f t="shared" si="12"/>
        <v>100</v>
      </c>
      <c r="T29" s="1574" t="s">
        <v>8</v>
      </c>
      <c r="U29" s="1575">
        <f t="shared" si="13"/>
        <v>100</v>
      </c>
      <c r="V29" s="1574" t="s">
        <v>8</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6" t="s">
        <v>550</v>
      </c>
      <c r="Q32" s="1573" t="str">
        <f t="shared" si="11"/>
        <v>商业类型</v>
      </c>
      <c r="R32" s="1574" t="s">
        <v>8</v>
      </c>
      <c r="S32" s="1575">
        <f t="shared" si="12"/>
        <v>100</v>
      </c>
      <c r="T32" s="1574" t="s">
        <v>8</v>
      </c>
      <c r="U32" s="1575">
        <f t="shared" si="13"/>
        <v>100</v>
      </c>
      <c r="V32" s="1574" t="s">
        <v>8</v>
      </c>
      <c r="W32" s="1575">
        <f t="shared" si="14"/>
        <v>100</v>
      </c>
      <c r="X32" s="1568"/>
      <c r="Y32" s="336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7"/>
      <c r="Q33" s="1606" t="str">
        <f t="shared" si="11"/>
        <v>项目建筑规模</v>
      </c>
      <c r="R33" s="1578" t="s">
        <v>8</v>
      </c>
      <c r="S33" s="1579" t="e">
        <f t="shared" si="12"/>
        <v>#N/A</v>
      </c>
      <c r="T33" s="1578" t="s">
        <v>8</v>
      </c>
      <c r="U33" s="1579" t="e">
        <f t="shared" si="13"/>
        <v>#N/A</v>
      </c>
      <c r="V33" s="1578" t="s">
        <v>8</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7"/>
      <c r="Q34" s="1573" t="str">
        <f t="shared" si="11"/>
        <v>建筑结构</v>
      </c>
      <c r="R34" s="1574" t="s">
        <v>8</v>
      </c>
      <c r="S34" s="1575">
        <f t="shared" si="12"/>
        <v>100</v>
      </c>
      <c r="T34" s="1574" t="s">
        <v>8</v>
      </c>
      <c r="U34" s="1575">
        <f t="shared" si="13"/>
        <v>100</v>
      </c>
      <c r="V34" s="1574" t="s">
        <v>8</v>
      </c>
      <c r="W34" s="1575">
        <f t="shared" si="14"/>
        <v>100</v>
      </c>
      <c r="X34" s="1568"/>
      <c r="Y34" s="336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7"/>
      <c r="Q35" s="1573" t="str">
        <f t="shared" si="11"/>
        <v>公共部分装修</v>
      </c>
      <c r="R35" s="1574" t="s">
        <v>8</v>
      </c>
      <c r="S35" s="1575">
        <f t="shared" si="12"/>
        <v>100</v>
      </c>
      <c r="T35" s="1574" t="s">
        <v>8</v>
      </c>
      <c r="U35" s="1575">
        <f t="shared" si="13"/>
        <v>100</v>
      </c>
      <c r="V35" s="1574" t="s">
        <v>8</v>
      </c>
      <c r="W35" s="1575">
        <f t="shared" si="14"/>
        <v>100</v>
      </c>
      <c r="X35" s="1568"/>
      <c r="Y35" s="336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7"/>
      <c r="Q36" s="1573" t="str">
        <f t="shared" si="11"/>
        <v>成新度</v>
      </c>
      <c r="R36" s="1574" t="s">
        <v>8</v>
      </c>
      <c r="S36" s="1575" t="e">
        <f t="shared" si="12"/>
        <v>#N/A</v>
      </c>
      <c r="T36" s="1574" t="s">
        <v>8</v>
      </c>
      <c r="U36" s="1575" t="e">
        <f t="shared" si="13"/>
        <v>#N/A</v>
      </c>
      <c r="V36" s="1574" t="s">
        <v>8</v>
      </c>
      <c r="W36" s="1575" t="e">
        <f t="shared" si="14"/>
        <v>#N/A</v>
      </c>
      <c r="X36" s="1568"/>
      <c r="Y36" s="3367"/>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7"/>
      <c r="Q37" s="1151" t="str">
        <f t="shared" si="11"/>
        <v>市政基础设施</v>
      </c>
      <c r="R37" s="1569" t="s">
        <v>8</v>
      </c>
      <c r="S37" s="1570">
        <f t="shared" si="12"/>
        <v>100</v>
      </c>
      <c r="T37" s="1569" t="s">
        <v>8</v>
      </c>
      <c r="U37" s="1570">
        <f t="shared" si="13"/>
        <v>100</v>
      </c>
      <c r="V37" s="1569" t="s">
        <v>8</v>
      </c>
      <c r="W37" s="1570">
        <f t="shared" si="14"/>
        <v>100</v>
      </c>
      <c r="X37" s="1571"/>
      <c r="Y37" s="336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7" t="s">
        <v>766</v>
      </c>
      <c r="Q38" s="1573" t="str">
        <f t="shared" si="11"/>
        <v>业态</v>
      </c>
      <c r="R38" s="1574" t="s">
        <v>8</v>
      </c>
      <c r="S38" s="1575">
        <f t="shared" si="12"/>
        <v>100</v>
      </c>
      <c r="T38" s="1574" t="s">
        <v>8</v>
      </c>
      <c r="U38" s="1575">
        <f t="shared" si="13"/>
        <v>100</v>
      </c>
      <c r="V38" s="1574" t="s">
        <v>8</v>
      </c>
      <c r="W38" s="1575">
        <f t="shared" si="14"/>
        <v>100</v>
      </c>
      <c r="X38" s="1568"/>
      <c r="Y38" s="336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c r="Q39" s="1573" t="str">
        <f t="shared" si="11"/>
        <v>层高</v>
      </c>
      <c r="R39" s="1574" t="s">
        <v>8</v>
      </c>
      <c r="S39" s="1575">
        <f t="shared" si="12"/>
        <v>100</v>
      </c>
      <c r="T39" s="1574" t="s">
        <v>8</v>
      </c>
      <c r="U39" s="1575">
        <f t="shared" si="13"/>
        <v>100</v>
      </c>
      <c r="V39" s="1574" t="s">
        <v>8</v>
      </c>
      <c r="W39" s="1575">
        <f t="shared" si="14"/>
        <v>100</v>
      </c>
      <c r="X39" s="1568"/>
      <c r="Y39" s="336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7"/>
      <c r="Q40" s="1573" t="str">
        <f t="shared" si="11"/>
        <v>单套建筑面积</v>
      </c>
      <c r="R40" s="1574" t="s">
        <v>8</v>
      </c>
      <c r="S40" s="1575">
        <f t="shared" si="12"/>
        <v>100</v>
      </c>
      <c r="T40" s="1574" t="s">
        <v>8</v>
      </c>
      <c r="U40" s="1575">
        <f t="shared" si="13"/>
        <v>100</v>
      </c>
      <c r="V40" s="1574" t="s">
        <v>8</v>
      </c>
      <c r="W40" s="1575">
        <f t="shared" si="14"/>
        <v>100</v>
      </c>
      <c r="X40" s="1568"/>
      <c r="Y40" s="336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7"/>
      <c r="Q41" s="1606" t="str">
        <f t="shared" si="11"/>
        <v>进深比</v>
      </c>
      <c r="R41" s="1578" t="s">
        <v>8</v>
      </c>
      <c r="S41" s="1579">
        <f t="shared" si="12"/>
        <v>100</v>
      </c>
      <c r="T41" s="1578" t="s">
        <v>8</v>
      </c>
      <c r="U41" s="1579">
        <f t="shared" si="13"/>
        <v>100</v>
      </c>
      <c r="V41" s="1578" t="s">
        <v>8</v>
      </c>
      <c r="W41" s="1579">
        <f t="shared" si="14"/>
        <v>100</v>
      </c>
      <c r="X41" s="1580"/>
      <c r="Y41" s="336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7"/>
      <c r="Q42" s="1573" t="str">
        <f t="shared" si="11"/>
        <v>内部装修</v>
      </c>
      <c r="R42" s="1574" t="s">
        <v>8</v>
      </c>
      <c r="S42" s="1575">
        <f t="shared" si="12"/>
        <v>100</v>
      </c>
      <c r="T42" s="1574" t="s">
        <v>8</v>
      </c>
      <c r="U42" s="1575">
        <f t="shared" si="13"/>
        <v>100</v>
      </c>
      <c r="V42" s="1574" t="s">
        <v>8</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7"/>
      <c r="Q43" s="1573" t="str">
        <f t="shared" si="11"/>
        <v>内部装修维护情况</v>
      </c>
      <c r="R43" s="1574" t="s">
        <v>8</v>
      </c>
      <c r="S43" s="1575">
        <f t="shared" si="12"/>
        <v>100</v>
      </c>
      <c r="T43" s="1574" t="s">
        <v>8</v>
      </c>
      <c r="U43" s="1575">
        <f t="shared" si="13"/>
        <v>100</v>
      </c>
      <c r="V43" s="1574" t="s">
        <v>8</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7"/>
      <c r="Q44" s="1151">
        <f t="shared" si="11"/>
        <v>111</v>
      </c>
      <c r="R44" s="1569" t="s">
        <v>8</v>
      </c>
      <c r="S44" s="1570">
        <f t="shared" si="12"/>
        <v>100</v>
      </c>
      <c r="T44" s="1569" t="s">
        <v>8</v>
      </c>
      <c r="U44" s="1570">
        <f t="shared" si="13"/>
        <v>100</v>
      </c>
      <c r="V44" s="1569" t="s">
        <v>8</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7"/>
      <c r="Q45" s="1573">
        <f t="shared" si="11"/>
        <v>111</v>
      </c>
      <c r="R45" s="1574" t="s">
        <v>8</v>
      </c>
      <c r="S45" s="1575">
        <f t="shared" si="12"/>
        <v>100</v>
      </c>
      <c r="T45" s="1574" t="s">
        <v>8</v>
      </c>
      <c r="U45" s="1575">
        <f t="shared" si="13"/>
        <v>100</v>
      </c>
      <c r="V45" s="1574" t="s">
        <v>8</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3"/>
      <c r="Q46" s="1573">
        <f t="shared" si="11"/>
        <v>111</v>
      </c>
      <c r="R46" s="1574" t="s">
        <v>8</v>
      </c>
      <c r="S46" s="1575">
        <f t="shared" si="12"/>
        <v>100</v>
      </c>
      <c r="T46" s="1574" t="s">
        <v>8</v>
      </c>
      <c r="U46" s="1575">
        <f t="shared" si="13"/>
        <v>100</v>
      </c>
      <c r="V46" s="1574" t="s">
        <v>8</v>
      </c>
      <c r="W46" s="1575">
        <f t="shared" si="14"/>
        <v>100</v>
      </c>
      <c r="X46" s="1568"/>
      <c r="Y46" s="3463"/>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62" t="str">
        <f>A47</f>
        <v>成交单价（元/平方米）</v>
      </c>
      <c r="Q47" s="3362"/>
      <c r="R47" s="3462">
        <f>E47</f>
        <v>0</v>
      </c>
      <c r="S47" s="3462"/>
      <c r="T47" s="3462">
        <f>G47</f>
        <v>0</v>
      </c>
      <c r="U47" s="3462"/>
      <c r="V47" s="3462">
        <f>I47</f>
        <v>0</v>
      </c>
      <c r="W47" s="3462"/>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0"/>
      <c r="Y48" s="1560"/>
      <c r="Z48" s="1560"/>
      <c r="AA48" s="1560"/>
      <c r="AB48" s="1560"/>
      <c r="AC48" s="1560"/>
    </row>
    <row r="49" spans="1:29" ht="15.75" thickBot="1">
      <c r="A49" s="621" t="s">
        <v>2935</v>
      </c>
      <c r="B49" s="622"/>
      <c r="C49" s="2638" t="e">
        <f>R49</f>
        <v>#DIV/0!</v>
      </c>
      <c r="D49" s="2638"/>
      <c r="E49" s="2638"/>
      <c r="F49" s="2638"/>
      <c r="G49" s="2638"/>
      <c r="H49" s="2638"/>
      <c r="I49" s="2638"/>
      <c r="J49" s="2638"/>
      <c r="K49" s="1614"/>
      <c r="L49" s="2146"/>
      <c r="M49" s="2147"/>
      <c r="N49" s="2136"/>
      <c r="O49" s="2147"/>
      <c r="P49" s="3383" t="str">
        <f>A49</f>
        <v>估价对象XX用房的比较价格（楼面单价，元/平方米）</v>
      </c>
      <c r="Q49" s="3384"/>
      <c r="R49" s="3461" t="e">
        <f>IF(F1="售价",ROUND(AVERAGE(R48:V48),0),ROUND(AVERAGE(R48:V48),1))</f>
        <v>#DIV/0!</v>
      </c>
      <c r="S49" s="3461"/>
      <c r="T49" s="3461"/>
      <c r="U49" s="3461"/>
      <c r="V49" s="3461"/>
      <c r="W49" s="346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9" sqref="C129:F1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8" t="s">
        <v>522</v>
      </c>
      <c r="D4" s="3369"/>
      <c r="E4" s="3392" t="s">
        <v>523</v>
      </c>
      <c r="F4" s="3393"/>
      <c r="G4" s="3368" t="s">
        <v>524</v>
      </c>
      <c r="H4" s="3369"/>
      <c r="I4" s="3368" t="s">
        <v>525</v>
      </c>
      <c r="J4" s="3369"/>
      <c r="K4" s="514" t="s">
        <v>526</v>
      </c>
      <c r="L4" s="2135"/>
      <c r="M4" s="2136"/>
      <c r="N4" s="2136"/>
      <c r="O4" s="2136"/>
      <c r="P4" s="3464"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2929</v>
      </c>
      <c r="D5" s="3380"/>
      <c r="E5" s="3394" t="s">
        <v>2930</v>
      </c>
      <c r="F5" s="3395"/>
      <c r="G5" s="3379" t="s">
        <v>2931</v>
      </c>
      <c r="H5" s="3380"/>
      <c r="I5" s="3379" t="s">
        <v>2932</v>
      </c>
      <c r="J5" s="3380"/>
      <c r="K5" s="514"/>
      <c r="L5" s="2135"/>
      <c r="M5" s="2136"/>
      <c r="N5" s="2136"/>
      <c r="O5" s="2136"/>
      <c r="P5" s="3465"/>
      <c r="Q5" s="3373"/>
      <c r="R5" s="3358"/>
      <c r="S5" s="3359"/>
      <c r="T5" s="3358"/>
      <c r="U5" s="3359"/>
      <c r="V5" s="3376"/>
      <c r="W5" s="3376"/>
      <c r="X5" s="1568"/>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5"/>
      <c r="M6" s="2136"/>
      <c r="N6" s="2136"/>
      <c r="O6" s="2136"/>
      <c r="P6" s="3466"/>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43384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12"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5"/>
      <c r="Q18" s="1573"/>
      <c r="R18" s="1574"/>
      <c r="S18" s="1575"/>
      <c r="T18" s="1574"/>
      <c r="U18" s="1575"/>
      <c r="V18" s="1574"/>
      <c r="W18" s="1575"/>
      <c r="X18" s="1568"/>
      <c r="Y18" s="3365"/>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5"/>
      <c r="Q20" s="1573"/>
      <c r="R20" s="1574"/>
      <c r="S20" s="1575"/>
      <c r="T20" s="1574"/>
      <c r="U20" s="1575"/>
      <c r="V20" s="1574"/>
      <c r="W20" s="1575"/>
      <c r="X20" s="1568"/>
      <c r="Y20" s="3365"/>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65"/>
      <c r="Q22" s="2581"/>
      <c r="R22" s="1574"/>
      <c r="S22" s="1575"/>
      <c r="T22" s="1574"/>
      <c r="U22" s="1575"/>
      <c r="V22" s="1574"/>
      <c r="W22" s="1575"/>
      <c r="X22" s="2583"/>
      <c r="Y22" s="336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5"/>
      <c r="Q27" s="1573" t="str">
        <f t="shared" ref="Q27:Q47" si="11">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5"/>
      <c r="Q28" s="1151" t="str">
        <f t="shared" si="11"/>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5"/>
      <c r="Q29" s="1573">
        <f t="shared" si="11"/>
        <v>111</v>
      </c>
      <c r="R29" s="1574" t="s">
        <v>8</v>
      </c>
      <c r="S29" s="1575">
        <f t="shared" ref="S29:S47" si="12">F29</f>
        <v>100</v>
      </c>
      <c r="T29" s="1574" t="s">
        <v>8</v>
      </c>
      <c r="U29" s="1575">
        <f t="shared" ref="U29:U47" si="13">H29</f>
        <v>100</v>
      </c>
      <c r="V29" s="1574" t="s">
        <v>8</v>
      </c>
      <c r="W29" s="1575">
        <f t="shared" ref="W29:W47" si="14">J29</f>
        <v>100</v>
      </c>
      <c r="X29" s="1568"/>
      <c r="Y29" s="336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5"/>
      <c r="Q32" s="1573">
        <f t="shared" si="11"/>
        <v>111</v>
      </c>
      <c r="R32" s="1574" t="s">
        <v>8</v>
      </c>
      <c r="S32" s="1575">
        <f t="shared" si="12"/>
        <v>100</v>
      </c>
      <c r="T32" s="1574" t="s">
        <v>8</v>
      </c>
      <c r="U32" s="1575">
        <f t="shared" si="13"/>
        <v>100</v>
      </c>
      <c r="V32" s="1574" t="s">
        <v>8</v>
      </c>
      <c r="W32" s="1575">
        <f t="shared" si="14"/>
        <v>100</v>
      </c>
      <c r="X32" s="1568"/>
      <c r="Y32" s="3365"/>
      <c r="Z32" s="1576">
        <f t="shared" si="15"/>
        <v>111</v>
      </c>
      <c r="AA32" s="1577">
        <f t="shared" si="3"/>
        <v>1</v>
      </c>
      <c r="AB32" s="1577">
        <f t="shared" si="4"/>
        <v>1</v>
      </c>
      <c r="AC32" s="1577">
        <f t="shared" si="5"/>
        <v>1</v>
      </c>
    </row>
    <row r="33" spans="1:29" ht="15">
      <c r="A33" s="2909"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6" t="s">
        <v>550</v>
      </c>
      <c r="Q33" s="1573" t="str">
        <f t="shared" si="11"/>
        <v>建筑类型</v>
      </c>
      <c r="R33" s="1574" t="s">
        <v>8</v>
      </c>
      <c r="S33" s="1575">
        <f t="shared" si="12"/>
        <v>100</v>
      </c>
      <c r="T33" s="1574" t="s">
        <v>8</v>
      </c>
      <c r="U33" s="1575">
        <f t="shared" si="13"/>
        <v>100</v>
      </c>
      <c r="V33" s="1574" t="s">
        <v>8</v>
      </c>
      <c r="W33" s="1575">
        <f t="shared" si="14"/>
        <v>100</v>
      </c>
      <c r="X33" s="1568"/>
      <c r="Y33" s="336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7"/>
      <c r="Q34" s="1606" t="str">
        <f t="shared" si="11"/>
        <v>项目建筑规模</v>
      </c>
      <c r="R34" s="1578" t="s">
        <v>8</v>
      </c>
      <c r="S34" s="1579" t="e">
        <f t="shared" si="12"/>
        <v>#N/A</v>
      </c>
      <c r="T34" s="1578" t="s">
        <v>8</v>
      </c>
      <c r="U34" s="1579" t="e">
        <f t="shared" si="13"/>
        <v>#N/A</v>
      </c>
      <c r="V34" s="1578" t="s">
        <v>8</v>
      </c>
      <c r="W34" s="1579" t="e">
        <f t="shared" si="14"/>
        <v>#N/A</v>
      </c>
      <c r="X34" s="1580"/>
      <c r="Y34" s="336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7"/>
      <c r="Q35" s="1573" t="str">
        <f t="shared" si="11"/>
        <v>建筑结构</v>
      </c>
      <c r="R35" s="1574" t="s">
        <v>8</v>
      </c>
      <c r="S35" s="1575">
        <f t="shared" si="12"/>
        <v>100</v>
      </c>
      <c r="T35" s="1574" t="s">
        <v>8</v>
      </c>
      <c r="U35" s="1575">
        <f t="shared" si="13"/>
        <v>100</v>
      </c>
      <c r="V35" s="1574" t="s">
        <v>8</v>
      </c>
      <c r="W35" s="1575">
        <f t="shared" si="14"/>
        <v>100</v>
      </c>
      <c r="X35" s="1568"/>
      <c r="Y35" s="336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7"/>
      <c r="Q36" s="1573" t="str">
        <f t="shared" si="11"/>
        <v>公共部分装修</v>
      </c>
      <c r="R36" s="1574" t="s">
        <v>8</v>
      </c>
      <c r="S36" s="1575">
        <f t="shared" si="12"/>
        <v>100</v>
      </c>
      <c r="T36" s="1574" t="s">
        <v>8</v>
      </c>
      <c r="U36" s="1575">
        <f t="shared" si="13"/>
        <v>100</v>
      </c>
      <c r="V36" s="1574" t="s">
        <v>8</v>
      </c>
      <c r="W36" s="1575">
        <f t="shared" si="14"/>
        <v>100</v>
      </c>
      <c r="X36" s="1568"/>
      <c r="Y36" s="336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7"/>
      <c r="Q37" s="1573" t="str">
        <f t="shared" si="11"/>
        <v>成新度</v>
      </c>
      <c r="R37" s="1574" t="s">
        <v>8</v>
      </c>
      <c r="S37" s="1575" t="e">
        <f t="shared" si="12"/>
        <v>#N/A</v>
      </c>
      <c r="T37" s="1574" t="s">
        <v>8</v>
      </c>
      <c r="U37" s="1575" t="e">
        <f t="shared" si="13"/>
        <v>#N/A</v>
      </c>
      <c r="V37" s="1574" t="s">
        <v>8</v>
      </c>
      <c r="W37" s="1575" t="e">
        <f t="shared" si="14"/>
        <v>#N/A</v>
      </c>
      <c r="X37" s="1568"/>
      <c r="Y37" s="336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7"/>
      <c r="Q38" s="1151" t="str">
        <f t="shared" si="11"/>
        <v>写字楼等级</v>
      </c>
      <c r="R38" s="1569" t="s">
        <v>8</v>
      </c>
      <c r="S38" s="1570">
        <f t="shared" si="12"/>
        <v>100</v>
      </c>
      <c r="T38" s="1569" t="s">
        <v>8</v>
      </c>
      <c r="U38" s="1570">
        <f t="shared" si="13"/>
        <v>100</v>
      </c>
      <c r="V38" s="1569" t="s">
        <v>8</v>
      </c>
      <c r="W38" s="1570">
        <f t="shared" si="14"/>
        <v>100</v>
      </c>
      <c r="X38" s="1571"/>
      <c r="Y38" s="336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7" t="s">
        <v>550</v>
      </c>
      <c r="Q39" s="1573" t="str">
        <f t="shared" si="11"/>
        <v>物业管理</v>
      </c>
      <c r="R39" s="1574" t="s">
        <v>8</v>
      </c>
      <c r="S39" s="1575">
        <f t="shared" si="12"/>
        <v>100</v>
      </c>
      <c r="T39" s="1574" t="s">
        <v>8</v>
      </c>
      <c r="U39" s="1575">
        <f t="shared" si="13"/>
        <v>100</v>
      </c>
      <c r="V39" s="1574" t="s">
        <v>8</v>
      </c>
      <c r="W39" s="1575">
        <f t="shared" si="14"/>
        <v>100</v>
      </c>
      <c r="X39" s="1568"/>
      <c r="Y39" s="3367"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7"/>
      <c r="Q40" s="1573" t="str">
        <f t="shared" si="11"/>
        <v>市政基础设施</v>
      </c>
      <c r="R40" s="1574" t="s">
        <v>8</v>
      </c>
      <c r="S40" s="1575">
        <f t="shared" si="12"/>
        <v>100</v>
      </c>
      <c r="T40" s="1574" t="s">
        <v>8</v>
      </c>
      <c r="U40" s="1575">
        <f t="shared" si="13"/>
        <v>100</v>
      </c>
      <c r="V40" s="1574" t="s">
        <v>8</v>
      </c>
      <c r="W40" s="1575">
        <f t="shared" si="14"/>
        <v>100</v>
      </c>
      <c r="X40" s="1568"/>
      <c r="Y40" s="336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7"/>
      <c r="Q41" s="1573" t="str">
        <f t="shared" si="11"/>
        <v>层高</v>
      </c>
      <c r="R41" s="1574" t="s">
        <v>8</v>
      </c>
      <c r="S41" s="1575">
        <f t="shared" si="12"/>
        <v>100</v>
      </c>
      <c r="T41" s="1574" t="s">
        <v>8</v>
      </c>
      <c r="U41" s="1575">
        <f t="shared" si="13"/>
        <v>100</v>
      </c>
      <c r="V41" s="1574" t="s">
        <v>8</v>
      </c>
      <c r="W41" s="1575">
        <f t="shared" si="14"/>
        <v>100</v>
      </c>
      <c r="X41" s="1568"/>
      <c r="Y41" s="336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7"/>
      <c r="Q42" s="1606" t="str">
        <f t="shared" si="11"/>
        <v>单套建筑面积</v>
      </c>
      <c r="R42" s="1578" t="s">
        <v>8</v>
      </c>
      <c r="S42" s="1579">
        <f t="shared" si="12"/>
        <v>100</v>
      </c>
      <c r="T42" s="1578" t="s">
        <v>8</v>
      </c>
      <c r="U42" s="1579">
        <f t="shared" si="13"/>
        <v>100</v>
      </c>
      <c r="V42" s="1578" t="s">
        <v>8</v>
      </c>
      <c r="W42" s="1579">
        <f t="shared" si="14"/>
        <v>100</v>
      </c>
      <c r="X42" s="1580"/>
      <c r="Y42" s="336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7"/>
      <c r="Q43" s="1573" t="str">
        <f t="shared" si="11"/>
        <v>内部装修</v>
      </c>
      <c r="R43" s="1574" t="s">
        <v>8</v>
      </c>
      <c r="S43" s="1575">
        <f t="shared" si="12"/>
        <v>100</v>
      </c>
      <c r="T43" s="1574" t="s">
        <v>8</v>
      </c>
      <c r="U43" s="1575">
        <f t="shared" si="13"/>
        <v>100</v>
      </c>
      <c r="V43" s="1574" t="s">
        <v>8</v>
      </c>
      <c r="W43" s="1575">
        <f t="shared" si="14"/>
        <v>100</v>
      </c>
      <c r="X43" s="1568"/>
      <c r="Y43" s="336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7"/>
      <c r="Q44" s="1573" t="str">
        <f t="shared" si="11"/>
        <v>内部装修维护情况</v>
      </c>
      <c r="R44" s="1574" t="s">
        <v>8</v>
      </c>
      <c r="S44" s="1575">
        <f t="shared" si="12"/>
        <v>100</v>
      </c>
      <c r="T44" s="1574" t="s">
        <v>8</v>
      </c>
      <c r="U44" s="1575">
        <f t="shared" si="13"/>
        <v>100</v>
      </c>
      <c r="V44" s="1574" t="s">
        <v>8</v>
      </c>
      <c r="W44" s="1575">
        <f t="shared" si="14"/>
        <v>100</v>
      </c>
      <c r="X44" s="1568"/>
      <c r="Y44" s="336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7"/>
      <c r="Q45" s="1151">
        <f t="shared" si="11"/>
        <v>111</v>
      </c>
      <c r="R45" s="1569" t="s">
        <v>8</v>
      </c>
      <c r="S45" s="1570">
        <f t="shared" si="12"/>
        <v>100</v>
      </c>
      <c r="T45" s="1569" t="s">
        <v>8</v>
      </c>
      <c r="U45" s="1570">
        <f t="shared" si="13"/>
        <v>100</v>
      </c>
      <c r="V45" s="1569" t="s">
        <v>8</v>
      </c>
      <c r="W45" s="1570">
        <f t="shared" si="14"/>
        <v>100</v>
      </c>
      <c r="X45" s="1571"/>
      <c r="Y45" s="336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7"/>
      <c r="Q46" s="1573">
        <f t="shared" si="11"/>
        <v>111</v>
      </c>
      <c r="R46" s="1574" t="s">
        <v>8</v>
      </c>
      <c r="S46" s="1575">
        <f t="shared" si="12"/>
        <v>100</v>
      </c>
      <c r="T46" s="1574" t="s">
        <v>8</v>
      </c>
      <c r="U46" s="1575">
        <f t="shared" si="13"/>
        <v>100</v>
      </c>
      <c r="V46" s="1574" t="s">
        <v>8</v>
      </c>
      <c r="W46" s="1575">
        <f t="shared" si="14"/>
        <v>100</v>
      </c>
      <c r="X46" s="1568"/>
      <c r="Y46" s="336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3"/>
      <c r="Q47" s="1573">
        <f t="shared" si="11"/>
        <v>111</v>
      </c>
      <c r="R47" s="1574" t="s">
        <v>8</v>
      </c>
      <c r="S47" s="1575">
        <f t="shared" si="12"/>
        <v>100</v>
      </c>
      <c r="T47" s="1574" t="s">
        <v>8</v>
      </c>
      <c r="U47" s="1575">
        <f t="shared" si="13"/>
        <v>100</v>
      </c>
      <c r="V47" s="1574" t="s">
        <v>8</v>
      </c>
      <c r="W47" s="1575">
        <f t="shared" si="14"/>
        <v>100</v>
      </c>
      <c r="X47" s="1568"/>
      <c r="Y47" s="346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4" t="str">
        <f>A48</f>
        <v>成交单价（元/平方米）</v>
      </c>
      <c r="Q48" s="3362"/>
      <c r="R48" s="3462">
        <f>E48</f>
        <v>0</v>
      </c>
      <c r="S48" s="3462"/>
      <c r="T48" s="3462">
        <f>G48</f>
        <v>0</v>
      </c>
      <c r="U48" s="3462"/>
      <c r="V48" s="3462">
        <f>I48</f>
        <v>0</v>
      </c>
      <c r="W48" s="3462"/>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384" t="str">
        <f>A49</f>
        <v>比较价格（元/平方米）</v>
      </c>
      <c r="Q49" s="3362"/>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60"/>
      <c r="Y49" s="1560"/>
      <c r="Z49" s="1560"/>
      <c r="AA49" s="1560"/>
      <c r="AB49" s="1560"/>
      <c r="AC49" s="1560"/>
    </row>
    <row r="50" spans="1:29" ht="15.75" thickBot="1">
      <c r="A50" s="621" t="s">
        <v>2935</v>
      </c>
      <c r="B50" s="622"/>
      <c r="C50" s="2638" t="e">
        <f>R50</f>
        <v>#DIV/0!</v>
      </c>
      <c r="D50" s="2638"/>
      <c r="E50" s="2638"/>
      <c r="F50" s="2638"/>
      <c r="G50" s="2638"/>
      <c r="H50" s="2638"/>
      <c r="I50" s="2638"/>
      <c r="J50" s="2638"/>
      <c r="K50" s="1614"/>
      <c r="L50" s="2146"/>
      <c r="M50" s="2136"/>
      <c r="N50" s="2136"/>
      <c r="O50" s="2136"/>
      <c r="P50" s="3467" t="str">
        <f>A50</f>
        <v>估价对象XX用房的比较价格（楼面单价，元/平方米）</v>
      </c>
      <c r="Q50" s="3384"/>
      <c r="R50" s="3461" t="e">
        <f>IF(F1="售价",ROUND(AVERAGE(R49:V49),0),ROUND(AVERAGE(R49:V49),1))</f>
        <v>#DIV/0!</v>
      </c>
      <c r="S50" s="3461"/>
      <c r="T50" s="3461"/>
      <c r="U50" s="3461"/>
      <c r="V50" s="3461"/>
      <c r="W50" s="346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9" sqref="C129:F1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8" t="s">
        <v>522</v>
      </c>
      <c r="D4" s="3369"/>
      <c r="E4" s="3392" t="s">
        <v>523</v>
      </c>
      <c r="F4" s="3393"/>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79" t="s">
        <v>2929</v>
      </c>
      <c r="D5" s="3380"/>
      <c r="E5" s="3394" t="s">
        <v>2930</v>
      </c>
      <c r="F5" s="3395"/>
      <c r="G5" s="3379" t="s">
        <v>2931</v>
      </c>
      <c r="H5" s="3380"/>
      <c r="I5" s="3379" t="s">
        <v>2932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43384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912"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65"/>
      <c r="Q22" s="2581"/>
      <c r="R22" s="1574"/>
      <c r="S22" s="1575"/>
      <c r="T22" s="1574"/>
      <c r="U22" s="1575"/>
      <c r="V22" s="1574"/>
      <c r="W22" s="1575"/>
      <c r="X22" s="2583"/>
      <c r="Y22" s="336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5"/>
      <c r="Q26" s="1573">
        <f t="shared" ref="Q26:Q40" si="11">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5"/>
      <c r="Q27" s="1151">
        <f t="shared" si="11"/>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5"/>
      <c r="Q28" s="1573">
        <f t="shared" si="11"/>
        <v>111</v>
      </c>
      <c r="R28" s="1574" t="s">
        <v>8</v>
      </c>
      <c r="S28" s="1575">
        <f t="shared" ref="S28:S40" si="12">F28</f>
        <v>100</v>
      </c>
      <c r="T28" s="1574" t="s">
        <v>8</v>
      </c>
      <c r="U28" s="1575">
        <f t="shared" ref="U28:U40" si="13">H28</f>
        <v>100</v>
      </c>
      <c r="V28" s="1574" t="s">
        <v>8</v>
      </c>
      <c r="W28" s="1575">
        <f t="shared" ref="W28:W40" si="14">J28</f>
        <v>100</v>
      </c>
      <c r="X28" s="1568"/>
      <c r="Y28" s="3365"/>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6" t="s">
        <v>550</v>
      </c>
      <c r="Q29" s="1573" t="str">
        <f t="shared" si="11"/>
        <v>建筑类型</v>
      </c>
      <c r="R29" s="1574" t="s">
        <v>8</v>
      </c>
      <c r="S29" s="1575">
        <f t="shared" si="12"/>
        <v>100</v>
      </c>
      <c r="T29" s="1574" t="s">
        <v>8</v>
      </c>
      <c r="U29" s="1575">
        <f t="shared" si="13"/>
        <v>100</v>
      </c>
      <c r="V29" s="1574" t="s">
        <v>8</v>
      </c>
      <c r="W29" s="1575">
        <f t="shared" si="14"/>
        <v>100</v>
      </c>
      <c r="X29" s="1568"/>
      <c r="Y29" s="336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7"/>
      <c r="Q30" s="1606" t="str">
        <f t="shared" si="11"/>
        <v>项目建筑规模</v>
      </c>
      <c r="R30" s="1578" t="s">
        <v>8</v>
      </c>
      <c r="S30" s="1579" t="e">
        <f t="shared" si="12"/>
        <v>#N/A</v>
      </c>
      <c r="T30" s="1578" t="s">
        <v>8</v>
      </c>
      <c r="U30" s="1579" t="e">
        <f t="shared" si="13"/>
        <v>#N/A</v>
      </c>
      <c r="V30" s="1578" t="s">
        <v>8</v>
      </c>
      <c r="W30" s="1579" t="e">
        <f t="shared" si="14"/>
        <v>#N/A</v>
      </c>
      <c r="X30" s="1580"/>
      <c r="Y30" s="336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7"/>
      <c r="Q31" s="1573" t="str">
        <f t="shared" si="11"/>
        <v>建筑结构</v>
      </c>
      <c r="R31" s="1574" t="s">
        <v>8</v>
      </c>
      <c r="S31" s="1575">
        <f t="shared" si="12"/>
        <v>100</v>
      </c>
      <c r="T31" s="1574" t="s">
        <v>8</v>
      </c>
      <c r="U31" s="1575">
        <f t="shared" si="13"/>
        <v>100</v>
      </c>
      <c r="V31" s="1574" t="s">
        <v>8</v>
      </c>
      <c r="W31" s="1575">
        <f t="shared" si="14"/>
        <v>100</v>
      </c>
      <c r="X31" s="1568"/>
      <c r="Y31" s="336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7"/>
      <c r="Q32" s="1573" t="str">
        <f t="shared" si="11"/>
        <v>公共部分装修</v>
      </c>
      <c r="R32" s="1574" t="s">
        <v>8</v>
      </c>
      <c r="S32" s="1575">
        <f t="shared" si="12"/>
        <v>100</v>
      </c>
      <c r="T32" s="1574" t="s">
        <v>8</v>
      </c>
      <c r="U32" s="1575">
        <f t="shared" si="13"/>
        <v>100</v>
      </c>
      <c r="V32" s="1574" t="s">
        <v>8</v>
      </c>
      <c r="W32" s="1575">
        <f t="shared" si="14"/>
        <v>100</v>
      </c>
      <c r="X32" s="1568"/>
      <c r="Y32" s="336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7"/>
      <c r="Q33" s="1573" t="str">
        <f t="shared" si="11"/>
        <v>成新度</v>
      </c>
      <c r="R33" s="1574" t="s">
        <v>8</v>
      </c>
      <c r="S33" s="1575" t="e">
        <f t="shared" si="12"/>
        <v>#N/A</v>
      </c>
      <c r="T33" s="1574" t="s">
        <v>8</v>
      </c>
      <c r="U33" s="1575" t="e">
        <f t="shared" si="13"/>
        <v>#N/A</v>
      </c>
      <c r="V33" s="1574" t="s">
        <v>8</v>
      </c>
      <c r="W33" s="1575" t="e">
        <f t="shared" si="14"/>
        <v>#N/A</v>
      </c>
      <c r="X33" s="1568"/>
      <c r="Y33" s="336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7"/>
      <c r="Q34" s="1151" t="str">
        <f t="shared" si="11"/>
        <v>物业管理</v>
      </c>
      <c r="R34" s="1569" t="s">
        <v>8</v>
      </c>
      <c r="S34" s="1570">
        <f t="shared" si="12"/>
        <v>100</v>
      </c>
      <c r="T34" s="1569" t="s">
        <v>8</v>
      </c>
      <c r="U34" s="1570">
        <f t="shared" si="13"/>
        <v>100</v>
      </c>
      <c r="V34" s="1569" t="s">
        <v>8</v>
      </c>
      <c r="W34" s="1570">
        <f t="shared" si="14"/>
        <v>100</v>
      </c>
      <c r="X34" s="1571"/>
      <c r="Y34" s="3367"/>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7" t="s">
        <v>550</v>
      </c>
      <c r="Q35" s="1573" t="str">
        <f t="shared" si="11"/>
        <v>市政基础设施</v>
      </c>
      <c r="R35" s="1574" t="s">
        <v>8</v>
      </c>
      <c r="S35" s="1575">
        <f t="shared" si="12"/>
        <v>100</v>
      </c>
      <c r="T35" s="1574" t="s">
        <v>8</v>
      </c>
      <c r="U35" s="1575">
        <f t="shared" si="13"/>
        <v>100</v>
      </c>
      <c r="V35" s="1574" t="s">
        <v>8</v>
      </c>
      <c r="W35" s="1575">
        <f t="shared" si="14"/>
        <v>100</v>
      </c>
      <c r="X35" s="1568"/>
      <c r="Y35" s="336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7"/>
      <c r="Q36" s="1573" t="str">
        <f t="shared" si="11"/>
        <v>内部装修</v>
      </c>
      <c r="R36" s="1574" t="s">
        <v>8</v>
      </c>
      <c r="S36" s="1575">
        <f t="shared" si="12"/>
        <v>100</v>
      </c>
      <c r="T36" s="1574" t="s">
        <v>8</v>
      </c>
      <c r="U36" s="1575">
        <f t="shared" si="13"/>
        <v>100</v>
      </c>
      <c r="V36" s="1574" t="s">
        <v>8</v>
      </c>
      <c r="W36" s="1575">
        <f t="shared" si="14"/>
        <v>100</v>
      </c>
      <c r="X36" s="1568"/>
      <c r="Y36" s="336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7"/>
      <c r="Q37" s="1573" t="str">
        <f t="shared" si="11"/>
        <v>内部装修状况</v>
      </c>
      <c r="R37" s="1574" t="s">
        <v>8</v>
      </c>
      <c r="S37" s="1575">
        <f t="shared" si="12"/>
        <v>100</v>
      </c>
      <c r="T37" s="1574" t="s">
        <v>8</v>
      </c>
      <c r="U37" s="1575">
        <f t="shared" si="13"/>
        <v>100</v>
      </c>
      <c r="V37" s="1574" t="s">
        <v>8</v>
      </c>
      <c r="W37" s="1575">
        <f t="shared" si="14"/>
        <v>100</v>
      </c>
      <c r="X37" s="1568"/>
      <c r="Y37" s="336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7"/>
      <c r="Q38" s="1606">
        <f t="shared" si="11"/>
        <v>111</v>
      </c>
      <c r="R38" s="1578" t="s">
        <v>8</v>
      </c>
      <c r="S38" s="1579">
        <f t="shared" si="12"/>
        <v>100</v>
      </c>
      <c r="T38" s="1578" t="s">
        <v>8</v>
      </c>
      <c r="U38" s="1579">
        <f t="shared" si="13"/>
        <v>100</v>
      </c>
      <c r="V38" s="1578" t="s">
        <v>8</v>
      </c>
      <c r="W38" s="1579">
        <f t="shared" si="14"/>
        <v>100</v>
      </c>
      <c r="X38" s="1580"/>
      <c r="Y38" s="336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7"/>
      <c r="Q39" s="1573">
        <f t="shared" si="11"/>
        <v>111</v>
      </c>
      <c r="R39" s="1574" t="s">
        <v>8</v>
      </c>
      <c r="S39" s="1575">
        <f t="shared" si="12"/>
        <v>100</v>
      </c>
      <c r="T39" s="1574" t="s">
        <v>8</v>
      </c>
      <c r="U39" s="1575">
        <f t="shared" si="13"/>
        <v>100</v>
      </c>
      <c r="V39" s="1574" t="s">
        <v>8</v>
      </c>
      <c r="W39" s="1575">
        <f t="shared" si="14"/>
        <v>100</v>
      </c>
      <c r="X39" s="1568"/>
      <c r="Y39" s="336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3"/>
      <c r="Q40" s="1573">
        <f t="shared" si="11"/>
        <v>111</v>
      </c>
      <c r="R40" s="1574" t="s">
        <v>8</v>
      </c>
      <c r="S40" s="1575">
        <f t="shared" si="12"/>
        <v>100</v>
      </c>
      <c r="T40" s="1574" t="s">
        <v>8</v>
      </c>
      <c r="U40" s="1575">
        <f t="shared" si="13"/>
        <v>100</v>
      </c>
      <c r="V40" s="1574" t="s">
        <v>8</v>
      </c>
      <c r="W40" s="1575">
        <f t="shared" si="14"/>
        <v>100</v>
      </c>
      <c r="X40" s="1568"/>
      <c r="Y40" s="346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62" t="str">
        <f>A41</f>
        <v>成交单价（元/平方米）</v>
      </c>
      <c r="Q41" s="3362"/>
      <c r="R41" s="3462">
        <f>E41</f>
        <v>0</v>
      </c>
      <c r="S41" s="3462"/>
      <c r="T41" s="3462">
        <f>G41</f>
        <v>0</v>
      </c>
      <c r="U41" s="3462"/>
      <c r="V41" s="3462">
        <f>I41</f>
        <v>0</v>
      </c>
      <c r="W41" s="3462"/>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62" t="str">
        <f>A42</f>
        <v>比较价格（元/平方米）</v>
      </c>
      <c r="Q42" s="3362"/>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60"/>
      <c r="Y42" s="1560"/>
      <c r="Z42" s="1560"/>
      <c r="AA42" s="1560"/>
      <c r="AB42" s="1560"/>
      <c r="AC42" s="1560"/>
    </row>
    <row r="43" spans="1:29" ht="15.75" thickBot="1">
      <c r="A43" s="621" t="s">
        <v>2935</v>
      </c>
      <c r="B43" s="622"/>
      <c r="C43" s="2638" t="e">
        <f>R43</f>
        <v>#DIV/0!</v>
      </c>
      <c r="D43" s="2638"/>
      <c r="E43" s="2638"/>
      <c r="F43" s="2638"/>
      <c r="G43" s="2638"/>
      <c r="H43" s="2638"/>
      <c r="I43" s="2638"/>
      <c r="J43" s="2638"/>
      <c r="K43" s="1614"/>
      <c r="L43" s="2146"/>
      <c r="M43" s="2147"/>
      <c r="N43" s="2147"/>
      <c r="O43" s="2147"/>
      <c r="P43" s="3383" t="str">
        <f>A43</f>
        <v>估价对象XX用房的比较价格（楼面单价，元/平方米）</v>
      </c>
      <c r="Q43" s="3384"/>
      <c r="R43" s="3461" t="e">
        <f>IF(F1="售价",ROUND(AVERAGE(R42:V42),0),ROUND(AVERAGE(R42:V42),1))</f>
        <v>#DIV/0!</v>
      </c>
      <c r="S43" s="3461"/>
      <c r="T43" s="3461"/>
      <c r="U43" s="3461"/>
      <c r="V43" s="3461"/>
      <c r="W43" s="346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9" sqref="C129:F1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2929</v>
      </c>
      <c r="D5" s="3380"/>
      <c r="E5" s="3379" t="s">
        <v>2930</v>
      </c>
      <c r="F5" s="3380"/>
      <c r="G5" s="3379" t="s">
        <v>2931</v>
      </c>
      <c r="H5" s="3380"/>
      <c r="I5" s="3379" t="s">
        <v>2932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2933</v>
      </c>
      <c r="D6" s="3378"/>
      <c r="E6" s="3381" t="s">
        <v>2933</v>
      </c>
      <c r="F6" s="3382"/>
      <c r="G6" s="3377" t="s">
        <v>2933</v>
      </c>
      <c r="H6" s="3378"/>
      <c r="I6" s="3377" t="s">
        <v>2933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43384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12"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5"/>
      <c r="Q18" s="2581" t="str">
        <f>B18</f>
        <v>基础设施水平</v>
      </c>
      <c r="R18" s="1574" t="s">
        <v>8</v>
      </c>
      <c r="S18" s="1575">
        <f>F18</f>
        <v>100</v>
      </c>
      <c r="T18" s="1574" t="s">
        <v>8</v>
      </c>
      <c r="U18" s="1575">
        <f>H18</f>
        <v>100</v>
      </c>
      <c r="V18" s="1574" t="s">
        <v>8</v>
      </c>
      <c r="W18" s="1575">
        <f>J18</f>
        <v>100</v>
      </c>
      <c r="X18" s="2583"/>
      <c r="Y18" s="336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65"/>
      <c r="Q19" s="2581"/>
      <c r="R19" s="1574"/>
      <c r="S19" s="1575"/>
      <c r="T19" s="1574"/>
      <c r="U19" s="1575"/>
      <c r="V19" s="1574"/>
      <c r="W19" s="1575"/>
      <c r="X19" s="2583"/>
      <c r="Y19" s="336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5"/>
      <c r="Q24" s="1573">
        <f t="shared" ref="Q24:Q36"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09"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7"/>
      <c r="Q27" s="1606" t="str">
        <f t="shared" si="11"/>
        <v>项目停车位配比</v>
      </c>
      <c r="R27" s="1578" t="s">
        <v>8</v>
      </c>
      <c r="S27" s="1579">
        <f t="shared" si="12"/>
        <v>100</v>
      </c>
      <c r="T27" s="1578" t="s">
        <v>8</v>
      </c>
      <c r="U27" s="1579">
        <f t="shared" si="13"/>
        <v>100</v>
      </c>
      <c r="V27" s="1578" t="s">
        <v>8</v>
      </c>
      <c r="W27" s="1579">
        <f t="shared" si="14"/>
        <v>100</v>
      </c>
      <c r="X27" s="1580"/>
      <c r="Y27" s="336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7"/>
      <c r="Q28" s="1573" t="str">
        <f t="shared" si="11"/>
        <v>公共部分装修</v>
      </c>
      <c r="R28" s="1574" t="s">
        <v>8</v>
      </c>
      <c r="S28" s="1575">
        <f t="shared" si="12"/>
        <v>100</v>
      </c>
      <c r="T28" s="1574" t="s">
        <v>8</v>
      </c>
      <c r="U28" s="1575">
        <f t="shared" si="13"/>
        <v>100</v>
      </c>
      <c r="V28" s="1574" t="s">
        <v>8</v>
      </c>
      <c r="W28" s="1575">
        <f t="shared" si="14"/>
        <v>100</v>
      </c>
      <c r="X28" s="1568"/>
      <c r="Y28" s="336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7"/>
      <c r="Q29" s="1573" t="str">
        <f t="shared" si="11"/>
        <v>成新率</v>
      </c>
      <c r="R29" s="1574" t="s">
        <v>8</v>
      </c>
      <c r="S29" s="1575" t="e">
        <f t="shared" si="12"/>
        <v>#N/A</v>
      </c>
      <c r="T29" s="1574" t="s">
        <v>8</v>
      </c>
      <c r="U29" s="1575" t="e">
        <f t="shared" si="13"/>
        <v>#N/A</v>
      </c>
      <c r="V29" s="1574" t="s">
        <v>8</v>
      </c>
      <c r="W29" s="1575" t="e">
        <f t="shared" si="14"/>
        <v>#N/A</v>
      </c>
      <c r="X29" s="1568"/>
      <c r="Y29" s="336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7"/>
      <c r="Q30" s="1573" t="str">
        <f t="shared" si="11"/>
        <v>物业等级</v>
      </c>
      <c r="R30" s="1574" t="s">
        <v>8</v>
      </c>
      <c r="S30" s="1575">
        <f t="shared" si="12"/>
        <v>100</v>
      </c>
      <c r="T30" s="1574" t="s">
        <v>8</v>
      </c>
      <c r="U30" s="1575">
        <f t="shared" si="13"/>
        <v>100</v>
      </c>
      <c r="V30" s="1574" t="s">
        <v>8</v>
      </c>
      <c r="W30" s="1575">
        <f t="shared" si="14"/>
        <v>100</v>
      </c>
      <c r="X30" s="1568"/>
      <c r="Y30" s="336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7"/>
      <c r="Q31" s="1151" t="str">
        <f t="shared" si="11"/>
        <v>停车位面积</v>
      </c>
      <c r="R31" s="1569" t="s">
        <v>8</v>
      </c>
      <c r="S31" s="1570" t="e">
        <f t="shared" si="12"/>
        <v>#N/A</v>
      </c>
      <c r="T31" s="1569" t="s">
        <v>8</v>
      </c>
      <c r="U31" s="1570" t="e">
        <f t="shared" si="13"/>
        <v>#N/A</v>
      </c>
      <c r="V31" s="1569" t="s">
        <v>8</v>
      </c>
      <c r="W31" s="1570" t="e">
        <f t="shared" si="14"/>
        <v>#N/A</v>
      </c>
      <c r="X31" s="1571"/>
      <c r="Y31" s="336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7" t="s">
        <v>550</v>
      </c>
      <c r="Q32" s="1573" t="str">
        <f t="shared" si="11"/>
        <v>车位类型</v>
      </c>
      <c r="R32" s="1574" t="s">
        <v>8</v>
      </c>
      <c r="S32" s="1575">
        <f t="shared" si="12"/>
        <v>100</v>
      </c>
      <c r="T32" s="1574" t="s">
        <v>8</v>
      </c>
      <c r="U32" s="1575">
        <f t="shared" si="13"/>
        <v>100</v>
      </c>
      <c r="V32" s="1574" t="s">
        <v>8</v>
      </c>
      <c r="W32" s="1575">
        <f t="shared" si="14"/>
        <v>100</v>
      </c>
      <c r="X32" s="1568"/>
      <c r="Y32" s="336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7"/>
      <c r="Q33" s="1573" t="str">
        <f t="shared" si="11"/>
        <v>是否直接入户</v>
      </c>
      <c r="R33" s="1574" t="s">
        <v>8</v>
      </c>
      <c r="S33" s="1575">
        <f t="shared" si="12"/>
        <v>100</v>
      </c>
      <c r="T33" s="1574" t="s">
        <v>8</v>
      </c>
      <c r="U33" s="1575">
        <f t="shared" si="13"/>
        <v>100</v>
      </c>
      <c r="V33" s="1574" t="s">
        <v>8</v>
      </c>
      <c r="W33" s="1575">
        <f t="shared" si="14"/>
        <v>100</v>
      </c>
      <c r="X33" s="1568"/>
      <c r="Y33" s="336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7"/>
      <c r="Q35" s="1606">
        <f t="shared" si="11"/>
        <v>111</v>
      </c>
      <c r="R35" s="1578" t="s">
        <v>8</v>
      </c>
      <c r="S35" s="1579">
        <f t="shared" si="12"/>
        <v>100</v>
      </c>
      <c r="T35" s="1578" t="s">
        <v>8</v>
      </c>
      <c r="U35" s="1579">
        <f t="shared" si="13"/>
        <v>100</v>
      </c>
      <c r="V35" s="1578" t="s">
        <v>8</v>
      </c>
      <c r="W35" s="1579">
        <f t="shared" si="14"/>
        <v>100</v>
      </c>
      <c r="X35" s="1580"/>
      <c r="Y35" s="336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7"/>
      <c r="Q36" s="1573">
        <f t="shared" si="11"/>
        <v>111</v>
      </c>
      <c r="R36" s="1574" t="s">
        <v>8</v>
      </c>
      <c r="S36" s="1575">
        <f t="shared" si="12"/>
        <v>100</v>
      </c>
      <c r="T36" s="1574" t="s">
        <v>8</v>
      </c>
      <c r="U36" s="1575">
        <f t="shared" si="13"/>
        <v>100</v>
      </c>
      <c r="V36" s="1574" t="s">
        <v>8</v>
      </c>
      <c r="W36" s="1575">
        <f t="shared" si="14"/>
        <v>100</v>
      </c>
      <c r="X36" s="1568"/>
      <c r="Y36" s="3367"/>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62" t="str">
        <f>A37</f>
        <v>成交单价</v>
      </c>
      <c r="Q37" s="3362"/>
      <c r="R37" s="3462">
        <f>E37</f>
        <v>0</v>
      </c>
      <c r="S37" s="3462"/>
      <c r="T37" s="3462">
        <f>G37</f>
        <v>0</v>
      </c>
      <c r="U37" s="3462"/>
      <c r="V37" s="3462">
        <f>I37</f>
        <v>0</v>
      </c>
      <c r="W37" s="3462"/>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62" t="str">
        <f>A38</f>
        <v>比较价格（元/平方米）</v>
      </c>
      <c r="Q38" s="3362"/>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60"/>
      <c r="Y38" s="1560"/>
      <c r="Z38" s="1560"/>
      <c r="AA38" s="1560"/>
      <c r="AB38" s="1560"/>
      <c r="AC38" s="1560"/>
    </row>
    <row r="39" spans="1:29" ht="15.75" thickBot="1">
      <c r="A39" s="621" t="s">
        <v>2935</v>
      </c>
      <c r="B39" s="622"/>
      <c r="C39" s="2638" t="e">
        <f>R39</f>
        <v>#DIV/0!</v>
      </c>
      <c r="D39" s="2638"/>
      <c r="E39" s="2638"/>
      <c r="F39" s="2638"/>
      <c r="G39" s="2638"/>
      <c r="H39" s="2638"/>
      <c r="I39" s="2638"/>
      <c r="J39" s="2638"/>
      <c r="K39" s="1614"/>
      <c r="L39" s="2146"/>
      <c r="M39" s="2147"/>
      <c r="N39" s="2147"/>
      <c r="O39" s="2147"/>
      <c r="P39" s="3383" t="str">
        <f>A39</f>
        <v>估价对象XX用房的比较价格（楼面单价，元/平方米）</v>
      </c>
      <c r="Q39" s="3384"/>
      <c r="R39" s="3461" t="e">
        <f>IF(F1="售价",ROUND(AVERAGE(R38:V38),0),ROUND(AVERAGE(R38:V38),1))</f>
        <v>#DIV/0!</v>
      </c>
      <c r="S39" s="3461"/>
      <c r="T39" s="3461"/>
      <c r="U39" s="3461"/>
      <c r="V39" s="3461"/>
      <c r="W39" s="346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9" sqref="C129:F1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92" t="s">
        <v>799</v>
      </c>
      <c r="F4" s="3393"/>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2929</v>
      </c>
      <c r="D5" s="3380"/>
      <c r="E5" s="3394" t="s">
        <v>2930</v>
      </c>
      <c r="F5" s="3395"/>
      <c r="G5" s="3379" t="s">
        <v>2931</v>
      </c>
      <c r="H5" s="3380"/>
      <c r="I5" s="3379" t="s">
        <v>2932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43384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12"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5"/>
      <c r="Q18" s="2581" t="str">
        <f>B18</f>
        <v>基础设施水平</v>
      </c>
      <c r="R18" s="1574" t="s">
        <v>8</v>
      </c>
      <c r="S18" s="1575">
        <f>F18</f>
        <v>100</v>
      </c>
      <c r="T18" s="1574" t="s">
        <v>8</v>
      </c>
      <c r="U18" s="1575">
        <f>H18</f>
        <v>100</v>
      </c>
      <c r="V18" s="1574" t="s">
        <v>8</v>
      </c>
      <c r="W18" s="1575">
        <f>J18</f>
        <v>100</v>
      </c>
      <c r="X18" s="2583"/>
      <c r="Y18" s="336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65"/>
      <c r="Q19" s="2581"/>
      <c r="R19" s="1574"/>
      <c r="S19" s="1575"/>
      <c r="T19" s="1574"/>
      <c r="U19" s="1575"/>
      <c r="V19" s="1574"/>
      <c r="W19" s="1575"/>
      <c r="X19" s="2583"/>
      <c r="Y19" s="336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5"/>
      <c r="Q24" s="1573">
        <f t="shared" ref="Q24:Q34"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7"/>
      <c r="Q27" s="1606" t="str">
        <f t="shared" si="11"/>
        <v>成新率</v>
      </c>
      <c r="R27" s="1578" t="s">
        <v>8</v>
      </c>
      <c r="S27" s="1579" t="e">
        <f t="shared" si="12"/>
        <v>#N/A</v>
      </c>
      <c r="T27" s="1578" t="s">
        <v>8</v>
      </c>
      <c r="U27" s="1579" t="e">
        <f t="shared" si="13"/>
        <v>#N/A</v>
      </c>
      <c r="V27" s="1578" t="s">
        <v>8</v>
      </c>
      <c r="W27" s="1579" t="e">
        <f t="shared" si="14"/>
        <v>#N/A</v>
      </c>
      <c r="X27" s="1580"/>
      <c r="Y27" s="336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7"/>
      <c r="Q28" s="1573" t="str">
        <f t="shared" si="11"/>
        <v>物业等级</v>
      </c>
      <c r="R28" s="1574" t="s">
        <v>8</v>
      </c>
      <c r="S28" s="1575">
        <f t="shared" si="12"/>
        <v>100</v>
      </c>
      <c r="T28" s="1574" t="s">
        <v>8</v>
      </c>
      <c r="U28" s="1575">
        <f t="shared" si="13"/>
        <v>100</v>
      </c>
      <c r="V28" s="1574" t="s">
        <v>8</v>
      </c>
      <c r="W28" s="1575">
        <f t="shared" si="14"/>
        <v>100</v>
      </c>
      <c r="X28" s="1568"/>
      <c r="Y28" s="336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7"/>
      <c r="Q29" s="1573" t="str">
        <f t="shared" si="11"/>
        <v>有无电梯</v>
      </c>
      <c r="R29" s="1574" t="s">
        <v>8</v>
      </c>
      <c r="S29" s="1575">
        <f t="shared" si="12"/>
        <v>100</v>
      </c>
      <c r="T29" s="1574" t="s">
        <v>8</v>
      </c>
      <c r="U29" s="1575">
        <f t="shared" si="13"/>
        <v>100</v>
      </c>
      <c r="V29" s="1574" t="s">
        <v>8</v>
      </c>
      <c r="W29" s="1575">
        <f t="shared" si="14"/>
        <v>100</v>
      </c>
      <c r="X29" s="1568"/>
      <c r="Y29" s="336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7"/>
      <c r="Q30" s="1573" t="str">
        <f t="shared" si="11"/>
        <v>建筑面积</v>
      </c>
      <c r="R30" s="1574" t="s">
        <v>8</v>
      </c>
      <c r="S30" s="1575" t="e">
        <f t="shared" si="12"/>
        <v>#N/A</v>
      </c>
      <c r="T30" s="1574" t="s">
        <v>8</v>
      </c>
      <c r="U30" s="1575" t="e">
        <f t="shared" si="13"/>
        <v>#N/A</v>
      </c>
      <c r="V30" s="1574" t="s">
        <v>8</v>
      </c>
      <c r="W30" s="1575" t="e">
        <f t="shared" si="14"/>
        <v>#N/A</v>
      </c>
      <c r="X30" s="1568"/>
      <c r="Y30" s="336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7"/>
      <c r="Q31" s="1151" t="str">
        <f t="shared" si="11"/>
        <v>是否封闭</v>
      </c>
      <c r="R31" s="1569" t="s">
        <v>8</v>
      </c>
      <c r="S31" s="1570">
        <f t="shared" si="12"/>
        <v>100</v>
      </c>
      <c r="T31" s="1569" t="s">
        <v>8</v>
      </c>
      <c r="U31" s="1570">
        <f t="shared" si="13"/>
        <v>100</v>
      </c>
      <c r="V31" s="1569" t="s">
        <v>8</v>
      </c>
      <c r="W31" s="1570">
        <f t="shared" si="14"/>
        <v>100</v>
      </c>
      <c r="X31" s="1571"/>
      <c r="Y31" s="336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7" t="s">
        <v>550</v>
      </c>
      <c r="Q32" s="1573">
        <f t="shared" si="11"/>
        <v>111</v>
      </c>
      <c r="R32" s="1574" t="s">
        <v>8</v>
      </c>
      <c r="S32" s="1575">
        <f t="shared" si="12"/>
        <v>100</v>
      </c>
      <c r="T32" s="1574" t="s">
        <v>8</v>
      </c>
      <c r="U32" s="1575">
        <f t="shared" si="13"/>
        <v>100</v>
      </c>
      <c r="V32" s="1574" t="s">
        <v>8</v>
      </c>
      <c r="W32" s="1575">
        <f t="shared" si="14"/>
        <v>100</v>
      </c>
      <c r="X32" s="1568"/>
      <c r="Y32" s="336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7"/>
      <c r="Q33" s="1573">
        <f t="shared" si="11"/>
        <v>111</v>
      </c>
      <c r="R33" s="1574" t="s">
        <v>8</v>
      </c>
      <c r="S33" s="1575">
        <f t="shared" si="12"/>
        <v>100</v>
      </c>
      <c r="T33" s="1574" t="s">
        <v>8</v>
      </c>
      <c r="U33" s="1575">
        <f t="shared" si="13"/>
        <v>100</v>
      </c>
      <c r="V33" s="1574" t="s">
        <v>8</v>
      </c>
      <c r="W33" s="1575">
        <f t="shared" si="14"/>
        <v>100</v>
      </c>
      <c r="X33" s="1568"/>
      <c r="Y33" s="336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62" t="str">
        <f>A35</f>
        <v>成交单价（元/平方米）</v>
      </c>
      <c r="Q35" s="3362"/>
      <c r="R35" s="3462">
        <f>E35</f>
        <v>0</v>
      </c>
      <c r="S35" s="3462"/>
      <c r="T35" s="3462">
        <f>G35</f>
        <v>0</v>
      </c>
      <c r="U35" s="3462"/>
      <c r="V35" s="3462">
        <f>I35</f>
        <v>0</v>
      </c>
      <c r="W35" s="3462"/>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62" t="str">
        <f>A36</f>
        <v>比较价格（元/平方米）</v>
      </c>
      <c r="Q36" s="3362"/>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60"/>
      <c r="Y36" s="1560"/>
      <c r="Z36" s="1560"/>
      <c r="AA36" s="1560"/>
      <c r="AB36" s="1560"/>
      <c r="AC36" s="1560"/>
    </row>
    <row r="37" spans="1:29" ht="15.75" thickBot="1">
      <c r="A37" s="621" t="s">
        <v>2935</v>
      </c>
      <c r="B37" s="622"/>
      <c r="C37" s="2638" t="e">
        <f>R37</f>
        <v>#DIV/0!</v>
      </c>
      <c r="D37" s="2638"/>
      <c r="E37" s="2638"/>
      <c r="F37" s="2638"/>
      <c r="G37" s="2638"/>
      <c r="H37" s="2638"/>
      <c r="I37" s="2638"/>
      <c r="J37" s="2638"/>
      <c r="K37" s="1614"/>
      <c r="L37" s="2146"/>
      <c r="M37" s="2147"/>
      <c r="N37" s="2147"/>
      <c r="O37" s="2147"/>
      <c r="P37" s="3383" t="str">
        <f>A37</f>
        <v>估价对象XX用房的比较价格（楼面单价，元/平方米）</v>
      </c>
      <c r="Q37" s="3384"/>
      <c r="R37" s="3461" t="e">
        <f>IF(F1="售价",ROUND(AVERAGE(R36:V36),0),ROUND(AVERAGE(R36:V36),1))</f>
        <v>#DIV/0!</v>
      </c>
      <c r="S37" s="3461"/>
      <c r="T37" s="3461"/>
      <c r="U37" s="3461"/>
      <c r="V37" s="3461"/>
      <c r="W37" s="346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9" sqref="C129:F134"/>
      <selection pane="bottomLeft" activeCell="C129" sqref="C129:F134"/>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71" t="s">
        <v>2306</v>
      </c>
      <c r="D1" s="3472"/>
      <c r="E1" s="3472"/>
      <c r="F1" s="3472"/>
      <c r="G1" s="3472"/>
      <c r="H1" s="3472"/>
      <c r="I1" s="3472"/>
      <c r="J1" s="3472"/>
      <c r="K1" s="3472"/>
      <c r="L1" s="3472"/>
      <c r="M1" s="3472"/>
      <c r="N1" s="3472"/>
      <c r="O1" s="3472"/>
      <c r="P1" s="3472"/>
      <c r="Q1" s="3472"/>
      <c r="R1" s="3472"/>
      <c r="S1" s="3473"/>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68" t="s">
        <v>20</v>
      </c>
      <c r="D22" s="3469"/>
      <c r="E22" s="3469"/>
      <c r="F22" s="3469"/>
      <c r="G22" s="3469"/>
      <c r="H22" s="3469"/>
      <c r="I22" s="3469"/>
      <c r="J22" s="3469"/>
      <c r="K22" s="3469"/>
      <c r="L22" s="3469"/>
      <c r="M22" s="3469"/>
      <c r="N22" s="3469"/>
      <c r="O22" s="3469"/>
      <c r="P22" s="3469"/>
      <c r="Q22" s="347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估价对象为使用的、位于北京市出让国有建设用地使用权。根据，估价对象（分摊）出让国有建设用地使用权面积为66660.07平方米。根据，估价对象规划建筑面积为66660.07平方米。</v>
      </c>
    </row>
    <row r="7" spans="1:4" ht="93.75">
      <c r="A7" s="2875" t="s">
        <v>2750</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2018年10月11日（评估专业人员勘察现场之日）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根据，估价对象（分摊）出让国有建设用地使用权面积为66660.07平方米。根据，估价对象规划建筑面积为66660.07平方米。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11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2789</v>
      </c>
      <c r="C1" s="3006">
        <f>项目基本情况!D3</f>
        <v>43384</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2820</v>
      </c>
      <c r="C2" s="3007">
        <f>'数据-取费表'!B22</f>
        <v>2</v>
      </c>
      <c r="D2" s="3002" t="s">
        <v>2790</v>
      </c>
      <c r="E2" s="3005">
        <f ca="1">INDIRECT("I"&amp;$I$1)/100</f>
        <v>4.7500000000000001E-2</v>
      </c>
      <c r="G2" s="2942"/>
      <c r="H2" s="2942"/>
      <c r="I2" s="2942" t="s">
        <v>2791</v>
      </c>
      <c r="K2" s="2942"/>
      <c r="L2" s="2942"/>
      <c r="M2" s="2942"/>
      <c r="N2" s="2942" t="s">
        <v>2792</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2822</v>
      </c>
      <c r="C3" s="3004">
        <f>'数据-取费表'!B19</f>
        <v>0</v>
      </c>
      <c r="D3" s="3002" t="s">
        <v>2790</v>
      </c>
      <c r="E3" s="3005">
        <f ca="1">INDIRECT("J"&amp;$J$1)/100</f>
        <v>0</v>
      </c>
      <c r="G3" s="2944" t="s">
        <v>2793</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2821</v>
      </c>
      <c r="C4" s="3005">
        <f ca="1">N4/100</f>
        <v>1.4999999999999999E-2</v>
      </c>
      <c r="G4" s="2950" t="s">
        <v>2794</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2795</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2796</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2797</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2798</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2799</v>
      </c>
      <c r="C10" s="2969"/>
      <c r="D10" s="2969"/>
      <c r="E10" s="2969"/>
      <c r="F10" s="2969"/>
      <c r="G10" s="2969"/>
      <c r="H10" s="2969"/>
      <c r="I10" s="2943"/>
      <c r="J10" s="2943"/>
      <c r="K10" s="2969"/>
      <c r="L10" s="2970" t="s">
        <v>2800</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2801</v>
      </c>
      <c r="C11" s="2974" t="s">
        <v>2802</v>
      </c>
      <c r="D11" s="2975" t="s">
        <v>2803</v>
      </c>
      <c r="E11" s="2976"/>
      <c r="F11" s="2975" t="s">
        <v>2804</v>
      </c>
      <c r="G11" s="2977"/>
      <c r="H11" s="2976"/>
      <c r="I11" s="2975" t="s">
        <v>2805</v>
      </c>
      <c r="J11" s="2976"/>
      <c r="K11" s="2972"/>
      <c r="L11" s="2973" t="s">
        <v>2801</v>
      </c>
      <c r="M11" s="2974" t="s">
        <v>2802</v>
      </c>
      <c r="N11" s="2973" t="s">
        <v>2806</v>
      </c>
      <c r="O11" s="2975" t="s">
        <v>2807</v>
      </c>
      <c r="P11" s="2977"/>
      <c r="Q11" s="2977"/>
      <c r="R11" s="2977"/>
      <c r="S11" s="2977"/>
      <c r="T11" s="2976"/>
      <c r="U11" s="2975" t="s">
        <v>2808</v>
      </c>
      <c r="V11" s="2977"/>
      <c r="W11" s="2976"/>
      <c r="X11" s="2973" t="s">
        <v>2809</v>
      </c>
      <c r="Y11" s="2973" t="s">
        <v>2810</v>
      </c>
      <c r="Z11" s="2973" t="s">
        <v>2811</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2812</v>
      </c>
      <c r="E12" s="2982" t="s">
        <v>2813</v>
      </c>
      <c r="F12" s="2982" t="s">
        <v>2814</v>
      </c>
      <c r="G12" s="2982" t="s">
        <v>2815</v>
      </c>
      <c r="H12" s="2982" t="s">
        <v>2797</v>
      </c>
      <c r="I12" s="2983" t="s">
        <v>2816</v>
      </c>
      <c r="J12" s="2983" t="s">
        <v>2816</v>
      </c>
      <c r="K12" s="2979"/>
      <c r="L12" s="2980"/>
      <c r="M12" s="2981"/>
      <c r="N12" s="2980"/>
      <c r="O12" s="2983" t="s">
        <v>2817</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2818</v>
      </c>
      <c r="C13" s="2987">
        <v>42301</v>
      </c>
      <c r="D13" s="2988">
        <v>4.3499999999999996</v>
      </c>
      <c r="E13" s="2988">
        <v>4.3499999999999996</v>
      </c>
      <c r="F13" s="2988">
        <v>4.75</v>
      </c>
      <c r="G13" s="2988">
        <v>4.75</v>
      </c>
      <c r="H13" s="2988">
        <v>4.9000000000000004</v>
      </c>
      <c r="I13" s="2988">
        <v>2.75</v>
      </c>
      <c r="J13" s="2988">
        <v>3.25</v>
      </c>
      <c r="K13" s="2985"/>
      <c r="L13" s="2986" t="s">
        <v>2818</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2819</v>
      </c>
      <c r="Y42" s="2992" t="s">
        <v>2819</v>
      </c>
      <c r="Z42" s="2992" t="s">
        <v>2819</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2819</v>
      </c>
      <c r="Y43" s="2992" t="s">
        <v>2819</v>
      </c>
      <c r="Z43" s="2992" t="s">
        <v>2819</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2819</v>
      </c>
      <c r="Y44" s="2992" t="s">
        <v>2819</v>
      </c>
      <c r="Z44" s="2992" t="s">
        <v>2819</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2819</v>
      </c>
      <c r="Y45" s="2992" t="s">
        <v>2819</v>
      </c>
      <c r="Z45" s="2992" t="s">
        <v>2819</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2819</v>
      </c>
      <c r="Y46" s="2992" t="s">
        <v>2819</v>
      </c>
      <c r="Z46" s="2992" t="s">
        <v>2819</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2819</v>
      </c>
      <c r="Y47" s="2992" t="s">
        <v>2819</v>
      </c>
      <c r="Z47" s="2992" t="s">
        <v>2819</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2819</v>
      </c>
      <c r="Y48" s="2992" t="s">
        <v>2819</v>
      </c>
      <c r="Z48" s="2992" t="s">
        <v>2819</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2819</v>
      </c>
      <c r="Y49" s="2992" t="s">
        <v>2819</v>
      </c>
      <c r="Z49" s="2992" t="s">
        <v>2819</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2819</v>
      </c>
      <c r="Y50" s="2992" t="s">
        <v>2819</v>
      </c>
      <c r="Z50" s="2992" t="s">
        <v>2819</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2819</v>
      </c>
      <c r="V51" s="2992" t="s">
        <v>2819</v>
      </c>
      <c r="W51" s="2992" t="s">
        <v>2819</v>
      </c>
      <c r="X51" s="2992" t="s">
        <v>2819</v>
      </c>
      <c r="Y51" s="2992" t="s">
        <v>2819</v>
      </c>
      <c r="Z51" s="2992" t="s">
        <v>2819</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2819</v>
      </c>
      <c r="J55" s="2992" t="s">
        <v>2819</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2040</v>
      </c>
      <c r="B1" s="3185"/>
      <c r="C1" s="3185"/>
      <c r="D1" s="3185"/>
      <c r="E1" s="3185"/>
      <c r="F1" s="3185"/>
      <c r="G1" s="3185"/>
      <c r="H1" s="3185"/>
      <c r="I1" s="3185"/>
      <c r="J1" s="3185"/>
      <c r="K1" s="3185"/>
      <c r="L1" s="3185"/>
      <c r="M1" s="3185"/>
      <c r="N1" s="3185"/>
      <c r="O1" s="3185"/>
      <c r="P1" s="3185"/>
      <c r="Q1" s="3185"/>
      <c r="R1" s="3185"/>
    </row>
    <row r="2" spans="1:18">
      <c r="A2" s="1809" t="s">
        <v>2042</v>
      </c>
      <c r="B2" s="1809"/>
      <c r="C2" s="1809"/>
      <c r="D2" s="1809"/>
      <c r="E2" s="1809"/>
      <c r="F2" s="1809"/>
      <c r="G2" s="1809"/>
      <c r="H2" s="1809"/>
      <c r="I2" s="1810"/>
      <c r="J2" s="1810"/>
      <c r="K2" s="1811" t="str">
        <f>"估价期日："&amp;TEXT(项目基本情况!D3,"yyyy年m月d日;;")</f>
        <v>估价期日：2018年10月11日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6" t="s">
        <v>2031</v>
      </c>
      <c r="B3" s="3186" t="s">
        <v>2733</v>
      </c>
      <c r="C3" s="3187" t="s">
        <v>2032</v>
      </c>
      <c r="D3" s="3186" t="s">
        <v>2737</v>
      </c>
      <c r="E3" s="3189" t="s">
        <v>2033</v>
      </c>
      <c r="F3" s="3189"/>
      <c r="G3" s="3189"/>
      <c r="H3" s="3189" t="s">
        <v>2034</v>
      </c>
      <c r="I3" s="3189"/>
      <c r="J3" s="3189"/>
      <c r="K3" s="3187" t="s">
        <v>2035</v>
      </c>
      <c r="L3" s="3187" t="s">
        <v>2036</v>
      </c>
      <c r="M3" s="3186" t="s">
        <v>2734</v>
      </c>
      <c r="N3" s="3188" t="str">
        <f>"（分摊）"&amp;项目基本情况!B16&amp;"国有建设用地使用权面积/㎡"</f>
        <v>（分摊）出让国有建设用地使用权面积/㎡</v>
      </c>
      <c r="O3" s="3186" t="s">
        <v>2065</v>
      </c>
      <c r="P3" s="3187" t="s">
        <v>2045</v>
      </c>
      <c r="Q3" s="3187" t="s">
        <v>2066</v>
      </c>
      <c r="R3" s="3187" t="s">
        <v>2037</v>
      </c>
    </row>
    <row r="4" spans="1:18" ht="36.75" customHeight="1">
      <c r="A4" s="3186"/>
      <c r="B4" s="3186"/>
      <c r="C4" s="3187"/>
      <c r="D4" s="3186"/>
      <c r="E4" s="2651" t="s">
        <v>2044</v>
      </c>
      <c r="F4" s="2651" t="s">
        <v>2746</v>
      </c>
      <c r="G4" s="2651" t="s">
        <v>2038</v>
      </c>
      <c r="H4" s="2651" t="s">
        <v>2039</v>
      </c>
      <c r="I4" s="2651" t="s">
        <v>2747</v>
      </c>
      <c r="J4" s="2651" t="s">
        <v>2038</v>
      </c>
      <c r="K4" s="3187"/>
      <c r="L4" s="3187"/>
      <c r="M4" s="3186"/>
      <c r="N4" s="3188"/>
      <c r="O4" s="3186"/>
      <c r="P4" s="3187"/>
      <c r="Q4" s="3187"/>
      <c r="R4" s="3187"/>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66660.070000000007</v>
      </c>
      <c r="O5" s="1812">
        <f>项目基本情况!C21</f>
        <v>66660.070000000007</v>
      </c>
      <c r="P5" s="1812">
        <f ca="1">结果表!E42</f>
        <v>779</v>
      </c>
      <c r="Q5" s="1812">
        <f ca="1">结果表!D42</f>
        <v>779</v>
      </c>
      <c r="R5" s="1813">
        <f ca="1">结果表!C42</f>
        <v>5195</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4" t="str">
        <f>结果表!O39</f>
        <v>——</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4"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0" t="s">
        <v>2067</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v>
      </c>
      <c r="B4" s="3190"/>
      <c r="C4" s="3190"/>
      <c r="D4" s="3190"/>
    </row>
    <row r="5" spans="1:4">
      <c r="A5" s="3193" t="s">
        <v>2068</v>
      </c>
      <c r="B5" s="3193"/>
      <c r="C5" s="3193"/>
      <c r="D5" s="3193"/>
    </row>
    <row r="6" spans="1:4">
      <c r="A6" s="3190" t="s">
        <v>2046</v>
      </c>
      <c r="B6" s="3190"/>
      <c r="C6" s="3190"/>
      <c r="D6" s="3190"/>
    </row>
    <row r="7" spans="1:4" ht="33" customHeight="1">
      <c r="A7" s="3190" t="s">
        <v>2577</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2070</v>
      </c>
      <c r="B12" s="3193"/>
      <c r="C12" s="3193"/>
      <c r="D12" s="3193"/>
    </row>
    <row r="13" spans="1:4">
      <c r="A13" s="3191" t="s">
        <v>2748</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2704</v>
      </c>
      <c r="B17" s="3190"/>
      <c r="C17" s="3190"/>
      <c r="D17" s="3190"/>
    </row>
    <row r="18" spans="1:4">
      <c r="A18" s="3190" t="s">
        <v>2696</v>
      </c>
      <c r="B18" s="3190"/>
      <c r="C18" s="3190"/>
      <c r="D18" s="3190"/>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190" t="s">
        <v>2701</v>
      </c>
      <c r="B23" s="3190"/>
      <c r="C23" s="3190"/>
      <c r="D23" s="3190"/>
    </row>
    <row r="24" spans="1:4">
      <c r="A24" s="2870" t="s">
        <v>2697</v>
      </c>
      <c r="B24" s="2870" t="s">
        <v>2702</v>
      </c>
      <c r="C24" s="2870" t="s">
        <v>2699</v>
      </c>
      <c r="D24" s="2870" t="s">
        <v>2700</v>
      </c>
    </row>
    <row r="25" spans="1:4">
      <c r="A25" s="2873" t="s">
        <v>2703</v>
      </c>
      <c r="B25" s="2870" t="s">
        <v>952</v>
      </c>
      <c r="C25" s="2872"/>
      <c r="D25" s="1802" t="s">
        <v>2706</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43384</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2979</v>
      </c>
      <c r="B12" s="2345">
        <v>1120110054</v>
      </c>
      <c r="C12" s="3008">
        <v>43937</v>
      </c>
      <c r="D12" s="2345" t="s">
        <v>2979</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06" t="s">
        <v>1929</v>
      </c>
      <c r="B25" s="3206"/>
      <c r="C25" s="3206"/>
      <c r="D25" s="3206"/>
      <c r="E25" s="3206"/>
      <c r="F25" s="3206"/>
      <c r="G25" s="3206"/>
    </row>
    <row r="26" spans="1:7" ht="20.25" customHeight="1">
      <c r="A26" s="3207" t="s">
        <v>1930</v>
      </c>
      <c r="B26" s="3207"/>
      <c r="C26" s="3207"/>
      <c r="D26" s="3207" t="s">
        <v>1931</v>
      </c>
      <c r="E26" s="3207"/>
      <c r="F26" s="320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7" sqref="Z1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2957</v>
      </c>
      <c r="C18" s="1555"/>
    </row>
    <row r="19" spans="1:3">
      <c r="A19" s="8" t="s">
        <v>120</v>
      </c>
      <c r="B19" s="3115"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11日，在规划利用条件下、设定土地开发程度为红线外“七通”、宗地内场地，设定用途为，剩余土地使用年限为的出让国有建设用地使用权价格。</v>
      </c>
      <c r="D53" s="1769"/>
      <c r="E53" s="1769"/>
    </row>
    <row r="54" spans="1:5">
      <c r="A54" s="320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132</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2018-10-11T09:29:45Z</dcterms:modified>
</cp:coreProperties>
</file>