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06" i="9" l="1"/>
  <c r="N105" i="9"/>
  <c r="N102" i="9"/>
  <c r="N103" i="9"/>
  <c r="N104" i="9"/>
  <c r="N101" i="9"/>
  <c r="M104" i="9"/>
  <c r="M103" i="9"/>
  <c r="M102" i="9"/>
  <c r="M101" i="9"/>
  <c r="L104" i="9"/>
  <c r="L103" i="9"/>
  <c r="L102" i="9"/>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B10" i="67"/>
  <c r="E9" i="67"/>
  <c r="M11" i="44"/>
  <c r="B11" i="67"/>
  <c r="J5" i="65"/>
  <c r="F12" i="67"/>
  <c r="M31" i="44"/>
  <c r="J4" i="65"/>
  <c r="N6" i="65"/>
  <c r="J17" i="44"/>
  <c r="B14" i="67"/>
  <c r="F9" i="44"/>
  <c r="E12" i="67"/>
  <c r="B12" i="67"/>
  <c r="F10" i="44"/>
  <c r="F10" i="67"/>
  <c r="F9" i="67"/>
  <c r="E10" i="67"/>
  <c r="I4" i="65"/>
  <c r="I3" i="65"/>
  <c r="N5" i="65"/>
  <c r="F8" i="67"/>
  <c r="M29" i="44"/>
  <c r="F11" i="67"/>
  <c r="I6" i="65"/>
  <c r="J6" i="65"/>
  <c r="F8" i="15"/>
  <c r="B8" i="67"/>
  <c r="F13" i="67"/>
  <c r="N4" i="65"/>
  <c r="J7" i="65"/>
  <c r="E13" i="67"/>
  <c r="F14" i="67"/>
  <c r="I7" i="65"/>
  <c r="E8" i="67"/>
  <c r="B13" i="67"/>
  <c r="B9" i="67"/>
  <c r="N7" i="65"/>
  <c r="N3" i="65"/>
  <c r="E11" i="67"/>
  <c r="E14" i="67"/>
  <c r="F15" i="44"/>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J3" i="65"/>
  <c r="J15" i="71"/>
  <c r="J15" i="15"/>
  <c r="F36" i="71"/>
  <c r="M23" i="71"/>
  <c r="F36" i="15"/>
  <c r="F9" i="15"/>
  <c r="F7" i="15"/>
  <c r="J36" i="71"/>
  <c r="M26" i="15"/>
  <c r="F45" i="44"/>
  <c r="M28" i="71"/>
  <c r="F43" i="44"/>
  <c r="M10" i="44"/>
  <c r="F18" i="44"/>
  <c r="F16" i="71"/>
  <c r="F40" i="15"/>
  <c r="L48" i="44"/>
  <c r="F16" i="15"/>
  <c r="F6" i="71"/>
  <c r="I5" i="65"/>
  <c r="M8" i="71"/>
  <c r="F26" i="15"/>
  <c r="M22" i="15"/>
  <c r="F40" i="44"/>
  <c r="M26" i="71"/>
  <c r="M9" i="71"/>
  <c r="F9" i="71"/>
  <c r="M24" i="44"/>
  <c r="M27" i="71"/>
  <c r="M6" i="71"/>
  <c r="F42" i="15"/>
  <c r="F37" i="15"/>
  <c r="F8" i="71"/>
  <c r="F6" i="15"/>
  <c r="M27" i="15"/>
  <c r="M9" i="15"/>
  <c r="M23" i="15"/>
  <c r="M24" i="71"/>
  <c r="F39" i="44"/>
  <c r="M6" i="15"/>
  <c r="F8" i="44"/>
  <c r="M8" i="15"/>
  <c r="L48" i="15"/>
  <c r="F38" i="44"/>
  <c r="M30" i="44"/>
  <c r="F42" i="71"/>
  <c r="F40" i="71"/>
  <c r="M25" i="44"/>
  <c r="M26" i="44"/>
  <c r="M22" i="71"/>
  <c r="F13" i="15"/>
  <c r="M24" i="15"/>
  <c r="M8" i="44"/>
  <c r="F11" i="44"/>
  <c r="F13" i="71"/>
  <c r="F38" i="71"/>
  <c r="F26" i="71"/>
  <c r="L49" i="44"/>
  <c r="F38" i="15"/>
  <c r="L47" i="15"/>
  <c r="M28" i="44"/>
  <c r="F37" i="71"/>
  <c r="J36" i="15"/>
  <c r="F28" i="44"/>
  <c r="M28" i="15"/>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F43" i="71"/>
  <c r="E3" i="65"/>
  <c r="F43" i="15"/>
  <c r="E2" i="65"/>
  <c r="M29" i="15"/>
  <c r="L48" i="71"/>
  <c r="C18" i="44"/>
  <c r="M29" i="71"/>
  <c r="L47" i="71"/>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F46" i="44"/>
  <c r="C16" i="15"/>
  <c r="AE10" i="1"/>
  <c r="AE8" i="1"/>
  <c r="C16" i="71"/>
  <c r="F7"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7" i="67"/>
  <c r="F41" i="15"/>
  <c r="AE9" i="1"/>
  <c r="C19" i="44"/>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F37" i="44"/>
  <c r="E7" i="67"/>
  <c r="M23" i="44"/>
  <c r="F41" i="71"/>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C14" i="71"/>
  <c r="M21" i="71"/>
  <c r="F35" i="71"/>
  <c r="C14" i="15"/>
  <c r="C16" i="44"/>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M21" i="15"/>
  <c r="F35"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0" i="9"/>
  <c r="C21"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M19" i="9" s="1"/>
  <c r="D22" i="9"/>
  <c r="B4" i="12"/>
  <c r="B5" i="12"/>
  <c r="B3" i="12"/>
  <c r="D21" i="9"/>
  <c r="D20" i="9"/>
  <c r="G20" i="9" l="1"/>
  <c r="G21" i="9"/>
  <c r="G22" i="9"/>
  <c r="N43" i="9"/>
  <c r="C32" i="9"/>
  <c r="E3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l="1"/>
  <c r="I14" i="66" s="1"/>
  <c r="B8" i="66" s="1"/>
  <c r="O81" i="9"/>
  <c r="D46" i="9"/>
  <c r="K33" i="9"/>
  <c r="O41" i="9"/>
  <c r="R8" i="54" s="1"/>
  <c r="B54" i="63" s="1"/>
  <c r="F46" i="9"/>
  <c r="E46" i="9" l="1"/>
  <c r="K34" i="9"/>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<sst xmlns="http://schemas.openxmlformats.org/spreadsheetml/2006/main" count="8518" uniqueCount="3455">
  <si>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</si>
  <si>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</si>
  <si>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</si>
  <si>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</si>
  <si>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</si>
  <si>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</si>
  <si>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</si>
  <si>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</si>
  <si>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</si>
  <si>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</si>
  <si>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</si>
  <si>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</si>
  <si>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</si>
  <si>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</si>
  <si>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</si>
  <si>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</si>
  <si>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</si>
  <si>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</si>
  <si>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</si>
  <si>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</si>
  <si>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</si>
  <si>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</si>
  <si>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</si>
  <si>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</si>
  <si>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</si>
  <si>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</si>
  <si>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</si>
  <si>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</si>
  <si>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</si>
  <si>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</si>
  <si>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</si>
  <si>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</si>
  <si>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</si>
  <si>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</si>
  <si>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</si>
  <si>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</si>
  <si>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</si>
  <si>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</si>
  <si>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</si>
  <si>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</si>
  <si>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</si>
  <si>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</si>
  <si>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</si>
  <si>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</si>
  <si>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</si>
  <si>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</si>
  <si>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</si>
  <si>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</si>
  <si>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</si>
  <si>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</si>
  <si>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</si>
  <si>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</si>
  <si>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</si>
  <si>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</si>
  <si>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</si>
  <si>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</si>
  <si>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</si>
  <si>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</si>
  <si>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</si>
  <si>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</si>
  <si>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</si>
  <si>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</si>
  <si>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</si>
  <si>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</si>
  <si>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</si>
  <si>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</si>
  <si>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</si>
  <si>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</si>
  <si>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</si>
  <si>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</si>
  <si>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</si>
  <si>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</si>
  <si>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</si>
  <si>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</si>
  <si>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</si>
  <si>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</si>
  <si>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</si>
  <si>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</si>
  <si>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</si>
  <si>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</si>
  <si>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</si>
  <si>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</si>
  <si>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</si>
  <si>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</si>
  <si>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</si>
  <si>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</si>
  <si>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</si>
  <si>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</si>
  <si>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</si>
  <si>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</si>
  <si>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</si>
  <si>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</si>
  <si>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</si>
  <si>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</si>
  <si>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</si>
  <si>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</si>
  <si>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</si>
  <si>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</si>
  <si>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</si>
  <si>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</si>
  <si>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</si>
  <si>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</si>
  <si>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</si>
  <si>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</si>
  <si>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</si>
  <si>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</si>
  <si>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</si>
  <si>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</si>
  <si>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</si>
  <si>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</si>
  <si>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</si>
  <si>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</si>
  <si>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</si>
  <si>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</si>
  <si>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</si>
  <si>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</si>
  <si>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</si>
  <si>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</si>
  <si>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</si>
  <si>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</si>
  <si>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</si>
  <si>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</si>
  <si>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</si>
  <si>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</si>
  <si>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</si>
  <si>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</si>
  <si>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</si>
  <si>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</si>
  <si>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</si>
  <si>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</si>
  <si>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</si>
  <si>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</si>
  <si>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</si>
  <si>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</si>
  <si>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</si>
  <si>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</si>
  <si>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</si>
  <si>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</si>
  <si>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</si>
  <si>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</si>
  <si>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</si>
  <si>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</si>
  <si>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</si>
  <si>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</si>
  <si>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</si>
  <si>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</si>
  <si>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</si>
  <si>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</si>
  <si>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</si>
  <si>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</si>
  <si>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</si>
  <si>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</si>
  <si>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</si>
  <si>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</si>
  <si>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</si>
  <si>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</si>
  <si>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</si>
  <si>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</si>
  <si>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</si>
  <si>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</si>
  <si>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</si>
  <si>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</si>
  <si>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</si>
  <si>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</si>
  <si>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</si>
  <si>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</si>
  <si>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</si>
  <si>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</si>
  <si>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</si>
  <si>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</si>
  <si>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</si>
  <si>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</si>
  <si>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</si>
  <si>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</si>
  <si>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</si>
  <si>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</si>
  <si>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</si>
  <si>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</si>
  <si>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</si>
  <si>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</si>
  <si>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</si>
  <si>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</si>
  <si>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</si>
  <si>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</si>
  <si>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</si>
  <si>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</si>
  <si>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</si>
  <si>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</si>
  <si>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</si>
  <si>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</si>
  <si>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</si>
  <si>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</si>
  <si>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</si>
  <si>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</si>
  <si>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</si>
  <si>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</si>
  <si>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</si>
  <si>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</si>
  <si>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</si>
  <si>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</si>
  <si>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</si>
  <si>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</si>
  <si>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</si>
  <si>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</si>
  <si>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</si>
  <si>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</si>
  <si>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</si>
  <si>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</si>
  <si>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</si>
  <si>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</si>
  <si>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</si>
  <si>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</si>
  <si>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</si>
  <si>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</si>
  <si>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</si>
  <si>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</si>
  <si>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</si>
  <si>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</si>
  <si>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</si>
  <si>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</si>
  <si>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</si>
  <si>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</si>
  <si>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</si>
  <si>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</si>
  <si>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</si>
  <si>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</si>
  <si>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</si>
  <si>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</si>
  <si>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</si>
  <si>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</si>
  <si>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</si>
  <si>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</si>
  <si>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</si>
  <si>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</si>
  <si>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</si>
  <si>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</si>
  <si>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</si>
  <si>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</si>
  <si>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</si>
  <si>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</si>
  <si>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</si>
  <si>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</si>
  <si>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</si>
  <si>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</si>
  <si>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</si>
  <si>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</si>
  <si>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</si>
  <si>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</si>
  <si>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</si>
  <si>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</si>
  <si>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</si>
  <si>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</si>
  <si>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</si>
  <si>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</si>
  <si>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</si>
  <si>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</si>
  <si>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</si>
  <si>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</si>
  <si>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</si>
  <si>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</si>
  <si>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</si>
  <si>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</si>
  <si>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</si>
  <si>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</si>
  <si>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</si>
  <si>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</si>
  <si>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</si>
  <si>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</si>
  <si>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</si>
  <si>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</si>
  <si>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</si>
  <si>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</si>
  <si>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</si>
  <si>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</si>
  <si>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</si>
  <si>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</si>
  <si>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</si>
  <si>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</si>
  <si>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</si>
  <si>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</si>
  <si>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</si>
  <si>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</si>
  <si>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</si>
  <si>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</si>
  <si>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</si>
  <si>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</si>
  <si>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</si>
  <si>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</si>
  <si>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</si>
  <si>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</si>
  <si>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</si>
  <si>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</si>
  <si>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</si>
  <si>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</si>
  <si>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</si>
  <si>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</si>
  <si>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</si>
  <si>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</si>
  <si>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</si>
  <si>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</si>
  <si>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</si>
  <si>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</si>
  <si>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</si>
  <si>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</si>
  <si>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</si>
  <si>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</si>
  <si>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</si>
  <si>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</si>
  <si>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</si>
  <si>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</si>
  <si>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</si>
  <si>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</si>
  <si>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</si>
  <si>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</si>
  <si>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</si>
  <si>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</si>
  <si>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</si>
  <si>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</si>
  <si>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</si>
  <si>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</si>
  <si>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</si>
  <si>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</si>
  <si>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</si>
  <si>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</si>
  <si>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</si>
  <si>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</si>
  <si>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</si>
  <si>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</si>
  <si>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</si>
  <si>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</si>
  <si>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</si>
  <si>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</si>
  <si>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</si>
  <si>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</si>
  <si>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</si>
  <si>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</si>
  <si>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</si>
  <si>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</si>
  <si>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</si>
  <si>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</si>
  <si>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</si>
  <si>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</si>
  <si>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</si>
  <si>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</si>
  <si>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</si>
  <si>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</si>
  <si>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</si>
  <si>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</si>
  <si>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</si>
  <si>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</si>
  <si>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</si>
  <si>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</si>
  <si>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</si>
  <si>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</si>
  <si>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</si>
  <si>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</si>
  <si>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</si>
  <si>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</si>
  <si>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</si>
  <si>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</si>
  <si>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</si>
  <si>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</si>
  <si>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</si>
  <si>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</si>
  <si>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</si>
  <si>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</si>
  <si>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</si>
  <si>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</si>
  <si>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</si>
  <si>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</si>
  <si>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</si>
  <si>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</si>
  <si>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</si>
  <si>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</si>
  <si>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</si>
  <si>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</si>
  <si>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</si>
  <si>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</si>
  <si>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</si>
  <si>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</si>
  <si>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</si>
  <si>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</si>
  <si>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</si>
  <si>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</si>
  <si>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</si>
  <si>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</si>
  <si>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</si>
  <si>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</si>
  <si>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</si>
  <si>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</si>
  <si>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</si>
  <si>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</si>
  <si>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</si>
  <si>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</si>
  <si>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</si>
  <si>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</si>
  <si>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</si>
  <si>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</si>
  <si>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</si>
  <si>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</si>
  <si>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</si>
  <si>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</si>
  <si>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</si>
  <si>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</si>
  <si>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</si>
  <si>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</si>
  <si>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</si>
  <si>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</si>
  <si>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</si>
  <si>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</si>
  <si>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</si>
  <si>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</si>
  <si>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</si>
  <si>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</si>
  <si>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</si>
  <si>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</si>
  <si>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</si>
  <si>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</si>
  <si>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</si>
  <si>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</si>
  <si>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</si>
  <si>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</si>
  <si>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</si>
  <si>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</si>
  <si>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</si>
  <si>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</si>
  <si>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</si>
  <si>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</si>
  <si>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</si>
  <si>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</si>
  <si>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</si>
  <si>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</si>
  <si>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</si>
  <si>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</si>
  <si>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</si>
  <si>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</si>
  <si>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</si>
  <si>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</si>
  <si>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</si>
  <si>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</si>
  <si>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</si>
  <si>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</si>
  <si>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</si>
  <si>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</si>
  <si>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</si>
  <si>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</si>
  <si>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</si>
  <si>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</si>
  <si>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</si>
  <si>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</si>
  <si>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</si>
  <si>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</si>
  <si>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</si>
  <si>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</si>
  <si>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</si>
  <si>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</si>
  <si>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</si>
  <si>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</si>
  <si>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</si>
  <si>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</si>
  <si>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</si>
  <si>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</si>
  <si>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</si>
  <si>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</si>
  <si>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</si>
  <si>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</si>
  <si>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</si>
  <si>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</si>
  <si>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</si>
  <si>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</si>
  <si>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</si>
  <si>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</si>
  <si>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</si>
  <si>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</si>
  <si>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</si>
  <si>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</si>
  <si>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</si>
  <si>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</si>
  <si>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</si>
  <si>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</si>
  <si>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</si>
  <si>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</si>
  <si>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</si>
  <si>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</si>
  <si>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</si>
  <si>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</si>
  <si>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</si>
  <si>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</si>
  <si>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</si>
  <si>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</si>
  <si>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</si>
  <si>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</si>
  <si>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</si>
  <si>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</si>
  <si>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</si>
  <si>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</si>
  <si>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</si>
  <si>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</si>
  <si>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</si>
  <si>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</si>
  <si>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</si>
  <si>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</si>
  <si>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</si>
  <si>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</si>
  <si>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</si>
  <si>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</si>
  <si>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</si>
  <si>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</si>
  <si>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</si>
  <si>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</si>
  <si>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</si>
  <si>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</si>
  <si>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</si>
  <si>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</si>
  <si>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</si>
  <si>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</si>
  <si>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</si>
  <si>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</si>
  <si>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</si>
  <si>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</si>
  <si>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</si>
  <si>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</si>
  <si>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</si>
  <si>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</si>
  <si>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</si>
  <si>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</si>
  <si>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</si>
  <si>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</si>
  <si>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</si>
  <si>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</si>
  <si>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</si>
  <si>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</si>
  <si>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</si>
  <si>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</si>
  <si>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</si>
  <si>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</si>
  <si>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</si>
  <si>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</si>
  <si>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</si>
  <si>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</si>
  <si>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</si>
  <si>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</si>
  <si>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</si>
  <si>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</si>
  <si>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</si>
  <si>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</si>
  <si>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</si>
  <si>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</si>
  <si>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</si>
  <si>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</si>
  <si>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</si>
  <si>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</si>
  <si>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</si>
  <si>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</si>
  <si>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</si>
  <si>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</si>
  <si>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</si>
  <si>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</si>
  <si>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</si>
  <si>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</si>
  <si>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</si>
  <si>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</si>
  <si>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</si>
  <si>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</si>
  <si>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</si>
  <si>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</si>
  <si>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</si>
  <si>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</si>
  <si>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</si>
  <si>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</si>
  <si>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</si>
  <si>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</si>
  <si>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</si>
  <si>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</si>
  <si>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</si>
  <si>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</si>
  <si>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</si>
  <si>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</si>
  <si>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</si>
  <si>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</si>
  <si>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</si>
  <si>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</si>
  <si>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</si>
  <si>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</si>
  <si>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</si>
  <si>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</si>
  <si>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</si>
  <si>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</si>
  <si>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</si>
  <si>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</si>
  <si>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</si>
  <si>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</si>
  <si>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</si>
  <si>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</si>
  <si>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</si>
  <si>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</si>
  <si>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</si>
  <si>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</si>
  <si>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</si>
  <si>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</si>
  <si>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</si>
  <si>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</si>
  <si>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</si>
  <si>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</si>
  <si>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</si>
  <si>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</si>
  <si>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</si>
  <si>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</si>
  <si>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</si>
  <si>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</si>
  <si>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</si>
  <si>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</si>
  <si>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</si>
  <si>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</si>
  <si>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</si>
  <si>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</si>
  <si>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</si>
  <si>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</si>
  <si>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</si>
  <si>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</si>
  <si>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</si>
  <si>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</si>
  <si>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</si>
  <si>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</si>
  <si>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</si>
  <si>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</si>
  <si>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</si>
  <si>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</si>
  <si>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</si>
  <si>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</si>
  <si>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</si>
  <si>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</si>
  <si>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</si>
  <si>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</si>
  <si>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</si>
  <si>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</si>
  <si>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</si>
  <si>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</si>
  <si>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</si>
  <si>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</si>
  <si>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</si>
  <si>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</si>
  <si>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</si>
  <si>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</si>
  <si>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</si>
  <si>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</si>
  <si>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</si>
  <si>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</si>
  <si>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</si>
  <si>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</si>
  <si>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</si>
  <si>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</si>
  <si>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</si>
  <si>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</si>
  <si>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</si>
  <si>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</si>
  <si>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</si>
  <si>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</si>
  <si>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</si>
  <si>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</si>
  <si>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</si>
  <si>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</si>
  <si>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</si>
  <si>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</si>
  <si>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</si>
  <si>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</si>
  <si>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</si>
  <si>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</si>
  <si>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</si>
  <si>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</si>
  <si>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</si>
  <si>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</si>
  <si>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</si>
  <si>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</si>
  <si>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</si>
  <si>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</si>
  <si>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</si>
  <si>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</si>
  <si>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</si>
  <si>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</si>
  <si>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</si>
  <si>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</si>
  <si>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</si>
  <si>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</si>
  <si>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</si>
  <si>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</si>
  <si>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</si>
  <si>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</si>
  <si>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</si>
  <si>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</si>
  <si>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</si>
  <si>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</si>
  <si>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</si>
  <si>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</si>
  <si>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</si>
  <si>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</si>
  <si>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</si>
  <si>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</si>
  <si>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</si>
  <si>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</si>
  <si>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</si>
  <si>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</si>
  <si>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</si>
  <si>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</si>
  <si>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</si>
  <si>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</si>
  <si>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</si>
  <si>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</si>
  <si>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</si>
  <si>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</si>
  <si>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</si>
  <si>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</si>
  <si>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</si>
  <si>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</si>
  <si>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</si>
  <si>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</si>
  <si>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</si>
  <si>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</si>
  <si>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</si>
  <si>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</si>
  <si>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</si>
  <si>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</si>
  <si>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</si>
  <si>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</si>
  <si>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</si>
  <si>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</si>
  <si>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</si>
  <si>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</si>
  <si>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</si>
  <si>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</si>
  <si>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</si>
  <si>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</si>
  <si>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</si>
  <si>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</si>
  <si>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</si>
  <si>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</si>
  <si>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</si>
  <si>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</si>
  <si>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</si>
  <si>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</si>
  <si>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</si>
  <si>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</si>
  <si>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</si>
  <si>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</si>
  <si>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</si>
  <si>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</si>
  <si>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</si>
  <si>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</si>
  <si>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</si>
  <si>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</si>
  <si>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</si>
  <si>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</si>
  <si>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</si>
  <si>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</si>
  <si>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</si>
  <si>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</si>
  <si>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</si>
  <si>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</si>
  <si>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</si>
  <si>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</si>
  <si>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</si>
  <si>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</si>
  <si>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</si>
  <si>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</si>
  <si>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</si>
  <si>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</si>
  <si>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</si>
  <si>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</si>
  <si>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</si>
  <si>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</si>
  <si>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</si>
  <si>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</si>
  <si>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</si>
  <si>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</si>
  <si>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</si>
  <si>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</si>
  <si>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</si>
  <si>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</si>
  <si>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</si>
  <si>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</si>
  <si>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</si>
  <si>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</si>
  <si>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</si>
  <si>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</si>
  <si>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</si>
  <si>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</si>
  <si>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</si>
  <si>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</si>
  <si>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</si>
  <si>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</si>
  <si>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</si>
  <si>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</si>
  <si>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</si>
  <si>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</si>
  <si>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</si>
  <si>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</si>
  <si>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</si>
  <si>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</si>
  <si>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</si>
  <si>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</si>
  <si>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</si>
  <si>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</si>
  <si>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</si>
  <si>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</si>
  <si>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</si>
  <si>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</si>
  <si>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</si>
  <si>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</si>
  <si>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</si>
  <si>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</si>
  <si>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</si>
  <si>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</si>
  <si>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</si>
  <si>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</si>
  <si>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</si>
  <si>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</si>
  <si>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</si>
  <si>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</si>
  <si>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</si>
  <si>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</si>
  <si>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</si>
  <si>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</si>
  <si>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</si>
  <si>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</si>
  <si>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</si>
  <si>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</si>
  <si>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</si>
  <si>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</si>
  <si>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</si>
  <si>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</si>
  <si>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</si>
  <si>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</si>
  <si>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</si>
  <si>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</si>
  <si>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</si>
  <si>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</si>
  <si>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</si>
  <si>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</si>
  <si>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</si>
  <si>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</si>
  <si>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</si>
  <si>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</si>
  <si>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</si>
  <si>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</si>
  <si>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</si>
  <si>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</si>
  <si>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</si>
  <si>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</si>
  <si>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</si>
  <si>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</si>
  <si>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</si>
  <si>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</si>
  <si>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</si>
  <si>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</si>
  <si>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</si>
  <si>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</si>
  <si>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</si>
  <si>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</si>
  <si>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</si>
  <si>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</si>
  <si>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</si>
  <si>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</si>
  <si>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</si>
  <si>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</si>
  <si>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</si>
  <si>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</si>
  <si>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</si>
  <si>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</si>
  <si>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</si>
  <si>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</si>
  <si>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</si>
  <si>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</si>
  <si>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</si>
  <si>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</si>
  <si>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</si>
  <si>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</si>
  <si>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</si>
  <si>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</si>
  <si>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</si>
  <si>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</si>
  <si>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</si>
  <si>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</si>
  <si>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</si>
  <si>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</si>
  <si>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</si>
  <si>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</si>
  <si>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</si>
  <si>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</si>
  <si>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</si>
  <si>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</si>
  <si>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</si>
  <si>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</si>
  <si>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</si>
  <si>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</si>
  <si>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</si>
  <si>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</si>
  <si>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</si>
  <si>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</si>
  <si>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</si>
  <si>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</si>
  <si>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</si>
  <si>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</si>
  <si>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</si>
  <si>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</si>
  <si>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</si>
  <si>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</si>
  <si>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</si>
  <si>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</si>
  <si>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</si>
  <si>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</si>
  <si>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</si>
  <si>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</si>
  <si>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</si>
  <si>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</si>
  <si>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</si>
  <si>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</si>
  <si>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</si>
  <si>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</si>
  <si>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</si>
  <si>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</si>
  <si>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</si>
  <si>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</si>
  <si>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</si>
  <si>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</si>
  <si>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</si>
  <si>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</si>
  <si>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</si>
  <si>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</si>
  <si>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</si>
  <si>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</si>
  <si>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</si>
  <si>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</si>
  <si>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</si>
  <si>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</si>
  <si>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</si>
  <si>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</si>
  <si>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</si>
  <si>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</si>
  <si>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</si>
  <si>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</si>
  <si>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</si>
  <si>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</si>
  <si>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</si>
  <si>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</si>
  <si>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</si>
  <si>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</si>
  <si>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</si>
  <si>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</si>
  <si>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</si>
  <si>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</si>
  <si>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</si>
  <si>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</si>
  <si>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</si>
  <si>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</si>
  <si>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</si>
  <si>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</si>
  <si>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</si>
  <si>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</si>
  <si>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</si>
  <si>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</si>
  <si>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</si>
  <si>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</si>
  <si>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</si>
  <si>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</si>
  <si>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</si>
  <si>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</si>
  <si>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</si>
  <si>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</si>
  <si>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</si>
  <si>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</si>
  <si>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</si>
  <si>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</si>
  <si>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</si>
  <si>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</si>
  <si>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</si>
  <si>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</si>
  <si>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</si>
  <si>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</si>
  <si>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</si>
  <si>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</si>
  <si>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</si>
  <si>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</si>
  <si>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</si>
  <si>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</si>
  <si>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</si>
  <si>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</si>
  <si>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</si>
  <si>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</si>
  <si>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</si>
  <si>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</si>
  <si>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</si>
  <si>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</si>
  <si>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</si>
  <si>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</si>
  <si>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</si>
  <si>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</si>
  <si>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</si>
  <si>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</si>
  <si>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</si>
  <si>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</si>
  <si>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</si>
  <si>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</si>
  <si>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</si>
  <si>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</si>
  <si>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</si>
  <si>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</si>
  <si>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</si>
  <si>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</si>
  <si>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</si>
  <si>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</si>
  <si>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</si>
  <si>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</si>
  <si>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</si>
  <si>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</si>
  <si>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</si>
  <si>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</si>
  <si>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</si>
  <si>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</si>
  <si>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</si>
  <si>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</si>
  <si>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</si>
  <si>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</si>
  <si>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</si>
  <si>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</si>
  <si>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</si>
  <si>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</si>
  <si>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</si>
  <si>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</si>
  <si>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</si>
  <si>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</si>
  <si>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</si>
  <si>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</si>
  <si>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</si>
  <si>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</si>
  <si>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</si>
  <si>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</si>
  <si>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</si>
  <si>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</si>
  <si>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</si>
  <si>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</si>
  <si>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</si>
  <si>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</si>
  <si>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</si>
  <si>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</si>
  <si>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</si>
  <si>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</si>
  <si>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</si>
  <si>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</si>
  <si>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</si>
  <si>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</si>
  <si>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</si>
  <si>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</si>
  <si>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</si>
  <si>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</si>
  <si>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</si>
  <si>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</si>
  <si>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</si>
  <si>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</si>
  <si>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</si>
  <si>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</si>
  <si>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</si>
  <si>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</si>
  <si>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</si>
  <si>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</si>
  <si>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</si>
  <si>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</si>
  <si>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</si>
  <si>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</si>
  <si>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</si>
  <si>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</si>
  <si>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</si>
  <si>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</si>
  <si>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</si>
  <si>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</si>
  <si>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</si>
  <si>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</si>
  <si>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</si>
  <si>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</si>
  <si>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</si>
  <si>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</si>
  <si>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</si>
  <si>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</si>
  <si>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</si>
  <si>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</si>
  <si>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</si>
  <si>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</si>
  <si>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</si>
  <si>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</si>
  <si>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</si>
  <si>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</si>
  <si>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</si>
  <si>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</si>
  <si>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</si>
  <si>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</si>
  <si>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</si>
  <si>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</si>
  <si>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</si>
  <si>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</si>
  <si>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</si>
  <si>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</si>
  <si>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</si>
  <si>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</si>
  <si>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</si>
  <si>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</si>
  <si>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</si>
  <si>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</si>
  <si>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</si>
  <si>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</si>
  <si>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</si>
  <si>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</si>
  <si>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</si>
  <si>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</si>
  <si>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</si>
  <si>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</si>
  <si>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</si>
  <si>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</si>
  <si>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</si>
  <si>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</si>
  <si>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</si>
  <si>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</si>
  <si>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</si>
  <si>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</si>
  <si>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</si>
  <si>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</si>
  <si>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</si>
  <si>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</si>
  <si>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</si>
  <si>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</si>
  <si>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</si>
  <si>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</si>
  <si>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</si>
  <si>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</si>
  <si>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</si>
  <si>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</si>
  <si>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</si>
  <si>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</si>
  <si>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</si>
  <si>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</si>
  <si>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</si>
  <si>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</si>
  <si>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</si>
  <si>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</si>
  <si>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</si>
  <si>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</si>
  <si>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</si>
  <si>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</si>
  <si>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</si>
  <si>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</si>
  <si>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</si>
  <si>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</si>
  <si>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</si>
  <si>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</si>
  <si>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</si>
  <si>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</si>
  <si>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</si>
  <si>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</si>
  <si>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</si>
  <si>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</si>
  <si>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</si>
  <si>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</si>
  <si>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</si>
  <si>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</si>
  <si>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</si>
  <si>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</si>
  <si>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</si>
  <si>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</si>
  <si>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</si>
  <si>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</si>
  <si>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</si>
  <si>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</si>
  <si>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</si>
  <si>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</si>
  <si>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</si>
  <si>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</si>
  <si>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</si>
  <si>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</si>
  <si>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</si>
  <si>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</si>
  <si>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</si>
  <si>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</si>
  <si>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</si>
  <si>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</si>
  <si>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</si>
  <si>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</si>
  <si>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</si>
  <si>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</si>
  <si>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</si>
  <si>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</si>
  <si>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</si>
  <si>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</si>
  <si>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</si>
  <si>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</si>
  <si>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</si>
  <si>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</si>
  <si>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</si>
  <si>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</si>
  <si>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</si>
  <si>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</si>
  <si>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</si>
  <si>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</si>
  <si>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</si>
  <si>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</si>
  <si>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</si>
  <si>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</si>
  <si>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</si>
  <si>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</si>
  <si>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</si>
  <si>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</si>
  <si>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</si>
  <si>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</si>
  <si>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</si>
  <si>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</si>
  <si>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</si>
  <si>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</si>
  <si>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</si>
  <si>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</si>
  <si>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</si>
  <si>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</si>
  <si>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</si>
  <si>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</si>
  <si>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</si>
  <si>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</si>
  <si>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</si>
  <si>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</si>
  <si>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</si>
  <si>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</si>
  <si>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</si>
  <si>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</si>
  <si>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</si>
  <si>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</si>
  <si>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</si>
  <si>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</si>
  <si>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</si>
  <si>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</si>
  <si>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</si>
  <si>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</si>
  <si>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</si>
  <si>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</si>
  <si>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</si>
  <si>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</si>
  <si>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</si>
  <si>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</si>
  <si>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</si>
  <si>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</si>
  <si>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</si>
  <si>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</si>
  <si>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</si>
  <si>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</si>
  <si>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</si>
  <si>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</si>
  <si>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</si>
  <si>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</si>
  <si>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</si>
  <si>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</si>
  <si>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</si>
  <si>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</si>
  <si>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</si>
  <si>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</si>
  <si>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</si>
  <si>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</si>
  <si>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</si>
  <si>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</si>
  <si>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</si>
  <si>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</si>
  <si>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</si>
  <si>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</si>
  <si>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</si>
  <si>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</si>
  <si>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</si>
  <si>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</si>
  <si>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</si>
  <si>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</si>
  <si>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</si>
  <si>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</si>
  <si>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</si>
  <si>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</si>
  <si>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</si>
  <si>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</si>
  <si>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</si>
  <si>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</si>
  <si>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</si>
  <si>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</si>
  <si>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</si>
  <si>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</si>
  <si>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</si>
  <si>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</si>
  <si>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</si>
  <si>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</si>
  <si>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</si>
  <si>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</si>
  <si>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</si>
  <si>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</si>
  <si>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</si>
  <si>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</si>
  <si>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</si>
  <si>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</si>
  <si>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</si>
  <si>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</si>
  <si>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</si>
  <si>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</si>
  <si>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</si>
  <si>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</si>
  <si>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</si>
  <si>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</si>
  <si>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</si>
  <si>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</si>
  <si>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</si>
  <si>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</si>
  <si>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</si>
  <si>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</si>
  <si>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</si>
  <si>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</si>
  <si>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</si>
  <si>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</si>
  <si>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</si>
  <si>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</si>
  <si>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</si>
  <si>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</si>
  <si>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</si>
  <si>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</si>
  <si>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</si>
  <si>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</si>
  <si>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</si>
  <si>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</si>
  <si>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</si>
  <si>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</si>
  <si>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</si>
  <si>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</si>
  <si>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</si>
  <si>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</si>
  <si>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</si>
  <si>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</si>
  <si>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</si>
  <si>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</si>
  <si>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</si>
  <si>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</si>
  <si>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</si>
  <si>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</si>
  <si>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</si>
  <si>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</si>
  <si>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</si>
  <si>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</si>
  <si>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</si>
  <si>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</si>
  <si>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</si>
  <si>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</si>
  <si>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</si>
  <si>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</si>
  <si>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</si>
  <si>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</si>
  <si>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</si>
  <si>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</si>
  <si>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</si>
  <si>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</si>
  <si>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</si>
  <si>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</si>
  <si>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</si>
  <si>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</si>
  <si>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</si>
  <si>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</si>
  <si>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</si>
  <si>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</si>
  <si>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</si>
  <si>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</si>
  <si>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</si>
  <si>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</si>
  <si>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</si>
  <si>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</si>
  <si>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</si>
  <si>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</si>
  <si>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</si>
  <si>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</si>
  <si>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</si>
  <si>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</si>
  <si>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</si>
  <si>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</si>
  <si>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</si>
  <si>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</si>
  <si>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</si>
  <si>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</si>
  <si>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</si>
  <si>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</si>
  <si>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</si>
  <si>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</si>
  <si>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</si>
  <si>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</si>
  <si>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</si>
  <si>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</si>
  <si>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</si>
  <si>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</si>
  <si>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</si>
  <si>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</si>
  <si>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</si>
  <si>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</si>
  <si>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</si>
  <si>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</si>
  <si>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</si>
  <si>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</si>
  <si>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</si>
  <si>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</si>
  <si>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</si>
  <si>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</si>
  <si>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</si>
  <si>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</si>
  <si>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</si>
  <si>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</si>
  <si>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</si>
  <si>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</si>
  <si>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</si>
  <si>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</si>
  <si>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</si>
  <si>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</si>
  <si>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</si>
  <si>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</si>
  <si>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</si>
  <si>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</si>
  <si>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</si>
  <si>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</si>
  <si>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</si>
  <si>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</si>
  <si>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</si>
  <si>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</si>
  <si>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</si>
  <si>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</si>
  <si>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</si>
  <si>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</si>
  <si>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</si>
  <si>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</si>
  <si>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</si>
  <si>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</si>
  <si>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</si>
  <si>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</si>
  <si>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</si>
  <si>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</si>
  <si>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</si>
  <si>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</si>
  <si>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</si>
  <si>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</si>
  <si>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</si>
  <si>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</si>
  <si>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</si>
  <si>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</si>
  <si>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</si>
  <si>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</si>
  <si>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</si>
  <si>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</si>
  <si>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</si>
  <si>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</si>
  <si>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</si>
  <si>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</si>
  <si>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</si>
  <si>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</si>
  <si>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</si>
  <si>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</si>
  <si>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</si>
  <si>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</si>
  <si>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</si>
  <si>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</si>
  <si>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</si>
  <si>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</si>
  <si>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</si>
  <si>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</si>
  <si>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</si>
  <si>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</si>
  <si>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</si>
  <si>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</si>
  <si>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</si>
  <si>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</si>
  <si>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</si>
  <si>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</si>
  <si>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</si>
  <si>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</si>
  <si>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</si>
  <si>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</si>
  <si>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</si>
  <si>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</si>
  <si>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</si>
  <si>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</si>
  <si>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</si>
  <si>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</si>
  <si>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</si>
  <si>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</si>
  <si>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</si>
  <si>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</si>
  <si>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</si>
  <si>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</si>
  <si>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</si>
  <si>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</si>
  <si>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</si>
  <si>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</si>
  <si>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</si>
  <si>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</si>
  <si>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</si>
  <si>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</si>
  <si>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</si>
  <si>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</si>
  <si>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</si>
  <si>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</si>
  <si>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</si>
  <si>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</si>
  <si>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</si>
  <si>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</si>
  <si>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</si>
  <si>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</si>
  <si>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</si>
  <si>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</si>
  <si>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</si>
  <si>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</si>
  <si>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</si>
  <si>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</si>
  <si>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</si>
  <si>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</si>
  <si>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</si>
  <si>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</si>
  <si>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</si>
  <si>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</si>
  <si>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</si>
  <si>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</si>
  <si>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</si>
  <si>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</si>
  <si>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</si>
  <si>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</si>
  <si>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</si>
  <si>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</si>
  <si>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</si>
  <si>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</si>
  <si>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</si>
  <si>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</si>
  <si>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</si>
  <si>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</si>
  <si>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</si>
  <si>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</si>
  <si>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</si>
  <si>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</si>
  <si>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</si>
  <si>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</si>
  <si>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</si>
  <si>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</si>
  <si>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</si>
  <si>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</si>
  <si>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</si>
  <si>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</si>
  <si>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</si>
  <si>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</si>
  <si>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</si>
  <si>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</si>
  <si>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</si>
  <si>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</si>
  <si>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</si>
  <si>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</si>
  <si>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</si>
  <si>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</si>
  <si>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</si>
  <si>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</si>
  <si>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</si>
  <si>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</si>
  <si>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</si>
  <si>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</si>
  <si>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</si>
  <si>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</si>
  <si>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</si>
  <si>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</si>
  <si>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</si>
  <si>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</si>
  <si>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</si>
  <si>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</si>
  <si>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</si>
  <si>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</si>
  <si>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</si>
  <si>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</si>
  <si>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</si>
  <si>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</si>
  <si>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</si>
  <si>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</si>
  <si>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</si>
  <si>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</si>
  <si>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</si>
  <si>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</si>
  <si>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</si>
  <si>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</si>
  <si>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</si>
  <si>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</si>
  <si>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</si>
  <si>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</si>
  <si>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</si>
  <si>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</si>
  <si>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</si>
  <si>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</si>
  <si>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</si>
  <si>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</si>
  <si>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</si>
  <si>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</si>
  <si>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</si>
  <si>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</si>
  <si>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</si>
  <si>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</si>
  <si>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</si>
  <si>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</si>
  <si>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</si>
  <si>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</si>
  <si>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</si>
  <si>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</si>
  <si>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</si>
  <si>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</si>
  <si>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</si>
  <si>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</si>
  <si>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</si>
  <si>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</si>
  <si>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</si>
  <si>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</si>
  <si>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</si>
  <si>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</si>
  <si>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</si>
  <si>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</si>
  <si>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</si>
  <si>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</si>
  <si>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</si>
  <si>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</si>
  <si>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</si>
  <si>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</si>
  <si>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</si>
  <si>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</si>
  <si>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</si>
  <si>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</si>
  <si>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</si>
  <si>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</si>
  <si>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</si>
  <si>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</si>
  <si>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</si>
  <si>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</si>
  <si>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</si>
  <si>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</si>
  <si>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</si>
  <si>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</si>
  <si>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</si>
  <si>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</si>
  <si>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</si>
  <si>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</si>
  <si>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</si>
  <si>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</si>
  <si>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</si>
  <si>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</si>
  <si>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</si>
  <si>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</si>
  <si>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</si>
  <si>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</si>
  <si>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</si>
  <si>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</si>
  <si>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</si>
  <si>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</si>
  <si>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</si>
  <si>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</si>
  <si>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</si>
  <si>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</si>
  <si>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</si>
  <si>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</si>
  <si>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</si>
  <si>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</si>
  <si>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</si>
  <si>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</si>
  <si>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</si>
  <si>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</si>
  <si>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</si>
  <si>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</si>
  <si>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</si>
  <si>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</si>
  <si>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</si>
  <si>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</si>
  <si>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</si>
  <si>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</si>
  <si>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</si>
  <si>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</si>
  <si>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</si>
  <si>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</si>
  <si>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</si>
  <si>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</si>
  <si>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</si>
  <si>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</si>
  <si>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</si>
  <si>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</si>
  <si>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</si>
  <si>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</si>
  <si>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</si>
  <si>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</si>
  <si>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</si>
  <si>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</si>
  <si>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</si>
  <si>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</si>
  <si>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</si>
  <si>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</si>
  <si>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</si>
  <si>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</si>
  <si>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</si>
  <si>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</si>
  <si>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</si>
  <si>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</si>
  <si>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</si>
  <si>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</si>
  <si>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</si>
  <si>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</si>
  <si>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</si>
  <si>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</si>
  <si>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</si>
  <si>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</si>
  <si>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</si>
  <si>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</si>
  <si>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</si>
  <si>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</si>
  <si>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</si>
  <si>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</si>
  <si>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</si>
  <si>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</si>
  <si>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</si>
  <si>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</si>
  <si>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</si>
  <si>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</si>
  <si>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</si>
  <si>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</si>
  <si>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</si>
  <si>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</si>
  <si>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</si>
  <si>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</si>
  <si>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</si>
  <si>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</si>
  <si>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</si>
  <si>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</si>
  <si>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</si>
  <si>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</si>
  <si>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</si>
  <si>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</si>
  <si>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</si>
  <si>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</si>
  <si>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</si>
  <si>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</si>
  <si>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</si>
  <si>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</si>
  <si>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</si>
  <si>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</si>
  <si>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</si>
  <si>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</si>
  <si>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</si>
  <si>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</si>
  <si>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</si>
  <si>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</si>
  <si>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</si>
  <si>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</si>
  <si>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</si>
  <si>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</si>
  <si>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</si>
  <si>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</si>
  <si>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</si>
  <si>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</si>
  <si>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</si>
  <si>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</si>
  <si>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</si>
  <si>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</si>
  <si>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</si>
  <si>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</si>
  <si>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</si>
  <si>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</si>
  <si>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</si>
  <si>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</si>
  <si>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</si>
  <si>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</si>
  <si>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</si>
  <si>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</si>
  <si>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</si>
  <si>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</si>
  <si>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</si>
  <si>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</si>
  <si>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</si>
  <si>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</si>
  <si>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</si>
  <si>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</si>
  <si>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</si>
  <si>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</si>
  <si>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</si>
  <si>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</si>
  <si>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</si>
  <si>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</si>
  <si>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</si>
  <si>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</si>
  <si>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</si>
  <si>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</si>
  <si>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</si>
  <si>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</si>
  <si>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</si>
  <si>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</si>
  <si>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</si>
  <si>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</si>
  <si>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</si>
  <si>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</si>
  <si>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</si>
  <si>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</si>
  <si>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</si>
  <si>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</si>
  <si>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</si>
  <si>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</si>
  <si>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</si>
  <si>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</si>
  <si>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</si>
  <si>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</si>
  <si>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</si>
  <si>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</si>
  <si>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</si>
  <si>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</si>
  <si>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</si>
  <si>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</si>
  <si>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</si>
  <si>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</si>
  <si>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</si>
  <si>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</si>
  <si>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</si>
  <si>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</si>
  <si>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</si>
  <si>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</si>
  <si>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</si>
  <si>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</si>
  <si>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</si>
  <si>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</si>
  <si>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</si>
  <si>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</si>
  <si>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</si>
  <si>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</si>
  <si>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</si>
  <si>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</si>
  <si>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</si>
  <si>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</si>
  <si>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</si>
  <si>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</si>
  <si>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</si>
  <si>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</si>
  <si>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</si>
  <si>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</si>
  <si>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</si>
  <si>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</si>
  <si>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</si>
  <si>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</si>
  <si>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</si>
  <si>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</si>
  <si>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</si>
  <si>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</si>
  <si>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</si>
  <si>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</si>
  <si>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</si>
  <si>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</si>
  <si>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</si>
  <si>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</si>
  <si>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</si>
  <si>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</si>
  <si>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</si>
  <si>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</si>
  <si>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</si>
  <si>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</si>
  <si>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</si>
  <si>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</si>
  <si>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</si>
  <si>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</si>
  <si>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</si>
  <si>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</si>
  <si>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</si>
  <si>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</si>
  <si>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</si>
  <si>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</si>
  <si>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</si>
  <si>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</si>
  <si>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</si>
  <si>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</si>
  <si>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</si>
  <si>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</si>
  <si>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</si>
  <si>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</si>
  <si>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</si>
  <si>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</si>
  <si>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</si>
  <si>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</si>
  <si>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</si>
  <si>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</si>
  <si>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</si>
  <si>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</si>
  <si>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</si>
  <si>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</si>
  <si>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</si>
  <si>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</si>
  <si>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</si>
  <si>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</si>
  <si>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</si>
  <si>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</si>
  <si>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</si>
  <si>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</si>
  <si>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</si>
  <si>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</si>
  <si>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</si>
  <si>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</si>
  <si>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</si>
  <si>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</si>
  <si>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</si>
  <si>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</si>
  <si>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</si>
  <si>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</si>
  <si>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</si>
  <si>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</si>
  <si>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</si>
  <si>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</si>
  <si>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</si>
  <si>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</si>
  <si>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</si>
  <si>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</si>
  <si>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</si>
  <si>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</si>
  <si>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</si>
  <si>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</si>
  <si>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</si>
  <si>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</si>
  <si>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</si>
  <si>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</si>
  <si>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</si>
  <si>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</si>
  <si>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</si>
  <si>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</si>
  <si>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</si>
  <si>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</si>
  <si>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</si>
  <si>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</si>
  <si>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</si>
  <si>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</si>
  <si>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</si>
  <si>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</si>
  <si>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</si>
  <si>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</si>
  <si>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</si>
  <si>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</si>
  <si>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</si>
  <si>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</si>
  <si>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</si>
  <si>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</si>
  <si>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</si>
  <si>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</si>
  <si>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</si>
  <si>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</si>
  <si>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</si>
  <si>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</si>
  <si>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</si>
  <si>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</si>
  <si>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</si>
  <si>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</si>
  <si>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</si>
  <si>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</si>
  <si>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</si>
  <si>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</si>
  <si>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</si>
  <si>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</si>
  <si>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</si>
  <si>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</si>
  <si>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</si>
  <si>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</si>
  <si>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</si>
  <si>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</si>
  <si>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</si>
  <si>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</si>
  <si>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</si>
  <si>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</si>
  <si>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</si>
  <si>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</si>
  <si>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</si>
  <si>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</si>
  <si>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</si>
  <si>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</si>
  <si>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</si>
  <si>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</si>
  <si>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</si>
  <si>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</si>
  <si>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</si>
  <si>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</si>
  <si>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</si>
  <si>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</si>
  <si>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</si>
  <si>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</si>
  <si>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</si>
  <si>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</si>
  <si>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</si>
  <si>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</si>
  <si>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</si>
  <si>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</si>
  <si>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</si>
  <si>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</si>
  <si>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</si>
  <si>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</si>
  <si>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</si>
  <si>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</si>
  <si>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</si>
  <si>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</si>
  <si>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</si>
  <si>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</si>
  <si>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</si>
  <si>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</si>
  <si>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</si>
  <si>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</si>
  <si>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</si>
  <si>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</si>
  <si>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</si>
  <si>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</si>
  <si>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</si>
  <si>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</si>
  <si>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</si>
  <si>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</si>
  <si>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</si>
  <si>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</si>
  <si>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</si>
  <si>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</si>
  <si>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</si>
  <si>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</si>
  <si>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</si>
  <si>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</si>
  <si>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</si>
  <si>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</si>
  <si>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</si>
  <si>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</si>
  <si>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</si>
  <si>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</si>
  <si>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</si>
  <si>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</si>
  <si>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</si>
  <si>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</si>
  <si>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</si>
  <si>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</si>
  <si>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</si>
  <si>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</si>
  <si>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</si>
  <si>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</si>
  <si>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</si>
  <si>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</si>
  <si>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</si>
  <si>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</si>
  <si>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</si>
  <si>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</si>
  <si>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</si>
  <si>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</si>
  <si>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</si>
  <si>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</si>
  <si>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</si>
  <si>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</si>
  <si>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</si>
  <si>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</si>
  <si>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</si>
  <si>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</si>
  <si>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</si>
  <si>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</si>
  <si>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</si>
  <si>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</si>
  <si>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</si>
  <si>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</si>
  <si>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</si>
  <si>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</si>
  <si>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</si>
  <si>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</si>
  <si>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</si>
  <si>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</si>
  <si>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</si>
  <si>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</si>
  <si>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</si>
  <si>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</si>
  <si>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</si>
  <si>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</si>
  <si>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</si>
  <si>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</si>
  <si>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</si>
  <si>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</si>
  <si>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</si>
  <si>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</si>
  <si>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</si>
  <si>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</si>
  <si>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</si>
  <si>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</si>
  <si>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</si>
  <si>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</si>
  <si>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</si>
  <si>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</si>
  <si>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</si>
  <si>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</si>
  <si>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</si>
  <si>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</si>
  <si>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</si>
  <si>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</si>
  <si>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</si>
  <si>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</si>
  <si>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</si>
  <si>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</si>
  <si>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</si>
  <si>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</si>
  <si>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</si>
  <si>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</si>
  <si>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</si>
  <si>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</si>
  <si>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</si>
  <si>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</si>
  <si>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</si>
  <si>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</si>
  <si>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</si>
  <si>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</si>
  <si>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</si>
  <si>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</si>
  <si>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</si>
  <si>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</si>
  <si>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</si>
  <si>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</si>
  <si>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</si>
  <si>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</si>
  <si>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</si>
  <si>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</si>
  <si>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</si>
  <si>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</si>
  <si>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</si>
  <si>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</si>
  <si>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</si>
  <si>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</si>
  <si>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</si>
  <si>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</si>
  <si>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</si>
  <si>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</si>
  <si>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</si>
  <si>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</si>
  <si>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</si>
  <si>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</si>
  <si>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</si>
  <si>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</si>
  <si>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</si>
  <si>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</si>
  <si>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</si>
  <si>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</si>
  <si>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</si>
  <si>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</si>
  <si>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</si>
  <si>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</si>
  <si>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</si>
  <si>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</si>
  <si>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</si>
  <si>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</si>
  <si>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</si>
  <si>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</si>
  <si>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</si>
  <si>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</si>
  <si>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</si>
  <si>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</si>
  <si>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</si>
  <si>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</si>
  <si>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</si>
  <si>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</si>
  <si>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</si>
  <si>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</si>
  <si>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</si>
  <si>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</si>
  <si>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</si>
  <si>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</si>
  <si>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</si>
  <si>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</si>
  <si>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</si>
  <si>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</si>
  <si>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</si>
  <si>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</si>
  <si>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</si>
  <si>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</si>
  <si>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</si>
  <si>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</si>
  <si>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</si>
  <si>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</si>
  <si>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</si>
  <si>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</si>
  <si>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</si>
  <si>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</si>
  <si>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</si>
  <si>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</si>
  <si>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</si>
  <si>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</si>
  <si>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</si>
  <si>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</si>
  <si>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</si>
  <si>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</si>
  <si>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</si>
  <si>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</si>
  <si>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</si>
  <si>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</si>
  <si>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</si>
  <si>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</si>
  <si>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</si>
  <si>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</si>
  <si>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</si>
  <si>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</si>
  <si>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</si>
  <si>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</si>
  <si>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</si>
  <si>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</si>
  <si>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</si>
  <si>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</si>
  <si>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</si>
  <si>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</si>
  <si>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</si>
  <si>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</si>
  <si>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</si>
  <si>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</si>
  <si>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</si>
  <si>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</si>
  <si>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</si>
  <si>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</si>
  <si>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</si>
  <si>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</si>
  <si>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</si>
  <si>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</si>
  <si>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</si>
  <si>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</si>
  <si>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</si>
  <si>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</si>
  <si>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</si>
  <si>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</si>
  <si>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</si>
  <si>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</si>
  <si>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</si>
  <si>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</si>
  <si>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</si>
  <si>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</si>
  <si>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</si>
  <si>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</si>
  <si>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</si>
  <si>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</si>
  <si>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</si>
  <si>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</si>
  <si>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</si>
  <si>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</si>
  <si>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</si>
  <si>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</si>
  <si>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</si>
  <si>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</si>
  <si>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</si>
  <si>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</si>
  <si>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</si>
  <si>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</si>
  <si>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</si>
  <si>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</si>
  <si>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</si>
  <si>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</si>
  <si>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</si>
  <si>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</si>
  <si>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</si>
  <si>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</si>
  <si>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</si>
  <si>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</si>
  <si>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</si>
  <si>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</si>
  <si>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</si>
  <si>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</si>
  <si>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</si>
  <si>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</si>
  <si>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</si>
  <si>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</si>
  <si>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</si>
  <si>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</si>
  <si>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</si>
  <si>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</si>
  <si>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</si>
  <si>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</si>
  <si>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</si>
  <si>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</si>
  <si>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</si>
  <si>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</si>
  <si>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</si>
  <si>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</si>
  <si>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</si>
  <si>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</si>
  <si>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</si>
  <si>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</si>
  <si>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</si>
  <si>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</si>
  <si>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</si>
  <si>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</si>
  <si>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</si>
  <si>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</si>
  <si>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</si>
  <si>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</si>
  <si>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</si>
  <si>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</si>
  <si>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</si>
  <si>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</si>
  <si>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</si>
  <si>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</si>
  <si>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</si>
  <si>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</si>
  <si>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</si>
  <si>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</si>
  <si>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</si>
  <si>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</si>
  <si>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</si>
  <si>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</si>
  <si>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</si>
  <si>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</si>
  <si>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</si>
  <si>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</si>
  <si>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</si>
  <si>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</si>
  <si>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</si>
  <si>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</si>
  <si>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</si>
  <si>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</si>
  <si>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</si>
  <si>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</si>
  <si>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</si>
  <si>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</si>
  <si>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</si>
  <si>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</si>
  <si>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</si>
  <si>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</si>
  <si>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</si>
  <si>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</si>
  <si>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</si>
  <si>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</si>
  <si>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</si>
  <si>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</si>
  <si>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</si>
  <si>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</si>
  <si>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</si>
  <si>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</si>
  <si>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</si>
  <si>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</si>
  <si>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</si>
  <si>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</si>
  <si>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</si>
  <si>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</si>
  <si>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</si>
  <si>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</si>
  <si>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</si>
  <si>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</si>
  <si>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</si>
  <si>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</si>
  <si>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</si>
  <si>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</si>
  <si>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</si>
  <si>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</si>
  <si>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</si>
  <si>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</si>
  <si>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</si>
  <si>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</si>
  <si>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</si>
  <si>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</si>
  <si>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</si>
  <si>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</si>
  <si>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</si>
  <si>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</si>
  <si>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</si>
  <si>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</si>
  <si>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</si>
  <si>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</si>
  <si>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</si>
  <si>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</si>
  <si>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</si>
  <si>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</si>
  <si>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</si>
  <si>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</si>
  <si>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</si>
  <si>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</si>
  <si>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</si>
  <si>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</si>
  <si>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</si>
  <si>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</si>
  <si>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</si>
  <si>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</si>
  <si>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</si>
  <si>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</si>
  <si>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</si>
  <si>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</si>
  <si>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</si>
  <si>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</si>
  <si>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</si>
  <si>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</si>
  <si>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</si>
  <si>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</si>
  <si>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</si>
  <si>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</si>
  <si>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</si>
  <si>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</si>
  <si>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</si>
  <si>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</si>
  <si>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</si>
  <si>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</si>
  <si>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</si>
  <si>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</si>
  <si>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</si>
  <si>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</si>
  <si>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</si>
  <si>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</si>
  <si>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</si>
  <si>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</si>
  <si>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</si>
  <si>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</si>
  <si>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</si>
  <si>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</si>
  <si>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</si>
  <si>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</si>
  <si>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</si>
  <si>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</si>
  <si>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</si>
  <si>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</si>
  <si>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</si>
  <si>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</si>
  <si>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</si>
  <si>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</si>
  <si>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</si>
  <si>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</si>
  <si>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</si>
  <si>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</si>
  <si>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</si>
  <si>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</si>
  <si>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</si>
  <si>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</si>
  <si>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</si>
  <si>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</si>
  <si>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</si>
  <si>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</si>
  <si>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</si>
  <si>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</si>
  <si>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</si>
  <si>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</si>
  <si>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</si>
  <si>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</si>
  <si>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</si>
  <si>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</si>
  <si>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</si>
  <si>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</si>
  <si>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</si>
  <si>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</si>
  <si>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</si>
  <si>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</si>
  <si>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</si>
  <si>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</si>
  <si>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</si>
  <si>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</si>
  <si>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</si>
  <si>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</si>
  <si>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</si>
  <si>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</si>
  <si>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</si>
  <si>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</si>
  <si>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</si>
  <si>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</si>
  <si>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</si>
  <si>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</si>
  <si>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</si>
  <si>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</si>
  <si>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</si>
  <si>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</si>
  <si>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</si>
  <si>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</si>
  <si>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</si>
  <si>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</si>
  <si>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</si>
  <si>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</si>
  <si>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</si>
  <si>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</si>
  <si>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</si>
  <si>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</si>
  <si>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</si>
  <si>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</si>
  <si>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</si>
  <si>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</si>
  <si>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</si>
  <si>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</si>
  <si>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</si>
  <si>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</si>
  <si>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</si>
  <si>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</si>
  <si>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</si>
  <si>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</si>
  <si>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</si>
  <si>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</si>
  <si>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</si>
  <si>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</si>
  <si>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</si>
  <si>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</si>
  <si>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</si>
  <si>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</si>
  <si>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</si>
  <si>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</si>
  <si>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</si>
  <si>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</si>
  <si>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</si>
  <si>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</si>
  <si>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</si>
  <si>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</si>
  <si>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</si>
  <si>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</si>
  <si>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</si>
  <si>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</si>
  <si>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</si>
  <si>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</si>
  <si>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</si>
  <si>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</si>
  <si>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</si>
  <si>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</si>
  <si>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</si>
  <si>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</si>
  <si>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</si>
  <si>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</si>
  <si>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</si>
  <si>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</si>
  <si>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</si>
  <si>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</si>
  <si>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</si>
  <si>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</si>
  <si>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</si>
  <si>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</si>
  <si>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</si>
  <si>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</si>
  <si>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</si>
  <si>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</si>
  <si>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</si>
  <si>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</si>
  <si>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</si>
  <si>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</si>
  <si>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</si>
  <si>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</si>
  <si>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</si>
  <si>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</si>
  <si>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</si>
  <si>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</si>
  <si>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</si>
  <si>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</si>
  <si>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</si>
  <si>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</si>
  <si>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</si>
  <si>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</si>
  <si>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</si>
  <si>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</si>
  <si>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</si>
  <si>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</si>
  <si>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</si>
  <si>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</si>
  <si>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</si>
  <si>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</si>
  <si>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</si>
  <si>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</si>
  <si>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</si>
  <si>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</si>
  <si>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</si>
  <si>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</si>
  <si>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</si>
  <si>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</si>
  <si>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</si>
  <si>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</si>
  <si>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</si>
  <si>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</si>
  <si>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</si>
  <si>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</si>
  <si>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</si>
  <si>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</si>
  <si>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</si>
  <si>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</si>
  <si>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</si>
  <si>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</si>
  <si>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</si>
  <si>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</si>
  <si>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</si>
  <si>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</si>
  <si>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</si>
  <si>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</si>
  <si>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</si>
  <si>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</si>
  <si>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</si>
  <si>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</si>
  <si>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</si>
  <si>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</si>
  <si>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</si>
  <si>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</si>
  <si>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</si>
  <si>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</si>
  <si>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</si>
  <si>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</si>
  <si>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</si>
  <si>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</si>
  <si>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</si>
  <si>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</si>
  <si>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</si>
  <si>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</si>
  <si>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</si>
  <si>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</si>
  <si>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</si>
  <si>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</si>
  <si>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</si>
  <si>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</si>
  <si>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</si>
  <si>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</si>
  <si>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</si>
  <si>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</si>
  <si>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</si>
  <si>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</si>
  <si>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</si>
  <si>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</si>
  <si>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</si>
  <si>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</si>
  <si>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</si>
  <si>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</si>
  <si>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</si>
  <si>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</si>
  <si>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</si>
  <si>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</si>
  <si>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</si>
  <si>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</si>
  <si>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</si>
  <si>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</si>
  <si>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</si>
  <si>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</si>
  <si>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</si>
  <si>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</si>
  <si>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</si>
  <si>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</si>
  <si>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</si>
  <si>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</si>
  <si>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</si>
  <si>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</si>
  <si>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</si>
  <si>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</si>
  <si>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</si>
  <si>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</si>
  <si>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</si>
  <si>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</si>
  <si>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</si>
  <si>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</si>
  <si>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</si>
  <si>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</si>
  <si>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</si>
  <si>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</si>
  <si>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</si>
  <si>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</si>
  <si>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</si>
  <si>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</si>
  <si>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</si>
  <si>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</si>
  <si>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</si>
  <si>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</si>
  <si>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</si>
  <si>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</si>
  <si>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</si>
  <si>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</si>
  <si>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</si>
  <si>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</si>
  <si>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</si>
  <si>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</si>
  <si>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</si>
  <si>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</si>
  <si>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</si>
  <si>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</si>
  <si>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</si>
  <si>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</si>
  <si>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</si>
  <si>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</si>
  <si>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</si>
  <si>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</si>
  <si>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</si>
  <si>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</si>
  <si>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</si>
  <si>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</si>
  <si>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</si>
  <si>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</si>
  <si>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</si>
  <si>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</si>
  <si>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</si>
  <si>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</si>
  <si>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</si>
  <si>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</si>
  <si>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</si>
  <si>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</si>
  <si>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</si>
  <si>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</si>
  <si>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</si>
  <si>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</si>
  <si>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</si>
  <si>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</si>
  <si>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</si>
  <si>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</si>
  <si>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</si>
  <si>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</si>
  <si>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</si>
  <si>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</si>
  <si>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</si>
  <si>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</si>
  <si>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</si>
  <si>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</si>
  <si>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</si>
  <si>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</si>
  <si>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</si>
  <si>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</si>
  <si>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</si>
  <si>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</si>
  <si>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</si>
  <si>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</si>
  <si>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</si>
  <si>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</si>
  <si>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</si>
  <si>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</si>
  <si>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</si>
  <si>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</si>
  <si>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</si>
  <si>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</si>
  <si>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</si>
  <si>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</si>
  <si>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</si>
  <si>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</si>
  <si>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</si>
  <si>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</si>
  <si>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</si>
  <si>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</si>
  <si>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</si>
  <si>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</si>
  <si>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</si>
  <si>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</si>
  <si>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</si>
  <si>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</si>
  <si>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</si>
  <si>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</si>
  <si>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</si>
  <si>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</si>
  <si>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</si>
  <si>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</si>
  <si>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</si>
  <si>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</si>
  <si>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</si>
  <si>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</si>
  <si>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</si>
  <si>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</si>
  <si>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</si>
  <si>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</si>
  <si>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</si>
  <si>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</si>
  <si>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</si>
  <si>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</si>
  <si>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</si>
  <si>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</si>
  <si>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</si>
  <si>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</si>
  <si>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</si>
  <si>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</si>
  <si>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</si>
  <si>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</si>
  <si>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</si>
  <si>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</si>
  <si>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</si>
  <si>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</si>
  <si>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</si>
  <si>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</si>
  <si>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</si>
  <si>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</si>
  <si>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</si>
  <si>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</si>
  <si>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</si>
  <si>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</si>
  <si>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</si>
  <si>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</si>
  <si>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</si>
  <si>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</si>
  <si>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</si>
  <si>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</si>
  <si>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</si>
  <si>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</si>
  <si>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</si>
  <si>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</si>
  <si>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</si>
  <si>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</si>
  <si>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</si>
  <si>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</si>
  <si>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</si>
  <si>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</si>
  <si>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</si>
  <si>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</si>
  <si>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</si>
  <si>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</si>
  <si>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</si>
  <si>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</si>
  <si>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</si>
  <si>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</si>
  <si>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</si>
  <si>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</si>
  <si>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</si>
  <si>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</si>
  <si>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</si>
  <si>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</si>
  <si>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</si>
  <si>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</si>
  <si>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</si>
  <si>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</si>
  <si>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</si>
  <si>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</si>
  <si>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</si>
  <si>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</si>
  <si>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</si>
  <si>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</si>
  <si>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</si>
  <si>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</si>
  <si>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</si>
  <si>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</si>
  <si>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</si>
  <si>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</si>
  <si>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</si>
  <si>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</si>
  <si>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</si>
  <si>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</si>
  <si>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</si>
  <si>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</si>
  <si>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</si>
  <si>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</si>
  <si>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</si>
  <si>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</si>
  <si>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</si>
  <si>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</si>
  <si>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</si>
  <si>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</si>
  <si>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</si>
  <si>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</si>
  <si>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</si>
  <si>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</si>
  <si>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</si>
  <si>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</si>
  <si>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</si>
  <si>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</si>
  <si>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</si>
  <si>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</si>
  <si>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</si>
  <si>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</si>
  <si>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</si>
  <si>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</si>
  <si>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</si>
  <si>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</si>
  <si>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</si>
  <si>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</si>
  <si>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</si>
  <si>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</si>
  <si>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</si>
  <si>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</si>
  <si>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</si>
  <si>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</si>
  <si>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</si>
  <si>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</si>
  <si>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</si>
  <si>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</si>
  <si>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</si>
  <si>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</si>
  <si>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</si>
  <si>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</si>
  <si>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</si>
  <si>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</si>
  <si>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</si>
  <si>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</si>
  <si>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</si>
  <si>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</si>
  <si>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</si>
  <si>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</si>
  <si>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</si>
  <si>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</si>
  <si>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</si>
  <si>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</si>
  <si>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</si>
  <si>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</si>
  <si>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</si>
  <si>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</si>
  <si>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</si>
  <si>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</si>
  <si>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</si>
  <si>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</si>
  <si>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</si>
  <si>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</si>
  <si>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</si>
  <si>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</si>
  <si>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</si>
  <si>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</si>
  <si>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</si>
  <si>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</si>
  <si>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</si>
  <si>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</si>
  <si>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</si>
  <si>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</si>
  <si>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</si>
  <si>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</si>
  <si>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</si>
  <si>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</si>
  <si>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</si>
  <si>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</si>
  <si>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</si>
  <si>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</si>
  <si>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</si>
  <si>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</si>
  <si>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</si>
  <si>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</si>
  <si>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</si>
  <si>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</si>
  <si>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</si>
  <si>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</si>
  <si>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</si>
  <si>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</si>
  <si>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</si>
  <si>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</si>
  <si>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</si>
  <si>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</si>
  <si>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</si>
  <si>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</si>
  <si>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</si>
  <si>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</si>
  <si>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</si>
  <si>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</si>
  <si>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</si>
  <si>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</si>
  <si>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</si>
  <si>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</si>
  <si>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</si>
  <si>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</si>
  <si>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</si>
  <si>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</si>
  <si>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</si>
  <si>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</si>
  <si>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</si>
  <si>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</si>
  <si>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</si>
  <si>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</si>
  <si>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</si>
  <si>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</si>
  <si>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</si>
  <si>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</si>
  <si>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</si>
  <si>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</si>
  <si>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</si>
  <si>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</si>
  <si>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</si>
  <si>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</si>
  <si>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</si>
  <si>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</si>
  <si>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</si>
  <si>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</si>
  <si>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</si>
  <si>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</si>
  <si>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</si>
  <si>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</si>
  <si>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</si>
  <si>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</si>
  <si>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</si>
  <si>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</si>
  <si>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</si>
  <si>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</si>
  <si>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</si>
  <si>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</si>
  <si>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</si>
  <si>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</si>
  <si>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</si>
  <si>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</si>
  <si>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</si>
  <si>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</si>
  <si>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</si>
  <si>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</si>
  <si>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</si>
  <si>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</si>
  <si>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</si>
  <si>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</si>
  <si>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</si>
  <si>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</si>
  <si>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</si>
  <si>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</si>
  <si>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</si>
  <si>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</si>
  <si>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</si>
  <si>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</si>
  <si>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</si>
  <si>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</si>
  <si>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</si>
  <si>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</si>
  <si>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</si>
  <si>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</si>
  <si>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</si>
  <si>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</si>
  <si>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</si>
  <si>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</si>
  <si>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</si>
  <si>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</si>
  <si>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</si>
  <si>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</si>
  <si>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</si>
  <si>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</si>
  <si>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</si>
  <si>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</si>
  <si>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</si>
  <si>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</si>
  <si>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</si>
  <si>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</si>
  <si>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</si>
  <si>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</si>
  <si>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</si>
  <si>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</si>
  <si>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</si>
  <si>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</si>
  <si>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</si>
  <si>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</si>
  <si>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</si>
  <si>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</si>
  <si>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</si>
  <si>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</si>
  <si>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</si>
  <si>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</si>
  <si>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</si>
  <si>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</si>
  <si>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</si>
  <si>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</si>
  <si>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</si>
  <si>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</si>
  <si>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</si>
  <si>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</si>
  <si>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</si>
  <si>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</si>
  <si>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</si>
  <si>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</si>
  <si>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</si>
  <si>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</si>
  <si>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</si>
  <si>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</si>
  <si>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</si>
  <si>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</si>
  <si>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</si>
  <si>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</si>
  <si>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</si>
  <si>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</si>
  <si>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</si>
  <si>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</si>
  <si>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</si>
  <si>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</si>
  <si>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</si>
  <si>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</si>
  <si>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</si>
  <si>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</si>
  <si>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</si>
  <si>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</si>
  <si>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</si>
  <si>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</si>
  <si>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</si>
  <si>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</si>
  <si>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</si>
  <si>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</si>
  <si>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</si>
  <si>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</si>
  <si>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</si>
  <si>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</si>
  <si>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</si>
  <si>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</si>
  <si>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</si>
  <si>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</si>
  <si>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</si>
  <si>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</si>
  <si>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</si>
  <si>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</si>
  <si>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</si>
  <si>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</si>
  <si>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</si>
  <si>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</si>
  <si>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</si>
  <si>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</si>
  <si>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</si>
  <si>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</si>
  <si>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</si>
  <si>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</si>
  <si>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</si>
  <si>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</si>
  <si>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</si>
  <si>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</si>
  <si>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</si>
  <si>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</si>
  <si>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</si>
  <si>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</si>
  <si>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</si>
  <si>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</si>
  <si>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</si>
  <si>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</si>
  <si>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</si>
  <si>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</si>
  <si>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</si>
  <si>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</si>
  <si>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</si>
  <si>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</si>
  <si>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</si>
  <si>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</si>
  <si>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</si>
  <si>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</si>
  <si>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</si>
  <si>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</si>
  <si>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</si>
  <si>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</si>
  <si>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</si>
  <si>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</si>
  <si>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</si>
  <si>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</si>
  <si>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</si>
  <si>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</si>
  <si>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</si>
  <si>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</si>
  <si>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</si>
  <si>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</si>
  <si>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</si>
  <si>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</si>
  <si>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</si>
  <si>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</si>
  <si>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</si>
  <si>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</si>
  <si>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</si>
  <si>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</si>
  <si>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</si>
  <si>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</si>
  <si>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</si>
  <si>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</si>
  <si>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</si>
  <si>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</si>
  <si>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</si>
  <si>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</si>
  <si>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</si>
  <si>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</si>
  <si>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</si>
  <si>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</si>
  <si>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</si>
  <si>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</si>
  <si>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</si>
  <si>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</si>
  <si>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</si>
  <si>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</si>
  <si>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</si>
  <si>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</si>
  <si>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</si>
  <si>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</si>
  <si>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</si>
  <si>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</si>
  <si>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</si>
  <si>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</si>
  <si>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</si>
  <si>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</si>
  <si>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</si>
  <si>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</si>
  <si>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</si>
  <si>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</si>
  <si>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</si>
  <si>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</si>
  <si>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</si>
  <si>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</si>
  <si>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</si>
  <si>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</si>
  <si>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</si>
  <si>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</si>
  <si>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</si>
  <si>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</si>
  <si>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</si>
  <si>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</si>
  <si>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</si>
  <si>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</si>
  <si>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</si>
  <si>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</si>
  <si>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</si>
  <si>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</si>
  <si>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</si>
  <si>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</si>
  <si>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</si>
  <si>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</si>
  <si>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</si>
  <si>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</si>
  <si>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</si>
  <si>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</si>
  <si>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</si>
  <si>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</si>
  <si>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</si>
  <si>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</si>
  <si>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</si>
  <si>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</si>
  <si>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</si>
  <si>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</si>
  <si>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</si>
  <si>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</si>
  <si>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</si>
  <si>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</si>
  <si>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</si>
  <si>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</si>
  <si>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</si>
  <si>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</si>
  <si>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</si>
  <si>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</si>
  <si>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</si>
  <si>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</si>
  <si>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</si>
  <si>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</si>
  <si>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</si>
  <si>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</si>
  <si>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</si>
  <si>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</si>
  <si>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</si>
  <si>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</si>
  <si>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</si>
  <si>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</si>
  <si>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</si>
  <si>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</si>
  <si>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</si>
  <si>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</si>
  <si>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</si>
  <si>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</si>
  <si>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</si>
  <si>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</si>
  <si>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</si>
  <si>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</si>
  <si>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</si>
  <si>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</si>
  <si>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</si>
  <si>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</si>
  <si>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</si>
  <si>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</si>
  <si>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</si>
  <si>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</si>
  <si>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</si>
  <si>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</si>
  <si>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</si>
  <si>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</si>
  <si>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</si>
  <si>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</si>
  <si>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</si>
  <si>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</si>
  <si>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</si>
  <si>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</si>
  <si>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</si>
  <si>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</si>
  <si>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</si>
  <si>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</si>
  <si>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</si>
  <si>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</si>
  <si>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</si>
  <si>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</si>
  <si>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</si>
  <si>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</si>
  <si>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</si>
  <si>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</si>
  <si>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</si>
  <si>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</si>
  <si>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</si>
  <si>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</si>
  <si>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</si>
  <si>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</si>
  <si>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</si>
  <si>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</si>
  <si>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</si>
  <si>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</si>
  <si>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</si>
  <si>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</si>
  <si>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</si>
  <si>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</si>
  <si>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</si>
  <si>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</si>
  <si>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</si>
  <si>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</si>
  <si>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</si>
  <si>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</si>
  <si>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</si>
  <si>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</si>
  <si>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</si>
  <si>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</si>
  <si>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</si>
  <si>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</si>
  <si>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</si>
  <si>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</si>
  <si>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</si>
  <si>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</si>
  <si>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</si>
  <si>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</si>
  <si>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</si>
  <si>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</si>
  <si>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</si>
  <si>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</si>
  <si>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</si>
  <si>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</si>
  <si>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</si>
  <si>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</si>
  <si>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</si>
  <si>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</si>
  <si>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</si>
  <si>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</si>
  <si>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</si>
  <si>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</si>
  <si>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</si>
  <si>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</si>
  <si>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</si>
  <si>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</si>
  <si>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</si>
  <si>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</si>
  <si>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</si>
  <si>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</si>
  <si>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</si>
  <si>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</si>
  <si>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</si>
  <si>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</si>
  <si>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</si>
  <si>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</si>
  <si>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</si>
  <si>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</si>
  <si>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</si>
  <si>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</si>
  <si>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</si>
  <si>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</si>
  <si>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</si>
  <si>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</si>
  <si>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</si>
  <si>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</si>
  <si>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</si>
  <si>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</si>
  <si>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</si>
  <si>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</si>
  <si>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</si>
  <si>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</si>
  <si>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</si>
  <si>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</si>
  <si>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</si>
  <si>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</si>
  <si>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</si>
  <si>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</si>
  <si>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</si>
  <si>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</si>
  <si>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</si>
  <si>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</si>
  <si>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</si>
  <si>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</si>
  <si>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</si>
  <si>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</si>
  <si>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</si>
  <si>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</si>
  <si>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</si>
  <si>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</si>
  <si>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</si>
  <si>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</si>
  <si>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</si>
  <si>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</si>
  <si>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</si>
  <si>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</si>
  <si>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</si>
  <si>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</si>
  <si>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</si>
  <si>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</si>
  <si>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</si>
  <si>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</si>
  <si>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</si>
  <si>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</si>
  <si>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</si>
  <si>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</si>
  <si>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</si>
  <si>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</si>
  <si>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</si>
  <si>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</si>
  <si>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</si>
  <si>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</si>
  <si>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</si>
  <si>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</si>
  <si>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</si>
  <si>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</si>
  <si>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</si>
  <si>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</si>
  <si>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</si>
  <si>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</si>
  <si>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</si>
  <si>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</si>
  <si>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</si>
  <si>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</si>
  <si>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</si>
  <si>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</si>
  <si>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</si>
  <si>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</si>
  <si>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</si>
  <si>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</si>
  <si>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</si>
  <si>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</si>
  <si>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</si>
  <si>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</si>
  <si>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</si>
  <si>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</si>
  <si>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</si>
  <si>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</si>
  <si>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</si>
  <si>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</si>
  <si>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</si>
  <si>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</si>
  <si>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</si>
  <si>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</si>
  <si>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</si>
  <si>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</si>
  <si>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</si>
  <si>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</si>
  <si>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</si>
  <si>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</si>
  <si>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</si>
  <si>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</si>
  <si>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</si>
  <si>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</si>
  <si>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</si>
  <si>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</si>
  <si>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</si>
  <si>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</si>
  <si>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</si>
  <si>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</si>
  <si>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</si>
  <si>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</si>
  <si>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</si>
  <si>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</si>
  <si>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</si>
  <si>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</si>
  <si>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</si>
  <si>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</si>
  <si>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</si>
  <si>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</si>
  <si>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</si>
  <si>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</si>
  <si>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</si>
  <si>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</si>
  <si>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</si>
  <si>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</si>
  <si>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</si>
  <si>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</si>
  <si>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</si>
  <si>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</si>
  <si>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</si>
  <si>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</si>
  <si>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</si>
  <si>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</si>
  <si>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</si>
  <si>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</si>
  <si>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</si>
  <si>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</si>
  <si>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</si>
  <si>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</si>
  <si>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</si>
  <si>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</si>
  <si>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</si>
  <si>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</si>
  <si>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</si>
  <si>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</si>
  <si>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</si>
  <si>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</si>
  <si>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</si>
  <si>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</si>
  <si>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</si>
  <si>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</si>
  <si>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</si>
  <si>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</si>
  <si>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</si>
  <si>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</si>
  <si>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</si>
  <si>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</si>
  <si>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</si>
  <si>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</si>
  <si>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</si>
  <si>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</si>
  <si>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</si>
  <si>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</si>
  <si>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</si>
  <si>
    <t>地上单价</t>
    <phoneticPr fontId="9" type="noConversion"/>
  </si>
  <si>
    <t>地下仓储</t>
    <phoneticPr fontId="9" type="noConversion"/>
  </si>
  <si>
    <t>地下车库</t>
    <phoneticPr fontId="9" type="noConversion"/>
  </si>
  <si>
    <t>地下商服</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</si>
</sst>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66" fillId="5" borderId="0" xfId="0" applyFont="1" applyFill="1" applyProtection="1">
      <alignment vertical="center"/>
      <protection locked="0"/>
    </xf>
    <xf numFmtId="1" fontId="148" fillId="5" borderId="0" xfId="0" applyNumberFormat="1" applyFont="1" applyFill="1" applyAlignment="1" applyProtection="1">
      <alignment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70" fillId="5" borderId="5"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83"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根据《国有土地使用证》[]，估价对象（分摊）出让国有建设用地使用权面积为19077.81平方米。根据《建设工程规划许可证》[]、《出让合同》[]，估价对象规划建筑面积为82153.72平方米。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19077.810000000001</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122277</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19" t="str">
        <f>IF(B10="北京市","北京市",C10)&amp;F10&amp;B16&amp;"国有建设用地使用权"&amp;B9&amp;"预评估"</f>
        <v>北京市北京市昌平区东小口马连店1803-610地块R2二类居住用地出让国有建设用地使用权抵押价格预评估</v>
      </c>
      <c r="C1" s="3720"/>
      <c r="D1" s="3720"/>
      <c r="E1" s="3720"/>
      <c r="F1" s="3720"/>
      <c r="G1" s="3720"/>
      <c r="H1" s="3720"/>
      <c r="I1" s="3721"/>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25"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26"/>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22"/>
      <c r="C12" s="3723"/>
      <c r="D12" s="3724"/>
      <c r="E12" s="1615" t="s">
        <v>2026</v>
      </c>
      <c r="F12" s="3740" t="s">
        <v>2843</v>
      </c>
      <c r="G12" s="3741"/>
      <c r="H12" s="3741"/>
      <c r="I12" s="3742"/>
      <c r="J12" s="3065"/>
      <c r="K12" s="3048"/>
      <c r="L12" s="3044"/>
      <c r="M12" s="3044"/>
      <c r="N12" s="3045"/>
      <c r="O12" s="3046"/>
      <c r="P12" s="3045"/>
      <c r="Q12" s="3045"/>
      <c r="R12" s="3045"/>
      <c r="S12" s="3045"/>
      <c r="T12" s="3045"/>
      <c r="U12" s="3045"/>
    </row>
    <row r="13" spans="1:21">
      <c r="A13" s="1606" t="s">
        <v>2024</v>
      </c>
      <c r="B13" s="3722"/>
      <c r="C13" s="3723"/>
      <c r="D13" s="3724"/>
      <c r="E13" s="1615" t="s">
        <v>2026</v>
      </c>
      <c r="F13" s="3740" t="s">
        <v>2844</v>
      </c>
      <c r="G13" s="3741"/>
      <c r="H13" s="3741"/>
      <c r="I13" s="3742"/>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37"/>
      <c r="E20" s="3738"/>
      <c r="F20" s="3738"/>
      <c r="G20" s="3738"/>
      <c r="H20" s="3738"/>
      <c r="I20" s="3739"/>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27" t="s">
        <v>1963</v>
      </c>
      <c r="F21" s="3728"/>
      <c r="G21" s="3728"/>
      <c r="H21" s="3728"/>
      <c r="I21" s="3729"/>
      <c r="J21" s="3065"/>
      <c r="K21" s="3048"/>
      <c r="L21" s="3044"/>
      <c r="M21" s="3044"/>
      <c r="N21" s="3045"/>
      <c r="O21" s="3046"/>
      <c r="P21" s="3045"/>
      <c r="Q21" s="3045"/>
      <c r="R21" s="3045"/>
      <c r="S21" s="3045"/>
      <c r="T21" s="3045"/>
      <c r="U21" s="3045"/>
    </row>
    <row r="22" spans="1:21">
      <c r="A22" s="2793" t="s">
        <v>920</v>
      </c>
      <c r="B22" s="1583" t="s">
        <v>1926</v>
      </c>
      <c r="C22" s="1605">
        <f>'数据-汇总表'!D3</f>
        <v>19077.810000000001</v>
      </c>
      <c r="D22" s="1606" t="s">
        <v>1925</v>
      </c>
      <c r="E22" s="3727" t="s">
        <v>2845</v>
      </c>
      <c r="F22" s="3728"/>
      <c r="G22" s="3728"/>
      <c r="H22" s="3728"/>
      <c r="I22" s="3729"/>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30" t="s">
        <v>1931</v>
      </c>
      <c r="C24" s="3731"/>
      <c r="D24" s="3732" t="s">
        <v>1932</v>
      </c>
      <c r="E24" s="3733"/>
      <c r="F24" s="1624" t="s">
        <v>1933</v>
      </c>
      <c r="G24" s="3065"/>
      <c r="H24" s="3065"/>
      <c r="I24" s="3069"/>
      <c r="J24" s="3065"/>
      <c r="K24" s="3718"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18"/>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18"/>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45" t="s">
        <v>1966</v>
      </c>
      <c r="B31" s="1676" t="s">
        <v>1967</v>
      </c>
      <c r="C31" s="3743" t="s">
        <v>3162</v>
      </c>
      <c r="D31" s="3744"/>
      <c r="E31" s="3065"/>
      <c r="F31" s="3065"/>
      <c r="G31" s="3065"/>
      <c r="H31" s="3065"/>
      <c r="I31" s="3069"/>
      <c r="J31" s="3065"/>
      <c r="K31" s="3051"/>
      <c r="L31" s="3045"/>
      <c r="M31" s="3045"/>
      <c r="N31" s="3045"/>
      <c r="O31" s="3045"/>
      <c r="P31" s="3045"/>
      <c r="Q31" s="3045"/>
      <c r="R31" s="3045"/>
      <c r="S31" s="3045"/>
      <c r="T31" s="3045"/>
      <c r="U31" s="3045"/>
    </row>
    <row r="32" spans="1:21">
      <c r="A32" s="3745"/>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45"/>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46"/>
      <c r="B34" s="1583" t="s">
        <v>1970</v>
      </c>
      <c r="C34" s="3747"/>
      <c r="D34" s="3748"/>
      <c r="E34" s="3065"/>
      <c r="F34" s="3065"/>
      <c r="G34" s="3065"/>
      <c r="H34" s="3065"/>
      <c r="I34" s="3069"/>
      <c r="J34" s="3065"/>
      <c r="K34" s="3051"/>
      <c r="L34" s="3045"/>
      <c r="M34" s="3045"/>
      <c r="N34" s="3045"/>
      <c r="O34" s="3045"/>
      <c r="P34" s="3045"/>
      <c r="Q34" s="3045"/>
      <c r="R34" s="3045"/>
      <c r="S34" s="3045"/>
      <c r="T34" s="3045"/>
      <c r="U34" s="3045"/>
    </row>
    <row r="35" spans="1:28">
      <c r="A35" s="3749" t="s">
        <v>816</v>
      </c>
      <c r="B35" s="1638" t="s">
        <v>3164</v>
      </c>
      <c r="C35" s="1685" t="str">
        <f>IF(B35="场地平整","——","具体情况：")</f>
        <v>——</v>
      </c>
      <c r="D35" s="3751"/>
      <c r="E35" s="3752"/>
      <c r="F35" s="3752"/>
      <c r="G35" s="3752"/>
      <c r="H35" s="3752"/>
      <c r="I35" s="3753"/>
      <c r="J35" s="3065"/>
      <c r="K35" s="3052"/>
      <c r="L35" s="3044"/>
      <c r="M35" s="3044"/>
      <c r="N35" s="3045"/>
      <c r="O35" s="3046"/>
      <c r="P35" s="3045"/>
      <c r="Q35" s="3045"/>
      <c r="R35" s="3045"/>
      <c r="S35" s="3045"/>
      <c r="T35" s="3045"/>
      <c r="U35" s="3045"/>
    </row>
    <row r="36" spans="1:28">
      <c r="A36" s="3745"/>
      <c r="B36" s="3754" t="s">
        <v>2019</v>
      </c>
      <c r="C36" s="3755"/>
      <c r="D36" s="1701" t="s">
        <v>3165</v>
      </c>
      <c r="E36" s="3756"/>
      <c r="F36" s="3756"/>
      <c r="G36" s="1606" t="str">
        <f>IF(B35="场地未平整","估价结果处理","")</f>
        <v/>
      </c>
      <c r="H36" s="3757"/>
      <c r="I36" s="3757"/>
      <c r="J36" s="3065"/>
      <c r="K36" s="3052"/>
      <c r="L36" s="3044"/>
      <c r="M36" s="3044"/>
      <c r="N36" s="3045"/>
      <c r="O36" s="3046"/>
      <c r="P36" s="3045"/>
      <c r="Q36" s="3045"/>
      <c r="R36" s="3045"/>
      <c r="S36" s="3045"/>
      <c r="T36" s="3045"/>
      <c r="U36" s="3045"/>
    </row>
    <row r="37" spans="1:28" ht="28.5">
      <c r="A37" s="3745"/>
      <c r="B37" s="3734"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45"/>
      <c r="B38" s="3735"/>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46"/>
      <c r="B39" s="3736"/>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17" t="s">
        <v>1950</v>
      </c>
      <c r="T40" s="1647" t="str">
        <f>NUMBERSTRING(7-K40,1)&amp;"通"</f>
        <v>七通</v>
      </c>
      <c r="U40" s="3045"/>
    </row>
    <row r="41" spans="1:28">
      <c r="A41" s="1585"/>
      <c r="B41" s="3750" t="s">
        <v>1688</v>
      </c>
      <c r="C41" s="3750"/>
      <c r="D41" s="3750"/>
      <c r="E41" s="3750"/>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17"/>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A3"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8" t="s">
        <v>3285</v>
      </c>
      <c r="B1" s="3758" t="s">
        <v>3306</v>
      </c>
      <c r="C1" s="3759"/>
      <c r="D1" s="3759"/>
      <c r="E1" s="3759"/>
      <c r="F1" s="3759"/>
      <c r="G1" s="3759"/>
      <c r="H1" s="3759"/>
      <c r="I1" s="3759"/>
      <c r="J1" s="3759"/>
    </row>
    <row r="2" spans="1:16">
      <c r="A2" s="3758"/>
      <c r="B2" s="3332" t="s">
        <v>23</v>
      </c>
      <c r="C2" s="3760" t="s">
        <v>24</v>
      </c>
      <c r="D2" s="3760"/>
      <c r="E2" s="3760"/>
      <c r="F2" s="3760"/>
      <c r="G2" s="3760"/>
      <c r="H2" s="3759" t="s">
        <v>25</v>
      </c>
      <c r="I2" s="3759"/>
      <c r="J2" s="3759"/>
    </row>
    <row r="3" spans="1:16">
      <c r="A3" s="3758"/>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Y3" sqref="AY3"/>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19077.810000000001</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19077.810000000001</v>
      </c>
      <c r="AZ6" s="26" t="s">
        <v>3</v>
      </c>
      <c r="BA6" s="26">
        <f>ROUND($AY$6*BA5/$AZ$5,2)</f>
        <v>19077.810000000001</v>
      </c>
      <c r="BB6" s="26">
        <f>ROUND($AY$6*BB5/$AZ$5,2)</f>
        <v>12023.87</v>
      </c>
      <c r="BC6" s="26">
        <f t="shared" ref="BC6:BH6" si="4">ROUND($AY$6*BC5/$AZ$5,2)</f>
        <v>0</v>
      </c>
      <c r="BD6" s="26">
        <f t="shared" si="4"/>
        <v>5236.12</v>
      </c>
      <c r="BE6" s="26">
        <f t="shared" si="4"/>
        <v>1474.68</v>
      </c>
      <c r="BF6" s="26">
        <f t="shared" si="4"/>
        <v>343.13</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5088.24</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1864.22</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3932.7</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2030.67</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6161.98</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61" t="s">
        <v>0</v>
      </c>
      <c r="B1" s="3761" t="s">
        <v>4</v>
      </c>
      <c r="C1" s="3761" t="s">
        <v>5</v>
      </c>
      <c r="D1" s="3762" t="s">
        <v>39</v>
      </c>
      <c r="E1" s="3762" t="s">
        <v>40</v>
      </c>
      <c r="F1" s="3762"/>
      <c r="G1" s="3762"/>
      <c r="H1" s="3762"/>
      <c r="I1" s="3762"/>
      <c r="J1" s="3762"/>
      <c r="K1" s="3762"/>
      <c r="L1" s="3762"/>
      <c r="M1" s="3762"/>
    </row>
    <row r="2" spans="1:13" ht="27" customHeight="1">
      <c r="A2" s="3761"/>
      <c r="B2" s="3761"/>
      <c r="C2" s="3761"/>
      <c r="D2" s="3762"/>
      <c r="E2" s="3762" t="s">
        <v>23</v>
      </c>
      <c r="F2" s="3762" t="s">
        <v>24</v>
      </c>
      <c r="G2" s="3762"/>
      <c r="H2" s="3762"/>
      <c r="I2" s="3762"/>
      <c r="J2" s="3762" t="s">
        <v>25</v>
      </c>
      <c r="K2" s="3762"/>
      <c r="L2" s="3762"/>
      <c r="M2" s="3762"/>
    </row>
    <row r="3" spans="1:13" ht="28.5">
      <c r="A3" s="3761"/>
      <c r="B3" s="3761"/>
      <c r="C3" s="3761"/>
      <c r="D3" s="3762"/>
      <c r="E3" s="376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2" t="s">
        <v>41</v>
      </c>
      <c r="B9" s="3762"/>
      <c r="C9" s="37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Normal="70" zoomScaleSheetLayoutView="100" workbookViewId="0">
      <selection activeCell="G23" sqref="G23"/>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2" t="s">
        <v>181</v>
      </c>
      <c r="B2" s="3772"/>
      <c r="C2" s="3772"/>
      <c r="D2" s="1884" t="s">
        <v>182</v>
      </c>
      <c r="E2" s="105" t="s">
        <v>183</v>
      </c>
      <c r="F2" s="3074"/>
      <c r="G2" s="1178"/>
      <c r="H2" s="1179"/>
      <c r="I2" s="1180" t="s">
        <v>826</v>
      </c>
      <c r="J2" s="3074"/>
      <c r="K2" s="3074"/>
      <c r="L2" s="3074"/>
      <c r="M2" s="3074"/>
      <c r="N2" s="3074"/>
      <c r="O2" s="3074"/>
      <c r="P2" s="3074"/>
    </row>
    <row r="3" spans="1:16" ht="15.75" thickBot="1">
      <c r="A3" s="3773" t="s">
        <v>184</v>
      </c>
      <c r="B3" s="3773"/>
      <c r="C3" s="3773"/>
      <c r="D3" s="106">
        <f>'数据-基础表'!AY6</f>
        <v>19077.810000000001</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4"/>
      <c r="B4" s="3775"/>
      <c r="C4" s="3776"/>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7" t="s">
        <v>208</v>
      </c>
      <c r="C5" s="3777"/>
      <c r="D5" s="110">
        <f>ROUND($D$3*E5/$E$3,2)</f>
        <v>12023.87</v>
      </c>
      <c r="E5" s="111">
        <f>SUMIF('数据-基础表'!$11:$11,"住宅",'数据-基础表'!$5:$5)</f>
        <v>51777.739999999976</v>
      </c>
      <c r="F5" s="3074"/>
      <c r="G5" s="276" t="s">
        <v>830</v>
      </c>
      <c r="H5" s="271" t="s">
        <v>828</v>
      </c>
      <c r="I5" s="1885">
        <f>ROUND(E31/D31,2)</f>
        <v>4.3099999999999996</v>
      </c>
      <c r="J5" s="3074"/>
      <c r="K5" s="3074"/>
      <c r="L5" s="3074"/>
      <c r="M5" s="3074"/>
      <c r="N5" s="3074"/>
      <c r="O5" s="3074"/>
      <c r="P5" s="3074"/>
    </row>
    <row r="6" spans="1:16" ht="15" thickBot="1">
      <c r="A6" s="112"/>
      <c r="B6" s="3777" t="s">
        <v>186</v>
      </c>
      <c r="C6" s="3777"/>
      <c r="D6" s="110">
        <f>ROUND($D$3*E6/$E$3,2)</f>
        <v>7053.94</v>
      </c>
      <c r="E6" s="111">
        <f>E3-E5</f>
        <v>30375.979999999996</v>
      </c>
      <c r="F6" s="3074"/>
      <c r="G6" s="1181"/>
      <c r="H6" s="271" t="s">
        <v>829</v>
      </c>
      <c r="I6" s="1885">
        <f>ROUND(F31/D31,2)</f>
        <v>2.71</v>
      </c>
      <c r="J6" s="3074"/>
      <c r="K6" s="3074"/>
      <c r="L6" s="3074"/>
      <c r="M6" s="3074"/>
      <c r="N6" s="3074"/>
      <c r="O6" s="3074"/>
      <c r="P6" s="3074"/>
    </row>
    <row r="7" spans="1:16" ht="15">
      <c r="A7" s="3769"/>
      <c r="B7" s="3770"/>
      <c r="C7" s="3771"/>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12023.87</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343.13</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12.81</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1474.68</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5236.12</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19090.61</v>
      </c>
      <c r="E16" s="119">
        <f>SUM(E8:E15)</f>
        <v>82208.89999999998</v>
      </c>
      <c r="F16" s="3074"/>
      <c r="G16" s="3075"/>
      <c r="H16" s="953" t="s">
        <v>197</v>
      </c>
      <c r="I16" s="954"/>
      <c r="J16" s="1893"/>
      <c r="K16" s="3763" t="s">
        <v>2523</v>
      </c>
      <c r="L16" s="3764"/>
      <c r="M16" s="3764"/>
      <c r="N16" s="3764"/>
      <c r="O16" s="3764"/>
      <c r="P16" s="3765"/>
    </row>
    <row r="17" spans="1:19" ht="15">
      <c r="A17" s="120" t="s">
        <v>194</v>
      </c>
      <c r="B17" s="121" t="s">
        <v>195</v>
      </c>
      <c r="C17" s="2173" t="s">
        <v>2277</v>
      </c>
      <c r="D17" s="107" t="s">
        <v>182</v>
      </c>
      <c r="E17" s="123" t="s">
        <v>183</v>
      </c>
      <c r="F17" s="124"/>
      <c r="G17" s="1315"/>
      <c r="H17" s="955" t="s">
        <v>196</v>
      </c>
      <c r="I17" s="956" t="s">
        <v>2276</v>
      </c>
      <c r="J17" s="1893"/>
      <c r="K17" s="3766" t="s">
        <v>2524</v>
      </c>
      <c r="L17" s="3767"/>
      <c r="M17" s="3768"/>
      <c r="N17" s="3766" t="s">
        <v>2525</v>
      </c>
      <c r="O17" s="3767"/>
      <c r="P17" s="3768"/>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12023.87</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12023.87</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5236.12</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5236.12</v>
      </c>
      <c r="S21" s="2176">
        <f t="shared" si="5"/>
        <v>22548.01</v>
      </c>
    </row>
    <row r="22" spans="1:19">
      <c r="A22" s="136"/>
      <c r="B22" s="114" t="s">
        <v>204</v>
      </c>
      <c r="C22" s="2729" t="s">
        <v>3300</v>
      </c>
      <c r="D22" s="110">
        <f t="shared" si="1"/>
        <v>1474.68</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1474.68</v>
      </c>
      <c r="S22" s="2176">
        <f t="shared" si="5"/>
        <v>6350.35</v>
      </c>
    </row>
    <row r="23" spans="1:19">
      <c r="A23" s="136"/>
      <c r="B23" s="114" t="s">
        <v>204</v>
      </c>
      <c r="C23" s="3683" t="s">
        <v>3448</v>
      </c>
      <c r="D23" s="110">
        <f>ROUND($D$3*E23/$E$3,2)</f>
        <v>343.13</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343.13</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19077.800000000003</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t="str">
        <f>IF(SUM(R19:R26)=$D$3,SUM(R19:R26),SUM(R19:R26)&amp;"误差"&amp;ROUND(SUM(R19:R26)-$D$3,2))</f>
        <v>19077.8误差-0.01</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19077.800000000003</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12023.87</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5236.12</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1474.68</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343.13</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19077.800000000003</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8" t="s">
        <v>1631</v>
      </c>
      <c r="B1" s="3779"/>
      <c r="C1" s="3779"/>
      <c r="D1" s="3779"/>
      <c r="E1" s="3779"/>
      <c r="F1" s="3779"/>
      <c r="G1" s="3779"/>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19077.810000000001</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122277</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122277</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115811</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19077.810000000001</v>
      </c>
      <c r="D14" s="3182">
        <f ca="1">结果表!C42</f>
        <v>233278</v>
      </c>
      <c r="E14" s="3182">
        <f ca="1">ROUND(D14*10000/B14,0)</f>
        <v>28395</v>
      </c>
      <c r="F14" s="3182">
        <f ca="1">ROUND(D14*10000/C14,0)</f>
        <v>122277</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22" zoomScaleNormal="100" zoomScaleSheetLayoutView="100" zoomScalePageLayoutView="80" workbookViewId="0">
      <selection activeCell="H109" sqref="H109"/>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4" t="str">
        <f>项目基本情况!K2</f>
        <v>北京市北京市昌平区东小口马连店1803-610地块R2二类居住用地出让国有建设用地使用权</v>
      </c>
      <c r="B2" s="3825"/>
      <c r="C2" s="3826"/>
      <c r="D2" s="3826"/>
      <c r="E2" s="3826"/>
      <c r="F2" s="3826"/>
      <c r="G2" s="3825"/>
      <c r="H2" s="3825"/>
      <c r="I2" s="3827"/>
      <c r="J2" s="1908"/>
      <c r="K2" s="1907"/>
      <c r="L2" s="1907"/>
      <c r="M2" s="1907"/>
      <c r="N2" s="1907"/>
      <c r="O2" s="1907"/>
      <c r="P2" s="1907"/>
      <c r="Q2" s="1907"/>
      <c r="R2" s="1907"/>
      <c r="S2" s="1907"/>
      <c r="T2" s="1907"/>
      <c r="U2" s="1907"/>
      <c r="V2" s="1907"/>
    </row>
    <row r="3" spans="1:22" ht="14.25">
      <c r="A3" s="3835" t="s">
        <v>276</v>
      </c>
      <c r="B3" s="3836"/>
      <c r="C3" s="3836"/>
      <c r="D3" s="3836"/>
      <c r="E3" s="3836"/>
      <c r="F3" s="3836"/>
      <c r="G3" s="3836"/>
      <c r="H3" s="3836"/>
      <c r="I3" s="3836"/>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99" t="s">
        <v>279</v>
      </c>
      <c r="F4" s="3841"/>
      <c r="G4" s="3841"/>
      <c r="H4" s="3841"/>
      <c r="I4" s="3800"/>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828" t="s">
        <v>280</v>
      </c>
      <c r="B5" s="3829">
        <v>25</v>
      </c>
      <c r="C5" s="3837"/>
      <c r="D5" s="3840"/>
      <c r="E5" s="257" t="s">
        <v>281</v>
      </c>
      <c r="F5" s="258"/>
      <c r="G5" s="258"/>
      <c r="H5" s="258"/>
      <c r="I5" s="259"/>
      <c r="J5" s="1908"/>
      <c r="K5" s="1907"/>
      <c r="L5" s="1907"/>
      <c r="M5" s="1907"/>
      <c r="N5" s="1907"/>
      <c r="O5" s="1907"/>
      <c r="P5" s="1907"/>
      <c r="Q5" s="1907"/>
      <c r="R5" s="1907"/>
      <c r="S5" s="1907"/>
      <c r="T5" s="1907"/>
      <c r="U5" s="1907"/>
      <c r="V5" s="1907"/>
    </row>
    <row r="6" spans="1:22" ht="14.25">
      <c r="A6" s="3828"/>
      <c r="B6" s="3829"/>
      <c r="C6" s="3838"/>
      <c r="D6" s="3840"/>
      <c r="E6" s="257" t="s">
        <v>282</v>
      </c>
      <c r="F6" s="258"/>
      <c r="G6" s="258"/>
      <c r="H6" s="258"/>
      <c r="I6" s="259"/>
      <c r="J6" s="1908"/>
      <c r="K6" s="1907"/>
      <c r="L6" s="1907"/>
      <c r="M6" s="1907"/>
      <c r="N6" s="1907"/>
      <c r="O6" s="1907"/>
      <c r="P6" s="1907"/>
      <c r="Q6" s="1907"/>
      <c r="R6" s="1907"/>
      <c r="S6" s="1907"/>
      <c r="T6" s="1907"/>
      <c r="U6" s="1907"/>
      <c r="V6" s="1907"/>
    </row>
    <row r="7" spans="1:22" ht="14.25">
      <c r="A7" s="3828"/>
      <c r="B7" s="3829"/>
      <c r="C7" s="3839"/>
      <c r="D7" s="3840"/>
      <c r="E7" s="257" t="s">
        <v>283</v>
      </c>
      <c r="F7" s="258"/>
      <c r="G7" s="258"/>
      <c r="H7" s="258"/>
      <c r="I7" s="259"/>
      <c r="J7" s="1908"/>
      <c r="K7" s="1907"/>
      <c r="L7" s="1907"/>
      <c r="M7" s="1907"/>
      <c r="N7" s="1907"/>
      <c r="O7" s="1907"/>
      <c r="P7" s="1907"/>
      <c r="Q7" s="1907"/>
      <c r="R7" s="1907"/>
      <c r="S7" s="1907"/>
      <c r="T7" s="1907"/>
      <c r="U7" s="1907"/>
      <c r="V7" s="1907"/>
    </row>
    <row r="8" spans="1:22" ht="14.25">
      <c r="A8" s="3828" t="s">
        <v>284</v>
      </c>
      <c r="B8" s="3829">
        <v>15</v>
      </c>
      <c r="C8" s="3837"/>
      <c r="D8" s="3840"/>
      <c r="E8" s="257" t="s">
        <v>285</v>
      </c>
      <c r="F8" s="258"/>
      <c r="G8" s="258"/>
      <c r="H8" s="258"/>
      <c r="I8" s="259"/>
      <c r="J8" s="1908"/>
      <c r="K8" s="1907"/>
      <c r="L8" s="1907"/>
      <c r="M8" s="1907"/>
      <c r="N8" s="1907"/>
      <c r="O8" s="1907"/>
      <c r="P8" s="1907"/>
      <c r="Q8" s="1907"/>
      <c r="R8" s="1907"/>
      <c r="S8" s="1907"/>
      <c r="T8" s="1907"/>
      <c r="U8" s="1907"/>
      <c r="V8" s="1907"/>
    </row>
    <row r="9" spans="1:22" ht="14.25">
      <c r="A9" s="3828"/>
      <c r="B9" s="3829"/>
      <c r="C9" s="3839"/>
      <c r="D9" s="3840"/>
      <c r="E9" s="257" t="s">
        <v>286</v>
      </c>
      <c r="F9" s="258"/>
      <c r="G9" s="258"/>
      <c r="H9" s="258"/>
      <c r="I9" s="259"/>
      <c r="J9" s="1908"/>
      <c r="K9" s="1907"/>
      <c r="L9" s="1907"/>
      <c r="M9" s="1907"/>
      <c r="N9" s="1907"/>
      <c r="O9" s="1907"/>
      <c r="P9" s="1907"/>
      <c r="Q9" s="1907"/>
      <c r="R9" s="1907"/>
      <c r="S9" s="1907"/>
      <c r="T9" s="1907"/>
      <c r="U9" s="1907"/>
      <c r="V9" s="1907"/>
    </row>
    <row r="10" spans="1:22" ht="14.25">
      <c r="A10" s="3828" t="s">
        <v>287</v>
      </c>
      <c r="B10" s="3829">
        <v>15</v>
      </c>
      <c r="C10" s="3837"/>
      <c r="D10" s="3840"/>
      <c r="E10" s="257" t="s">
        <v>288</v>
      </c>
      <c r="F10" s="258"/>
      <c r="G10" s="258"/>
      <c r="H10" s="258"/>
      <c r="I10" s="259"/>
      <c r="J10" s="1908"/>
      <c r="K10" s="1907"/>
      <c r="L10" s="1907"/>
      <c r="M10" s="1907"/>
      <c r="N10" s="1907"/>
      <c r="O10" s="1907"/>
      <c r="P10" s="1907"/>
      <c r="Q10" s="1907"/>
      <c r="R10" s="1907"/>
      <c r="S10" s="1907"/>
      <c r="T10" s="1907"/>
      <c r="U10" s="1907"/>
      <c r="V10" s="1907"/>
    </row>
    <row r="11" spans="1:22" ht="14.25">
      <c r="A11" s="3828"/>
      <c r="B11" s="3829"/>
      <c r="C11" s="3839"/>
      <c r="D11" s="3840"/>
      <c r="E11" s="257" t="s">
        <v>289</v>
      </c>
      <c r="F11" s="258"/>
      <c r="G11" s="258"/>
      <c r="H11" s="258"/>
      <c r="I11" s="259"/>
      <c r="J11" s="1908"/>
      <c r="K11" s="1907"/>
      <c r="L11" s="1907"/>
      <c r="M11" s="1907"/>
      <c r="N11" s="1907"/>
      <c r="O11" s="1907"/>
      <c r="P11" s="1907"/>
      <c r="Q11" s="1907"/>
      <c r="R11" s="1907"/>
      <c r="S11" s="1907"/>
      <c r="T11" s="1907"/>
      <c r="U11" s="1907"/>
      <c r="V11" s="1907"/>
    </row>
    <row r="12" spans="1:22" ht="14.25">
      <c r="A12" s="3828" t="s">
        <v>290</v>
      </c>
      <c r="B12" s="3829">
        <v>15</v>
      </c>
      <c r="C12" s="3837"/>
      <c r="D12" s="3840"/>
      <c r="E12" s="257" t="s">
        <v>291</v>
      </c>
      <c r="F12" s="258"/>
      <c r="G12" s="258"/>
      <c r="H12" s="258"/>
      <c r="I12" s="259"/>
      <c r="J12" s="1908"/>
      <c r="K12" s="1907"/>
      <c r="L12" s="1907"/>
      <c r="M12" s="1907"/>
      <c r="N12" s="1907"/>
      <c r="O12" s="1907"/>
      <c r="P12" s="1907"/>
      <c r="Q12" s="1907"/>
      <c r="R12" s="1907"/>
      <c r="S12" s="1907"/>
      <c r="T12" s="1907"/>
      <c r="U12" s="1907"/>
      <c r="V12" s="1907"/>
    </row>
    <row r="13" spans="1:22" ht="14.25">
      <c r="A13" s="3828"/>
      <c r="B13" s="3829"/>
      <c r="C13" s="3839"/>
      <c r="D13" s="3840"/>
      <c r="E13" s="257" t="s">
        <v>292</v>
      </c>
      <c r="F13" s="258"/>
      <c r="G13" s="258"/>
      <c r="H13" s="258"/>
      <c r="I13" s="259"/>
      <c r="J13" s="1908"/>
      <c r="K13" s="1907"/>
      <c r="L13" s="1907"/>
      <c r="M13" s="1907"/>
      <c r="N13" s="1907"/>
      <c r="O13" s="1907"/>
      <c r="P13" s="1907"/>
      <c r="Q13" s="1907"/>
      <c r="R13" s="1907"/>
      <c r="S13" s="1907"/>
      <c r="T13" s="1907"/>
      <c r="U13" s="1907"/>
      <c r="V13" s="1907"/>
    </row>
    <row r="14" spans="1:22" ht="14.25">
      <c r="A14" s="3828" t="s">
        <v>293</v>
      </c>
      <c r="B14" s="3829">
        <v>30</v>
      </c>
      <c r="C14" s="3837">
        <v>5</v>
      </c>
      <c r="D14" s="3840">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828"/>
      <c r="B15" s="3829"/>
      <c r="C15" s="3838"/>
      <c r="D15" s="3840"/>
      <c r="E15" s="257" t="s">
        <v>295</v>
      </c>
      <c r="F15" s="258"/>
      <c r="G15" s="258"/>
      <c r="H15" s="258"/>
      <c r="I15" s="259"/>
      <c r="J15" s="1908"/>
      <c r="K15" s="1907"/>
      <c r="L15" s="1907"/>
      <c r="M15" s="1907"/>
      <c r="N15" s="1907"/>
      <c r="O15" s="1907"/>
      <c r="P15" s="1907"/>
      <c r="Q15" s="1907"/>
      <c r="R15" s="1907"/>
      <c r="S15" s="1907"/>
      <c r="T15" s="1907"/>
      <c r="U15" s="1907"/>
      <c r="V15" s="1907"/>
    </row>
    <row r="16" spans="1:22" ht="14.25">
      <c r="A16" s="3828"/>
      <c r="B16" s="3829"/>
      <c r="C16" s="3839"/>
      <c r="D16" s="3840"/>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42" t="s">
        <v>2938</v>
      </c>
      <c r="F18" s="3843"/>
      <c r="G18" s="3843"/>
      <c r="H18" s="3843"/>
      <c r="I18" s="3843"/>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v>233278</v>
      </c>
      <c r="Q20" s="1907"/>
      <c r="R20" s="1907"/>
      <c r="S20" s="1907"/>
      <c r="T20" s="1907"/>
      <c r="U20" s="1907"/>
      <c r="V20" s="1907"/>
    </row>
    <row r="21" spans="1:26" ht="15" customHeight="1">
      <c r="A21" s="270"/>
      <c r="B21" s="276" t="s">
        <v>305</v>
      </c>
      <c r="C21" s="277">
        <f ca="1">SUMIF(INDIRECT("'"&amp;C4&amp;"'"&amp;"!A:A"),结果表!B21,INDIRECT("'"&amp;C4&amp;"'"&amp;"!B:B"))</f>
        <v>129189</v>
      </c>
      <c r="D21" s="148">
        <f ca="1">SUMIF(INDIRECT("'"&amp;D4&amp;"'"&amp;"!A:A"),结果表!B21,INDIRECT("'"&amp;D4&amp;"'"&amp;"!B:B"))</f>
        <v>115364</v>
      </c>
      <c r="E21" s="270"/>
      <c r="F21" s="276" t="s">
        <v>305</v>
      </c>
      <c r="G21" s="278">
        <f ca="1">ROUND(C21*$C$18+D21*$D$18,0)</f>
        <v>122277</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8152</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801"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848"/>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单位面积地价：122277元/平方米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44" t="s">
        <v>2940</v>
      </c>
      <c r="B31" s="3844"/>
      <c r="C31" s="3844"/>
      <c r="D31" s="3844"/>
      <c r="E31" s="3844"/>
      <c r="F31" s="3844"/>
      <c r="G31" s="3844"/>
      <c r="H31" s="3844"/>
      <c r="I31" s="3844"/>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801"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122277</v>
      </c>
      <c r="D34" s="1332" t="s">
        <v>1658</v>
      </c>
      <c r="E34" s="3802"/>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8152</v>
      </c>
      <c r="D35" s="1335" t="s">
        <v>1660</v>
      </c>
      <c r="E35" s="3803"/>
      <c r="F35" s="297" t="s">
        <v>320</v>
      </c>
      <c r="G35" s="967"/>
      <c r="H35" s="966" t="s">
        <v>321</v>
      </c>
      <c r="I35" s="306"/>
      <c r="J35" s="1907"/>
      <c r="K35" s="3807" t="s">
        <v>327</v>
      </c>
      <c r="L35" s="3807" t="s">
        <v>328</v>
      </c>
      <c r="M35" s="1215" t="s">
        <v>329</v>
      </c>
      <c r="N35" s="3807" t="s">
        <v>330</v>
      </c>
      <c r="O35" s="3807" t="s">
        <v>331</v>
      </c>
      <c r="P35" s="1907"/>
      <c r="V35" s="1907"/>
    </row>
    <row r="36" spans="1:26" ht="16.5" customHeight="1">
      <c r="A36" s="299" t="s">
        <v>322</v>
      </c>
      <c r="B36" s="300" t="s">
        <v>311</v>
      </c>
      <c r="C36" s="301" t="s">
        <v>323</v>
      </c>
      <c r="D36" s="301" t="s">
        <v>324</v>
      </c>
      <c r="E36" s="3283" t="s">
        <v>3229</v>
      </c>
      <c r="F36" s="306"/>
      <c r="G36" s="306"/>
      <c r="H36" s="306"/>
      <c r="I36" s="306"/>
      <c r="J36" s="1909"/>
      <c r="K36" s="3808"/>
      <c r="L36" s="3808"/>
      <c r="M36" s="1217" t="s">
        <v>332</v>
      </c>
      <c r="N36" s="3808"/>
      <c r="O36" s="3808"/>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9"/>
      <c r="L37" s="3809"/>
      <c r="M37" s="1218"/>
      <c r="N37" s="3809"/>
      <c r="O37" s="3809"/>
      <c r="P37" s="1907"/>
      <c r="V37" s="1907"/>
    </row>
    <row r="38" spans="1:26" ht="16.5" customHeight="1" thickBot="1">
      <c r="A38" s="1211" t="s">
        <v>326</v>
      </c>
      <c r="B38" s="302"/>
      <c r="C38" s="290"/>
      <c r="D38" s="290"/>
      <c r="E38" s="291"/>
      <c r="F38" s="306"/>
      <c r="G38" s="306"/>
      <c r="H38" s="306"/>
      <c r="I38" s="306"/>
      <c r="J38" s="1909"/>
      <c r="K38" s="1219">
        <f>'数据-汇总表'!D3</f>
        <v>19077.810000000001</v>
      </c>
      <c r="L38" s="1220">
        <f>'数据-汇总表'!E3</f>
        <v>82153.719999999972</v>
      </c>
      <c r="M38" s="1220">
        <f ca="1">C34</f>
        <v>122277</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20" t="str">
        <f>MID(A44,3,LEN(A44)-2)</f>
        <v>抵押价格</v>
      </c>
      <c r="L39" s="3821"/>
      <c r="M39" s="3821"/>
      <c r="N39" s="3822"/>
      <c r="O39" s="1337">
        <f ca="1">C44</f>
        <v>233278</v>
      </c>
      <c r="P39" s="1907"/>
      <c r="V39" s="1907"/>
    </row>
    <row r="40" spans="1:26" ht="19.5" thickBot="1">
      <c r="A40" s="103" t="s">
        <v>841</v>
      </c>
      <c r="B40" s="306"/>
      <c r="C40" s="306"/>
      <c r="D40" s="306"/>
      <c r="E40" s="306"/>
      <c r="F40" s="306"/>
      <c r="G40" s="306"/>
      <c r="H40" s="306"/>
      <c r="I40" s="306"/>
      <c r="J40" s="1909"/>
      <c r="K40" s="3820" t="str">
        <f t="shared" ref="K40:K41" si="0">MID(A45,3,LEN(A45)-2)</f>
        <v/>
      </c>
      <c r="L40" s="3821"/>
      <c r="M40" s="3821"/>
      <c r="N40" s="3822"/>
      <c r="O40" s="1337" t="str">
        <f>C45</f>
        <v>——</v>
      </c>
      <c r="P40" s="1907"/>
      <c r="V40" s="1907"/>
    </row>
    <row r="41" spans="1:26" ht="16.5" thickBot="1">
      <c r="A41" s="307" t="s">
        <v>333</v>
      </c>
      <c r="B41" s="308"/>
      <c r="C41" s="309" t="s">
        <v>334</v>
      </c>
      <c r="D41" s="310" t="s">
        <v>335</v>
      </c>
      <c r="E41" s="310" t="s">
        <v>336</v>
      </c>
      <c r="F41" s="311" t="s">
        <v>337</v>
      </c>
      <c r="G41" s="306"/>
      <c r="H41" s="306"/>
      <c r="I41" s="306"/>
      <c r="J41" s="1909"/>
      <c r="K41" s="3820" t="str">
        <f t="shared" si="0"/>
        <v>抵押净值</v>
      </c>
      <c r="L41" s="3821"/>
      <c r="M41" s="3821"/>
      <c r="N41" s="3822"/>
      <c r="O41" s="1337">
        <f ca="1">C46</f>
        <v>220942</v>
      </c>
      <c r="P41" s="1907"/>
      <c r="V41" s="1907"/>
    </row>
    <row r="42" spans="1:26" ht="29.25">
      <c r="A42" s="3849" t="s">
        <v>2032</v>
      </c>
      <c r="B42" s="3850"/>
      <c r="C42" s="260">
        <f ca="1">C32</f>
        <v>233278</v>
      </c>
      <c r="D42" s="312">
        <f ca="1">C33</f>
        <v>28395</v>
      </c>
      <c r="E42" s="312">
        <f ca="1">C34</f>
        <v>122277</v>
      </c>
      <c r="F42" s="313">
        <f ca="1">C35</f>
        <v>8152</v>
      </c>
      <c r="G42" s="306"/>
      <c r="H42" s="306"/>
      <c r="I42" s="314"/>
      <c r="J42" s="1909"/>
      <c r="K42" s="1222" t="s">
        <v>338</v>
      </c>
      <c r="L42" s="1926" t="s">
        <v>339</v>
      </c>
      <c r="M42" s="1223" t="s">
        <v>340</v>
      </c>
      <c r="N42" s="1927" t="s">
        <v>341</v>
      </c>
      <c r="O42" s="1928" t="s">
        <v>342</v>
      </c>
      <c r="P42" s="1907"/>
      <c r="V42" s="1907"/>
    </row>
    <row r="43" spans="1:26" ht="30">
      <c r="A43" s="3859" t="s">
        <v>2686</v>
      </c>
      <c r="B43" s="3860"/>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849" t="str">
        <f>IF(OR(项目基本情况!E8="抵押价格",项目基本情况!E8="已注销及未注销"),"3.抵押价格","——")</f>
        <v>3.抵押价格</v>
      </c>
      <c r="B44" s="3850"/>
      <c r="C44" s="260">
        <f ca="1">IF(A44="——","——",C42-C43)</f>
        <v>233278</v>
      </c>
      <c r="D44" s="312">
        <f ca="1">ROUND(C44*10000/'数据-汇总表'!E3,0)</f>
        <v>28395</v>
      </c>
      <c r="E44" s="312">
        <f ca="1">ROUND(C44*10000/'数据-汇总表'!D3,0)</f>
        <v>122277</v>
      </c>
      <c r="F44" s="313">
        <f ca="1">ROUND(C44/('数据-汇总表'!D3/666.67),0)</f>
        <v>8152</v>
      </c>
      <c r="G44" s="306"/>
      <c r="H44" s="306"/>
      <c r="I44" s="314"/>
      <c r="J44" s="1909"/>
      <c r="K44" s="1229" t="str">
        <f>D4</f>
        <v>剩余法-待开发</v>
      </c>
      <c r="L44" s="1230">
        <f ca="1">IF(L42="估价结果/万元",D19,D20)</f>
        <v>220090</v>
      </c>
      <c r="M44" s="1231">
        <f>D18</f>
        <v>0.5</v>
      </c>
      <c r="N44" s="1232"/>
      <c r="O44" s="1233"/>
      <c r="P44" s="1907"/>
      <c r="V44" s="1907"/>
    </row>
    <row r="45" spans="1:26" ht="15">
      <c r="A45" s="3854" t="str">
        <f>IF(项目基本情况!E8="已注销及未注销","4.抵押担保权已注销时的抵押价格",IF(项目基本情况!E8="已注销","3.抵押担保权已注销时的抵押价格","——"))</f>
        <v>——</v>
      </c>
      <c r="B45" s="3855"/>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851" t="str">
        <f>IF(项目基本情况!E9="抵押净值",IF(A45="——","4.抵押净值","5.抵押净值"),"——")</f>
        <v>4.抵押净值</v>
      </c>
      <c r="B46" s="3852"/>
      <c r="C46" s="315">
        <f ca="1">IF(A46="——","——",O79)</f>
        <v>220942</v>
      </c>
      <c r="D46" s="312">
        <f ca="1">ROUND(C46*10000/'数据-汇总表'!E3,0)</f>
        <v>26894</v>
      </c>
      <c r="E46" s="312">
        <f ca="1">ROUND(C46*10000/'数据-汇总表'!D3,0)</f>
        <v>115811</v>
      </c>
      <c r="F46" s="313">
        <f ca="1">ROUND(C46/('数据-汇总表'!D3/666.67),0)</f>
        <v>7721</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12" t="s">
        <v>351</v>
      </c>
      <c r="B63" s="3813"/>
      <c r="C63" s="3814"/>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856" t="s">
        <v>355</v>
      </c>
      <c r="B64" s="3857"/>
      <c r="C64" s="3857"/>
      <c r="D64" s="3857"/>
      <c r="E64" s="3857"/>
      <c r="F64" s="3857"/>
      <c r="G64" s="3858"/>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853" t="s">
        <v>363</v>
      </c>
      <c r="B66" s="3819"/>
      <c r="C66" s="3819"/>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780" t="s">
        <v>362</v>
      </c>
      <c r="M66" s="3781"/>
      <c r="N66" s="2308"/>
      <c r="O66" s="2309"/>
      <c r="P66" s="2310"/>
      <c r="Q66" s="1907"/>
      <c r="R66" s="1907"/>
      <c r="S66" s="1907"/>
      <c r="T66" s="1907"/>
      <c r="U66" s="1907"/>
      <c r="V66" s="1907"/>
    </row>
    <row r="67" spans="1:22" ht="25.5" customHeight="1">
      <c r="A67" s="347" t="s">
        <v>366</v>
      </c>
      <c r="B67" s="3831" t="s">
        <v>367</v>
      </c>
      <c r="C67" s="3831"/>
      <c r="D67" s="348">
        <v>0</v>
      </c>
      <c r="E67" s="40" t="s">
        <v>368</v>
      </c>
      <c r="F67" s="61" t="s">
        <v>20</v>
      </c>
      <c r="G67" s="3815"/>
      <c r="H67" s="2998" t="s">
        <v>2941</v>
      </c>
      <c r="I67" s="3000"/>
      <c r="J67" s="1914"/>
      <c r="K67" s="1886">
        <v>2</v>
      </c>
      <c r="L67" s="3785" t="s">
        <v>365</v>
      </c>
      <c r="M67" s="3785"/>
      <c r="N67" s="1276">
        <f>'数据-取费表'!B2</f>
        <v>44557</v>
      </c>
      <c r="O67" s="1276"/>
      <c r="P67" s="1276"/>
      <c r="Q67" s="1907"/>
      <c r="R67" s="1907"/>
      <c r="S67" s="1907"/>
      <c r="T67" s="1907"/>
      <c r="U67" s="1907"/>
      <c r="V67" s="1907"/>
    </row>
    <row r="68" spans="1:22" ht="25.5" customHeight="1">
      <c r="A68" s="349"/>
      <c r="B68" s="3831" t="s">
        <v>370</v>
      </c>
      <c r="C68" s="3831"/>
      <c r="D68" s="350"/>
      <c r="E68" s="76"/>
      <c r="F68" s="351"/>
      <c r="G68" s="3816"/>
      <c r="H68" s="2999" t="s">
        <v>2942</v>
      </c>
      <c r="I68" s="3000"/>
      <c r="J68" s="1914"/>
      <c r="K68" s="1886">
        <v>3</v>
      </c>
      <c r="L68" s="3785" t="s">
        <v>369</v>
      </c>
      <c r="M68" s="3785"/>
      <c r="N68" s="1244">
        <f ca="1">C42</f>
        <v>233278</v>
      </c>
      <c r="O68" s="1244"/>
      <c r="P68" s="1244"/>
      <c r="Q68" s="1907"/>
      <c r="R68" s="1907"/>
      <c r="S68" s="1907"/>
      <c r="T68" s="1907"/>
      <c r="U68" s="1907"/>
      <c r="V68" s="1907"/>
    </row>
    <row r="69" spans="1:22" ht="23.45" customHeight="1">
      <c r="A69" s="352"/>
      <c r="B69" s="3831" t="s">
        <v>371</v>
      </c>
      <c r="C69" s="3831"/>
      <c r="D69" s="353"/>
      <c r="E69" s="72"/>
      <c r="F69" s="351"/>
      <c r="G69" s="3817"/>
      <c r="H69" s="2999" t="s">
        <v>2943</v>
      </c>
      <c r="I69" s="3000"/>
      <c r="J69" s="1914"/>
      <c r="K69" s="1245">
        <v>4</v>
      </c>
      <c r="L69" s="3786" t="s">
        <v>2838</v>
      </c>
      <c r="M69" s="3787"/>
      <c r="N69" s="1246">
        <f ca="1">C44</f>
        <v>233278</v>
      </c>
      <c r="O69" s="1246"/>
      <c r="P69" s="1246"/>
      <c r="Q69" s="1907"/>
      <c r="R69" s="1907"/>
      <c r="S69" s="1907"/>
      <c r="T69" s="1907"/>
      <c r="U69" s="1907"/>
      <c r="V69" s="1907"/>
    </row>
    <row r="70" spans="1:22" ht="24" customHeight="1">
      <c r="A70" s="354" t="s">
        <v>372</v>
      </c>
      <c r="B70" s="3831" t="s">
        <v>373</v>
      </c>
      <c r="C70" s="3831"/>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830" t="s">
        <v>2972</v>
      </c>
      <c r="C71" s="3847"/>
      <c r="D71" s="353">
        <f ca="1">ROUND(D63*'数据-取费表'!B41/(1+'数据-取费表'!C42),0)</f>
        <v>12219</v>
      </c>
      <c r="E71" s="17" t="s">
        <v>374</v>
      </c>
      <c r="F71" s="355">
        <f>'数据-取费表'!B41</f>
        <v>5.5000000000000007E-2</v>
      </c>
      <c r="G71" s="356"/>
      <c r="H71" s="306"/>
      <c r="I71" s="1243"/>
      <c r="J71" s="1914"/>
      <c r="K71" s="2756" t="s">
        <v>375</v>
      </c>
      <c r="L71" s="3788" t="s">
        <v>376</v>
      </c>
      <c r="M71" s="3788"/>
      <c r="N71" s="2756" t="s">
        <v>377</v>
      </c>
      <c r="O71" s="2756" t="s">
        <v>378</v>
      </c>
      <c r="P71" s="2756" t="s">
        <v>379</v>
      </c>
      <c r="Q71" s="1907"/>
      <c r="R71" s="1907"/>
      <c r="S71" s="1907"/>
      <c r="T71" s="1907"/>
      <c r="U71" s="1907"/>
      <c r="V71" s="1907"/>
    </row>
    <row r="72" spans="1:22" ht="12" customHeight="1">
      <c r="A72" s="354" t="s">
        <v>382</v>
      </c>
      <c r="B72" s="3830" t="s">
        <v>2973</v>
      </c>
      <c r="C72" s="3847"/>
      <c r="D72" s="353">
        <f ca="1">C86</f>
        <v>12219</v>
      </c>
      <c r="E72" s="72" t="s">
        <v>383</v>
      </c>
      <c r="F72" s="355">
        <f>'数据-取费表'!B41</f>
        <v>5.5000000000000007E-2</v>
      </c>
      <c r="G72" s="356"/>
      <c r="H72" s="1249"/>
      <c r="I72" s="1243"/>
      <c r="J72" s="1914"/>
      <c r="K72" s="1886">
        <v>1</v>
      </c>
      <c r="L72" s="3784" t="s">
        <v>381</v>
      </c>
      <c r="M72" s="3784"/>
      <c r="N72" s="1247">
        <f ca="1">D66</f>
        <v>12219</v>
      </c>
      <c r="O72" s="1769" t="str">
        <f>E66</f>
        <v>销售额×税（费）率</v>
      </c>
      <c r="P72" s="1248">
        <f>F66</f>
        <v>5.5000000000000007E-2</v>
      </c>
      <c r="Q72" s="1907"/>
      <c r="R72" s="1907"/>
      <c r="S72" s="1907"/>
      <c r="T72" s="1907"/>
      <c r="U72" s="1907"/>
      <c r="V72" s="1907"/>
    </row>
    <row r="73" spans="1:22" ht="24" customHeight="1">
      <c r="A73" s="3818" t="s">
        <v>385</v>
      </c>
      <c r="B73" s="3819"/>
      <c r="C73" s="3819"/>
      <c r="D73" s="357">
        <f ca="1">IF(H73="个人住宅",0,ROUND(D63*I73,0))</f>
        <v>117</v>
      </c>
      <c r="E73" s="17" t="s">
        <v>386</v>
      </c>
      <c r="F73" s="355">
        <f>IF(H73="正常",I73,"免征")</f>
        <v>5.0000000000000001E-4</v>
      </c>
      <c r="G73" s="356"/>
      <c r="H73" s="188" t="s">
        <v>3179</v>
      </c>
      <c r="I73" s="355">
        <f>'数据-取费表'!B49</f>
        <v>5.0000000000000001E-4</v>
      </c>
      <c r="J73" s="1914"/>
      <c r="K73" s="1886">
        <v>2</v>
      </c>
      <c r="L73" s="3784" t="s">
        <v>384</v>
      </c>
      <c r="M73" s="3784"/>
      <c r="N73" s="1247">
        <f t="shared" ref="N73:P74" ca="1" si="1">D73</f>
        <v>117</v>
      </c>
      <c r="O73" s="1769" t="str">
        <f t="shared" si="1"/>
        <v>销售额×税（费）率</v>
      </c>
      <c r="P73" s="1248">
        <f t="shared" si="1"/>
        <v>5.0000000000000001E-4</v>
      </c>
      <c r="Q73" s="1907"/>
      <c r="R73" s="1907"/>
      <c r="S73" s="1907"/>
      <c r="T73" s="1907"/>
      <c r="U73" s="1907"/>
      <c r="V73" s="1907"/>
    </row>
    <row r="74" spans="1:22" ht="24.75">
      <c r="A74" s="3818" t="s">
        <v>388</v>
      </c>
      <c r="B74" s="3819"/>
      <c r="C74" s="3819"/>
      <c r="D74" s="357">
        <f ca="1">IF(H74="个人住宅",D75,D76)</f>
        <v>0</v>
      </c>
      <c r="E74" s="17" t="s">
        <v>389</v>
      </c>
      <c r="F74" s="355" t="str">
        <f>IF(H74="正常",F76,"免征")</f>
        <v>——</v>
      </c>
      <c r="G74" s="968" t="s">
        <v>390</v>
      </c>
      <c r="H74" s="358" t="s">
        <v>3179</v>
      </c>
      <c r="I74" s="41"/>
      <c r="J74" s="1914"/>
      <c r="K74" s="1886">
        <v>3</v>
      </c>
      <c r="L74" s="3784" t="s">
        <v>387</v>
      </c>
      <c r="M74" s="3784"/>
      <c r="N74" s="1247">
        <f t="shared" ca="1" si="1"/>
        <v>0</v>
      </c>
      <c r="O74" s="1769" t="str">
        <f t="shared" si="1"/>
        <v>增值额×税（费）率</v>
      </c>
      <c r="P74" s="1250" t="str">
        <f t="shared" si="1"/>
        <v>——</v>
      </c>
      <c r="Q74" s="1907"/>
      <c r="R74" s="1907"/>
      <c r="S74" s="1907"/>
      <c r="T74" s="1907"/>
      <c r="U74" s="1907"/>
      <c r="V74" s="1907"/>
    </row>
    <row r="75" spans="1:22" ht="12.75">
      <c r="A75" s="354" t="s">
        <v>391</v>
      </c>
      <c r="B75" s="3799" t="s">
        <v>392</v>
      </c>
      <c r="C75" s="3800"/>
      <c r="D75" s="359">
        <v>0</v>
      </c>
      <c r="E75" s="40" t="s">
        <v>393</v>
      </c>
      <c r="F75" s="360"/>
      <c r="G75" s="356"/>
      <c r="H75" s="41"/>
      <c r="I75" s="41"/>
      <c r="J75" s="1914"/>
      <c r="K75" s="2750" t="str">
        <f>IF(H77="非个人房产","",4)</f>
        <v/>
      </c>
      <c r="L75" s="3784" t="str">
        <f>IF(H77="非个人房产","——","个人所得税")</f>
        <v>——</v>
      </c>
      <c r="M75" s="3784"/>
      <c r="N75" s="1251" t="str">
        <f>D77</f>
        <v>——</v>
      </c>
      <c r="O75" s="1782" t="str">
        <f>E77</f>
        <v>——</v>
      </c>
      <c r="P75" s="1252" t="str">
        <f>F77</f>
        <v>——</v>
      </c>
      <c r="Q75" s="1907"/>
      <c r="R75" s="1907"/>
      <c r="S75" s="1907"/>
      <c r="T75" s="1907"/>
      <c r="U75" s="1907"/>
      <c r="V75" s="1907"/>
    </row>
    <row r="76" spans="1:22" ht="24.75">
      <c r="A76" s="354" t="s">
        <v>372</v>
      </c>
      <c r="B76" s="3799" t="s">
        <v>395</v>
      </c>
      <c r="C76" s="3841"/>
      <c r="D76" s="357">
        <f ca="1">IF(H76="转让取得",C99,C115)</f>
        <v>0</v>
      </c>
      <c r="E76" s="17" t="s">
        <v>396</v>
      </c>
      <c r="F76" s="52" t="s">
        <v>20</v>
      </c>
      <c r="G76" s="356"/>
      <c r="H76" s="358" t="s">
        <v>3226</v>
      </c>
      <c r="I76" s="41"/>
      <c r="J76" s="1914"/>
      <c r="K76" s="2750" t="str">
        <f>IF(项目基本情况!K6="上海银行",IF(K75="",4,K75+1),"")</f>
        <v/>
      </c>
      <c r="L76" s="3795" t="str">
        <f>IF(项目基本情况!K6="上海银行","其他处置费用","")</f>
        <v/>
      </c>
      <c r="M76" s="3796"/>
      <c r="N76" s="1247" t="str">
        <f>IF(项目基本情况!K6="上海银行",N89,"")</f>
        <v/>
      </c>
      <c r="O76" s="3797" t="str">
        <f>IF(项目基本情况!K6="上海银行","包含处置中涉及的律师、诉讼、拍卖、评估等费用","")</f>
        <v/>
      </c>
      <c r="P76" s="3798"/>
      <c r="Q76" s="1907"/>
      <c r="R76" s="1907"/>
      <c r="S76" s="1907"/>
      <c r="T76" s="1907"/>
      <c r="U76" s="1907"/>
      <c r="V76" s="1907"/>
    </row>
    <row r="77" spans="1:22" ht="24.75" thickBot="1">
      <c r="A77" s="3810" t="s">
        <v>398</v>
      </c>
      <c r="B77" s="3811"/>
      <c r="C77" s="3811"/>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06">
        <f>IF(AND(K75="",K76=""),4,IF(项目基本情况!K6="上海银行",K76+1,K75+1))</f>
        <v>4</v>
      </c>
      <c r="L77" s="3784"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06"/>
      <c r="L78" s="3784"/>
      <c r="M78" s="2755" t="s">
        <v>397</v>
      </c>
      <c r="N78" s="1253"/>
      <c r="O78" s="1254" t="str">
        <f ca="1">NUMBERSTRING(INT(O77*10000),2)&amp;"元整"</f>
        <v>壹亿贰仟叁佰叁拾陆万元整</v>
      </c>
      <c r="P78" s="1255"/>
      <c r="Q78" s="1907"/>
      <c r="R78" s="1907"/>
      <c r="S78" s="1907"/>
      <c r="T78" s="1907"/>
      <c r="U78" s="1907"/>
      <c r="V78" s="1907"/>
    </row>
    <row r="79" spans="1:22" ht="13.5" thickBot="1">
      <c r="A79" s="3861" t="s">
        <v>399</v>
      </c>
      <c r="B79" s="3861"/>
      <c r="C79" s="3861"/>
      <c r="D79" s="3861"/>
      <c r="E79" s="3861"/>
      <c r="F79" s="41"/>
      <c r="G79" s="41"/>
      <c r="H79" s="988"/>
      <c r="I79" s="306"/>
      <c r="J79" s="1914"/>
      <c r="K79" s="3782">
        <f>K77+1</f>
        <v>5</v>
      </c>
      <c r="L79" s="3784" t="s">
        <v>2840</v>
      </c>
      <c r="M79" s="2755" t="s">
        <v>394</v>
      </c>
      <c r="N79" s="1253"/>
      <c r="O79" s="1254">
        <f ca="1">N69-O77</f>
        <v>220942</v>
      </c>
      <c r="P79" s="1255"/>
      <c r="Q79" s="1907"/>
      <c r="R79" s="1907"/>
      <c r="S79" s="1907"/>
      <c r="T79" s="1907"/>
      <c r="U79" s="1907"/>
      <c r="V79" s="1907"/>
    </row>
    <row r="80" spans="1:22" ht="25.5">
      <c r="A80" s="3792" t="s">
        <v>400</v>
      </c>
      <c r="B80" s="3793"/>
      <c r="C80" s="979"/>
      <c r="D80" s="979" t="s">
        <v>401</v>
      </c>
      <c r="E80" s="361" t="s">
        <v>402</v>
      </c>
      <c r="F80" s="41"/>
      <c r="G80" s="41"/>
      <c r="H80" s="988"/>
      <c r="I80" s="306"/>
      <c r="J80" s="1907"/>
      <c r="K80" s="3783"/>
      <c r="L80" s="3784"/>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04" t="s">
        <v>2841</v>
      </c>
      <c r="M81" s="3805"/>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794"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794"/>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794"/>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794"/>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794"/>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33" t="s">
        <v>409</v>
      </c>
      <c r="B88" s="3834"/>
      <c r="C88" s="3834"/>
      <c r="D88" s="3834"/>
      <c r="E88" s="3834"/>
      <c r="F88" s="3834"/>
      <c r="G88" s="3834"/>
      <c r="H88" s="3834"/>
      <c r="I88" s="1266"/>
      <c r="J88" s="1915"/>
      <c r="K88" s="3794"/>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792" t="s">
        <v>400</v>
      </c>
      <c r="B89" s="3793"/>
      <c r="C89" s="979"/>
      <c r="D89" s="979" t="s">
        <v>401</v>
      </c>
      <c r="E89" s="382" t="s">
        <v>410</v>
      </c>
      <c r="F89" s="383"/>
      <c r="G89" s="383"/>
      <c r="H89" s="384"/>
      <c r="I89" s="1267"/>
      <c r="J89" s="1917"/>
      <c r="K89" s="3794"/>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830" t="s">
        <v>418</v>
      </c>
      <c r="F94" s="3831"/>
      <c r="G94" s="3831"/>
      <c r="H94" s="3832"/>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789" t="s">
        <v>2389</v>
      </c>
      <c r="F96" s="3790"/>
      <c r="G96" s="3790"/>
      <c r="H96" s="3791"/>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33" t="s">
        <v>425</v>
      </c>
      <c r="B101" s="3834"/>
      <c r="C101" s="3834"/>
      <c r="D101" s="3834"/>
      <c r="E101" s="3834"/>
      <c r="F101" s="3834"/>
      <c r="G101" s="3834"/>
      <c r="H101" s="3834"/>
      <c r="I101" s="11"/>
      <c r="J101" s="1912"/>
      <c r="K101" s="3684" t="s">
        <v>3451</v>
      </c>
      <c r="L101" s="1912">
        <v>40881</v>
      </c>
      <c r="M101" s="1912">
        <f>'数据-汇总表'!F19</f>
        <v>51777.739999999991</v>
      </c>
      <c r="N101" s="1912">
        <f>L101*M101</f>
        <v>2116725788.9399996</v>
      </c>
      <c r="O101" s="1912"/>
      <c r="P101" s="1912"/>
      <c r="Q101" s="1912"/>
      <c r="R101" s="1912"/>
      <c r="S101" s="1912"/>
      <c r="T101" s="1912"/>
      <c r="U101" s="1912"/>
      <c r="V101" s="1912"/>
      <c r="W101" s="1916"/>
      <c r="X101" s="1916"/>
      <c r="Y101" s="1916"/>
      <c r="Z101" s="1916"/>
    </row>
    <row r="102" spans="1:26" s="1265" customFormat="1" ht="14.25">
      <c r="A102" s="3792" t="s">
        <v>400</v>
      </c>
      <c r="B102" s="3793"/>
      <c r="C102" s="979"/>
      <c r="D102" s="979" t="s">
        <v>401</v>
      </c>
      <c r="E102" s="382" t="s">
        <v>410</v>
      </c>
      <c r="F102" s="383"/>
      <c r="G102" s="383"/>
      <c r="H102" s="404"/>
      <c r="I102" s="11"/>
      <c r="J102" s="1912"/>
      <c r="K102" s="3684" t="s">
        <v>3452</v>
      </c>
      <c r="L102" s="3685">
        <f>L101*0.25*0.25</f>
        <v>2555.0625</v>
      </c>
      <c r="M102" s="1912">
        <f>'数据-汇总表'!G22</f>
        <v>6350.35</v>
      </c>
      <c r="N102" s="1912">
        <f t="shared" ref="N102:N104" si="3">L102*M102</f>
        <v>16225541.146875001</v>
      </c>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3684" t="s">
        <v>3453</v>
      </c>
      <c r="L103" s="3685">
        <f>L101*0.25*0.2</f>
        <v>2044.0500000000002</v>
      </c>
      <c r="M103" s="1912">
        <f>'数据-汇总表'!G21</f>
        <v>22548.01</v>
      </c>
      <c r="N103" s="1912">
        <f t="shared" si="3"/>
        <v>46089259.840499997</v>
      </c>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226750</v>
      </c>
      <c r="D104" s="406"/>
      <c r="E104" s="976"/>
      <c r="F104" s="975"/>
      <c r="G104" s="975"/>
      <c r="H104" s="405"/>
      <c r="I104" s="11"/>
      <c r="J104" s="1912"/>
      <c r="K104" s="3684" t="s">
        <v>3454</v>
      </c>
      <c r="L104" s="3685">
        <f>L101*0.25*0.7</f>
        <v>7154.1749999999993</v>
      </c>
      <c r="M104" s="1912">
        <f>'数据-汇总表'!G23</f>
        <v>1477.62</v>
      </c>
      <c r="N104" s="1912">
        <f t="shared" si="3"/>
        <v>10571152.063499998</v>
      </c>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225639</v>
      </c>
      <c r="D105" s="397"/>
      <c r="E105" s="970"/>
      <c r="F105" s="971"/>
      <c r="G105" s="971"/>
      <c r="H105" s="972"/>
      <c r="I105" s="11"/>
      <c r="J105" s="1912"/>
      <c r="K105" s="1912"/>
      <c r="L105" s="1912"/>
      <c r="M105" s="1912"/>
      <c r="N105" s="1912">
        <f>N101+N102+N103+N104</f>
        <v>2189611741.9908743</v>
      </c>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f>ROUND(N105/10000,0)</f>
        <v>218961</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6678</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845" t="s">
        <v>2936</v>
      </c>
      <c r="H108" s="3846"/>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3" t="s">
        <v>433</v>
      </c>
      <c r="F109" s="3790"/>
      <c r="G109" s="3790"/>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3" t="s">
        <v>435</v>
      </c>
      <c r="F110" s="3790"/>
      <c r="G110" s="3790"/>
      <c r="H110" s="3791"/>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789" t="s">
        <v>2389</v>
      </c>
      <c r="F111" s="3790"/>
      <c r="G111" s="3790"/>
      <c r="H111" s="3791"/>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3" t="s">
        <v>2412</v>
      </c>
      <c r="F112" s="3790"/>
      <c r="G112" s="3790"/>
      <c r="H112" s="3791"/>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-4580</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129189</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8613</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84" t="s">
        <v>493</v>
      </c>
      <c r="D6" s="3885"/>
      <c r="E6" s="3884" t="s">
        <v>494</v>
      </c>
      <c r="F6" s="3885"/>
      <c r="G6" s="3884" t="s">
        <v>495</v>
      </c>
      <c r="H6" s="3885"/>
      <c r="I6" s="3884" t="s">
        <v>496</v>
      </c>
      <c r="J6" s="3885"/>
      <c r="K6" s="505" t="s">
        <v>497</v>
      </c>
      <c r="L6" s="2011"/>
      <c r="M6" s="2010"/>
      <c r="N6" s="2010"/>
      <c r="O6" s="2012"/>
      <c r="P6" s="3886" t="s">
        <v>498</v>
      </c>
      <c r="Q6" s="3887"/>
      <c r="R6" s="3872" t="s">
        <v>494</v>
      </c>
      <c r="S6" s="3873"/>
      <c r="T6" s="3872" t="s">
        <v>495</v>
      </c>
      <c r="U6" s="3873"/>
      <c r="V6" s="3892" t="s">
        <v>496</v>
      </c>
      <c r="W6" s="3892"/>
      <c r="X6" s="1497"/>
      <c r="Y6" s="3872" t="s">
        <v>498</v>
      </c>
      <c r="Z6" s="3873"/>
      <c r="AA6" s="3867" t="s">
        <v>494</v>
      </c>
      <c r="AB6" s="3868" t="s">
        <v>495</v>
      </c>
      <c r="AC6" s="3867" t="s">
        <v>496</v>
      </c>
    </row>
    <row r="7" spans="1:30" ht="63.75" customHeight="1">
      <c r="A7" s="506"/>
      <c r="B7" s="507"/>
      <c r="C7" s="3895" t="str">
        <f>结果表!A2</f>
        <v>北京市北京市昌平区东小口马连店1803-610地块R2二类居住用地出让国有建设用地使用权</v>
      </c>
      <c r="D7" s="3896"/>
      <c r="E7" s="3895" t="str">
        <f>土地案例!A22</f>
        <v>北京市海淀区“海淀北部地区整体开发”西北旺镇HD00-0403-0043、0049地块二类居住及基础教育用地</v>
      </c>
      <c r="F7" s="3896"/>
      <c r="G7" s="3895" t="str">
        <f>土地案例!A12</f>
        <v>北京市朝阳区崔各庄乡黑桥村、南皋村棚户区改造项目30-L01-01地块R2二类居住用地(配建“公共租赁住房”)</v>
      </c>
      <c r="H7" s="3896"/>
      <c r="I7" s="3895" t="str">
        <f>土地案例!A21</f>
        <v>北京市海淀区“海淀北部地区整体开发”西北旺镇HD00-0403-0061、0050、0031、0040、0046地块二类居住、其他类多功能、医院及机构养老设施用地</v>
      </c>
      <c r="J7" s="3896"/>
      <c r="K7" s="505"/>
      <c r="L7" s="2011"/>
      <c r="M7" s="2010"/>
      <c r="N7" s="2010"/>
      <c r="O7" s="2012"/>
      <c r="P7" s="3888"/>
      <c r="Q7" s="3889"/>
      <c r="R7" s="3874"/>
      <c r="S7" s="3875"/>
      <c r="T7" s="3874"/>
      <c r="U7" s="3875"/>
      <c r="V7" s="3892"/>
      <c r="W7" s="3892"/>
      <c r="X7" s="1497"/>
      <c r="Y7" s="3874"/>
      <c r="Z7" s="3875"/>
      <c r="AA7" s="3868"/>
      <c r="AB7" s="3868"/>
      <c r="AC7" s="3868"/>
    </row>
    <row r="8" spans="1:30" ht="21" thickBot="1">
      <c r="A8" s="506"/>
      <c r="B8" s="507"/>
      <c r="C8" s="3897" t="s">
        <v>2875</v>
      </c>
      <c r="D8" s="3898"/>
      <c r="E8" s="3897" t="s">
        <v>2875</v>
      </c>
      <c r="F8" s="3898"/>
      <c r="G8" s="3893" t="s">
        <v>2875</v>
      </c>
      <c r="H8" s="3894"/>
      <c r="I8" s="3893" t="s">
        <v>2875</v>
      </c>
      <c r="J8" s="3894"/>
      <c r="K8" s="505" t="s">
        <v>499</v>
      </c>
      <c r="L8" s="2011"/>
      <c r="M8" s="2010"/>
      <c r="N8" s="2010"/>
      <c r="O8" s="2012"/>
      <c r="P8" s="3890"/>
      <c r="Q8" s="3891"/>
      <c r="R8" s="3874"/>
      <c r="S8" s="3875"/>
      <c r="T8" s="3876"/>
      <c r="U8" s="3877"/>
      <c r="V8" s="3892"/>
      <c r="W8" s="3892"/>
      <c r="X8" s="1497"/>
      <c r="Y8" s="3876"/>
      <c r="Z8" s="3877"/>
      <c r="AA8" s="3869"/>
      <c r="AB8" s="3869"/>
      <c r="AC8" s="3869"/>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70" t="s">
        <v>501</v>
      </c>
      <c r="Q9" s="3879"/>
      <c r="R9" s="1498" t="s">
        <v>8</v>
      </c>
      <c r="S9" s="1499">
        <f t="shared" ref="S9:S17" si="0">F9</f>
        <v>96.5</v>
      </c>
      <c r="T9" s="1498" t="s">
        <v>8</v>
      </c>
      <c r="U9" s="1499">
        <f t="shared" ref="U9:U17" si="1">H9</f>
        <v>99</v>
      </c>
      <c r="V9" s="1498" t="s">
        <v>8</v>
      </c>
      <c r="W9" s="1499">
        <f t="shared" ref="W9:W17" si="2">J9</f>
        <v>96.5</v>
      </c>
      <c r="X9" s="1500"/>
      <c r="Y9" s="3870" t="s">
        <v>501</v>
      </c>
      <c r="Z9" s="3871"/>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70" t="s">
        <v>504</v>
      </c>
      <c r="Q10" s="3871"/>
      <c r="R10" s="1498" t="s">
        <v>8</v>
      </c>
      <c r="S10" s="1499">
        <f t="shared" si="0"/>
        <v>100</v>
      </c>
      <c r="T10" s="1498" t="s">
        <v>8</v>
      </c>
      <c r="U10" s="1499">
        <f t="shared" si="1"/>
        <v>100</v>
      </c>
      <c r="V10" s="1498" t="s">
        <v>8</v>
      </c>
      <c r="W10" s="1499">
        <f t="shared" si="2"/>
        <v>100</v>
      </c>
      <c r="X10" s="1500"/>
      <c r="Y10" s="3870" t="s">
        <v>504</v>
      </c>
      <c r="Z10" s="3871"/>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78" t="s">
        <v>506</v>
      </c>
      <c r="Q11" s="1131" t="str">
        <f t="shared" ref="Q11:Q17" si="6">B11</f>
        <v>用途</v>
      </c>
      <c r="R11" s="1498" t="s">
        <v>8</v>
      </c>
      <c r="S11" s="1499">
        <f t="shared" si="0"/>
        <v>100</v>
      </c>
      <c r="T11" s="1498" t="s">
        <v>8</v>
      </c>
      <c r="U11" s="1499">
        <f t="shared" si="1"/>
        <v>100</v>
      </c>
      <c r="V11" s="1498" t="s">
        <v>8</v>
      </c>
      <c r="W11" s="1499">
        <f t="shared" si="2"/>
        <v>95</v>
      </c>
      <c r="X11" s="1500"/>
      <c r="Y11" s="3829"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78"/>
      <c r="Q12" s="1131" t="str">
        <f t="shared" si="6"/>
        <v>土地使用年限（年）</v>
      </c>
      <c r="R12" s="1498" t="s">
        <v>8</v>
      </c>
      <c r="S12" s="1499">
        <f t="shared" si="0"/>
        <v>100</v>
      </c>
      <c r="T12" s="1498" t="s">
        <v>8</v>
      </c>
      <c r="U12" s="1499">
        <f t="shared" si="1"/>
        <v>100</v>
      </c>
      <c r="V12" s="1498" t="s">
        <v>8</v>
      </c>
      <c r="W12" s="1499">
        <f t="shared" si="2"/>
        <v>100</v>
      </c>
      <c r="X12" s="1500"/>
      <c r="Y12" s="3829"/>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78"/>
      <c r="Q13" s="1131" t="str">
        <f t="shared" si="6"/>
        <v>容积率</v>
      </c>
      <c r="R13" s="1498" t="s">
        <v>8</v>
      </c>
      <c r="S13" s="1499">
        <f t="shared" si="0"/>
        <v>100</v>
      </c>
      <c r="T13" s="1498" t="s">
        <v>8</v>
      </c>
      <c r="U13" s="1499">
        <f t="shared" si="1"/>
        <v>100</v>
      </c>
      <c r="V13" s="1498" t="s">
        <v>8</v>
      </c>
      <c r="W13" s="1499">
        <f t="shared" si="2"/>
        <v>100</v>
      </c>
      <c r="X13" s="1500"/>
      <c r="Y13" s="3829"/>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78"/>
      <c r="Q14" s="1131" t="str">
        <f t="shared" si="6"/>
        <v>配建</v>
      </c>
      <c r="R14" s="1498" t="s">
        <v>8</v>
      </c>
      <c r="S14" s="1499">
        <f t="shared" si="0"/>
        <v>110</v>
      </c>
      <c r="T14" s="1498" t="s">
        <v>8</v>
      </c>
      <c r="U14" s="1499">
        <f t="shared" si="1"/>
        <v>100</v>
      </c>
      <c r="V14" s="1498" t="s">
        <v>8</v>
      </c>
      <c r="W14" s="1499">
        <f t="shared" si="2"/>
        <v>100</v>
      </c>
      <c r="X14" s="1500"/>
      <c r="Y14" s="3829"/>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78"/>
      <c r="Q15" s="1131" t="str">
        <f t="shared" si="6"/>
        <v>限价</v>
      </c>
      <c r="R15" s="1498" t="s">
        <v>8</v>
      </c>
      <c r="S15" s="1499">
        <f t="shared" si="0"/>
        <v>110</v>
      </c>
      <c r="T15" s="1498" t="s">
        <v>8</v>
      </c>
      <c r="U15" s="1499">
        <f t="shared" si="1"/>
        <v>100</v>
      </c>
      <c r="V15" s="1498" t="s">
        <v>8</v>
      </c>
      <c r="W15" s="1499">
        <f t="shared" si="2"/>
        <v>110</v>
      </c>
      <c r="X15" s="1500"/>
      <c r="Y15" s="3829"/>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78"/>
      <c r="Q16" s="1131">
        <f t="shared" si="6"/>
        <v>0</v>
      </c>
      <c r="R16" s="1498" t="s">
        <v>8</v>
      </c>
      <c r="S16" s="1499">
        <f t="shared" si="0"/>
        <v>100</v>
      </c>
      <c r="T16" s="1498" t="s">
        <v>8</v>
      </c>
      <c r="U16" s="1499">
        <f t="shared" si="1"/>
        <v>100</v>
      </c>
      <c r="V16" s="1498" t="s">
        <v>8</v>
      </c>
      <c r="W16" s="1499">
        <f t="shared" si="2"/>
        <v>100</v>
      </c>
      <c r="X16" s="1500"/>
      <c r="Y16" s="3829"/>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80" t="s">
        <v>511</v>
      </c>
      <c r="Q17" s="1502" t="str">
        <f t="shared" si="6"/>
        <v>居住社区成熟度</v>
      </c>
      <c r="R17" s="1503" t="s">
        <v>8</v>
      </c>
      <c r="S17" s="1504">
        <f t="shared" si="0"/>
        <v>97</v>
      </c>
      <c r="T17" s="1503" t="s">
        <v>8</v>
      </c>
      <c r="U17" s="1504">
        <f t="shared" si="1"/>
        <v>97</v>
      </c>
      <c r="V17" s="1503" t="s">
        <v>8</v>
      </c>
      <c r="W17" s="1504">
        <f t="shared" si="2"/>
        <v>97</v>
      </c>
      <c r="X17" s="1497"/>
      <c r="Y17" s="3880"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81"/>
      <c r="Q18" s="1502"/>
      <c r="R18" s="1503"/>
      <c r="S18" s="1504"/>
      <c r="T18" s="1503"/>
      <c r="U18" s="1504"/>
      <c r="V18" s="1503"/>
      <c r="W18" s="1504"/>
      <c r="X18" s="1497"/>
      <c r="Y18" s="3881"/>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81"/>
      <c r="Q19" s="1502" t="str">
        <f>B19</f>
        <v>商业繁华度</v>
      </c>
      <c r="R19" s="1503" t="s">
        <v>8</v>
      </c>
      <c r="S19" s="1504">
        <f>F19</f>
        <v>100</v>
      </c>
      <c r="T19" s="1503" t="s">
        <v>8</v>
      </c>
      <c r="U19" s="1504">
        <f>H19</f>
        <v>100</v>
      </c>
      <c r="V19" s="1503" t="s">
        <v>8</v>
      </c>
      <c r="W19" s="1504">
        <f>J19</f>
        <v>100</v>
      </c>
      <c r="X19" s="1497"/>
      <c r="Y19" s="3881"/>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81"/>
      <c r="Q20" s="1502"/>
      <c r="R20" s="1503"/>
      <c r="S20" s="1504"/>
      <c r="T20" s="1503"/>
      <c r="U20" s="1504"/>
      <c r="V20" s="1503"/>
      <c r="W20" s="1504"/>
      <c r="X20" s="1497"/>
      <c r="Y20" s="3881"/>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81"/>
      <c r="Q21" s="1502" t="str">
        <f>B21</f>
        <v>办公集聚程度</v>
      </c>
      <c r="R21" s="1503" t="s">
        <v>8</v>
      </c>
      <c r="S21" s="1504">
        <f>F21</f>
        <v>100</v>
      </c>
      <c r="T21" s="1503" t="s">
        <v>8</v>
      </c>
      <c r="U21" s="1504">
        <f>H21</f>
        <v>100</v>
      </c>
      <c r="V21" s="1503" t="s">
        <v>8</v>
      </c>
      <c r="W21" s="1504">
        <f>J21</f>
        <v>100</v>
      </c>
      <c r="X21" s="1497"/>
      <c r="Y21" s="3881"/>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81"/>
      <c r="Q22" s="1502"/>
      <c r="R22" s="1503"/>
      <c r="S22" s="1504"/>
      <c r="T22" s="1503"/>
      <c r="U22" s="1504"/>
      <c r="V22" s="1503"/>
      <c r="W22" s="1504"/>
      <c r="X22" s="1497"/>
      <c r="Y22" s="3881"/>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81"/>
      <c r="Q23" s="1502" t="str">
        <f>B23</f>
        <v>交通便捷度</v>
      </c>
      <c r="R23" s="1503" t="s">
        <v>8</v>
      </c>
      <c r="S23" s="1504">
        <f>F23</f>
        <v>100</v>
      </c>
      <c r="T23" s="1503" t="s">
        <v>8</v>
      </c>
      <c r="U23" s="1504">
        <f>H23</f>
        <v>100</v>
      </c>
      <c r="V23" s="1503" t="s">
        <v>8</v>
      </c>
      <c r="W23" s="1504">
        <f>J23</f>
        <v>100</v>
      </c>
      <c r="X23" s="1497"/>
      <c r="Y23" s="3881"/>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81"/>
      <c r="Q24" s="1502"/>
      <c r="R24" s="1503"/>
      <c r="S24" s="1504"/>
      <c r="T24" s="1503"/>
      <c r="U24" s="1504"/>
      <c r="V24" s="1503"/>
      <c r="W24" s="1504"/>
      <c r="X24" s="1497"/>
      <c r="Y24" s="3881"/>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81"/>
      <c r="Q25" s="1502" t="str">
        <f t="shared" ref="Q25:Q39" si="8">B25</f>
        <v>区域土地利用方向</v>
      </c>
      <c r="R25" s="1503" t="s">
        <v>8</v>
      </c>
      <c r="S25" s="1504">
        <f>F25</f>
        <v>100</v>
      </c>
      <c r="T25" s="1503" t="s">
        <v>8</v>
      </c>
      <c r="U25" s="1504">
        <f>H25</f>
        <v>100</v>
      </c>
      <c r="V25" s="1503" t="s">
        <v>8</v>
      </c>
      <c r="W25" s="1504">
        <f>J25</f>
        <v>100</v>
      </c>
      <c r="X25" s="1497"/>
      <c r="Y25" s="3881"/>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81"/>
      <c r="Q26" s="1502"/>
      <c r="R26" s="1503"/>
      <c r="S26" s="1504"/>
      <c r="T26" s="1503"/>
      <c r="U26" s="1504"/>
      <c r="V26" s="1503"/>
      <c r="W26" s="1504"/>
      <c r="X26" s="1497"/>
      <c r="Y26" s="3881"/>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81"/>
      <c r="Q27" s="1502" t="str">
        <f t="shared" si="8"/>
        <v>自然及人文环境状况</v>
      </c>
      <c r="R27" s="1503" t="s">
        <v>8</v>
      </c>
      <c r="S27" s="1504">
        <f>F27</f>
        <v>100</v>
      </c>
      <c r="T27" s="1503" t="s">
        <v>8</v>
      </c>
      <c r="U27" s="1504">
        <f>H27</f>
        <v>102</v>
      </c>
      <c r="V27" s="1503" t="s">
        <v>8</v>
      </c>
      <c r="W27" s="1504">
        <f>J27</f>
        <v>100</v>
      </c>
      <c r="X27" s="1497"/>
      <c r="Y27" s="3881"/>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81"/>
      <c r="Q28" s="1502"/>
      <c r="R28" s="1503"/>
      <c r="S28" s="1504"/>
      <c r="T28" s="1503"/>
      <c r="U28" s="1504"/>
      <c r="V28" s="1503"/>
      <c r="W28" s="1504"/>
      <c r="X28" s="1497"/>
      <c r="Y28" s="3881"/>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81"/>
      <c r="Q29" s="1131" t="str">
        <f t="shared" si="8"/>
        <v>公共配套设施</v>
      </c>
      <c r="R29" s="1498" t="s">
        <v>8</v>
      </c>
      <c r="S29" s="1499">
        <f>F29</f>
        <v>100</v>
      </c>
      <c r="T29" s="1498" t="s">
        <v>8</v>
      </c>
      <c r="U29" s="1499">
        <f>H29</f>
        <v>100</v>
      </c>
      <c r="V29" s="1498" t="s">
        <v>8</v>
      </c>
      <c r="W29" s="1499">
        <f>J29</f>
        <v>100</v>
      </c>
      <c r="X29" s="1500"/>
      <c r="Y29" s="3881"/>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81"/>
      <c r="Q30" s="1131"/>
      <c r="R30" s="1498"/>
      <c r="S30" s="1499"/>
      <c r="T30" s="1498"/>
      <c r="U30" s="1499"/>
      <c r="V30" s="1498"/>
      <c r="W30" s="1499"/>
      <c r="X30" s="1500"/>
      <c r="Y30" s="3881"/>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81"/>
      <c r="Q31" s="2424" t="str">
        <f t="shared" ref="Q31" si="9">B31</f>
        <v>基础设施水平</v>
      </c>
      <c r="R31" s="1498" t="s">
        <v>8</v>
      </c>
      <c r="S31" s="1499">
        <f>F31</f>
        <v>100</v>
      </c>
      <c r="T31" s="1498" t="s">
        <v>8</v>
      </c>
      <c r="U31" s="1499">
        <f>H31</f>
        <v>100</v>
      </c>
      <c r="V31" s="1498" t="s">
        <v>8</v>
      </c>
      <c r="W31" s="1499">
        <f>J31</f>
        <v>100</v>
      </c>
      <c r="X31" s="1500"/>
      <c r="Y31" s="3881"/>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81"/>
      <c r="Q32" s="2424"/>
      <c r="R32" s="1498"/>
      <c r="S32" s="1499"/>
      <c r="T32" s="1498"/>
      <c r="U32" s="1499"/>
      <c r="V32" s="1498"/>
      <c r="W32" s="1499"/>
      <c r="X32" s="1500"/>
      <c r="Y32" s="3881"/>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81"/>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81"/>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81"/>
      <c r="Q34" s="1502" t="str">
        <f t="shared" si="8"/>
        <v>毗邻道路的类型与等级</v>
      </c>
      <c r="R34" s="1503" t="s">
        <v>8</v>
      </c>
      <c r="S34" s="1504">
        <f t="shared" si="10"/>
        <v>100</v>
      </c>
      <c r="T34" s="1503" t="s">
        <v>8</v>
      </c>
      <c r="U34" s="1504">
        <f t="shared" si="11"/>
        <v>100</v>
      </c>
      <c r="V34" s="1503" t="s">
        <v>8</v>
      </c>
      <c r="W34" s="1504">
        <f t="shared" si="12"/>
        <v>100</v>
      </c>
      <c r="X34" s="1497"/>
      <c r="Y34" s="3881"/>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81"/>
      <c r="Q35" s="1502"/>
      <c r="R35" s="1503"/>
      <c r="S35" s="1504"/>
      <c r="T35" s="1503"/>
      <c r="U35" s="1504"/>
      <c r="V35" s="1503"/>
      <c r="W35" s="1504"/>
      <c r="X35" s="1497"/>
      <c r="Y35" s="3881"/>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81"/>
      <c r="Q36" s="1502" t="str">
        <f t="shared" si="8"/>
        <v>土地级别</v>
      </c>
      <c r="R36" s="1503" t="s">
        <v>8</v>
      </c>
      <c r="S36" s="1504">
        <f t="shared" si="10"/>
        <v>103</v>
      </c>
      <c r="T36" s="1503" t="s">
        <v>8</v>
      </c>
      <c r="U36" s="1504">
        <f t="shared" si="11"/>
        <v>106</v>
      </c>
      <c r="V36" s="1503" t="s">
        <v>8</v>
      </c>
      <c r="W36" s="1504">
        <f t="shared" si="12"/>
        <v>103</v>
      </c>
      <c r="X36" s="1497"/>
      <c r="Y36" s="3881"/>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81"/>
      <c r="Q37" s="1502">
        <f t="shared" si="8"/>
        <v>111</v>
      </c>
      <c r="R37" s="1503" t="s">
        <v>8</v>
      </c>
      <c r="S37" s="1504">
        <f t="shared" si="10"/>
        <v>100</v>
      </c>
      <c r="T37" s="1503" t="s">
        <v>8</v>
      </c>
      <c r="U37" s="1504">
        <f t="shared" si="11"/>
        <v>100</v>
      </c>
      <c r="V37" s="1503" t="s">
        <v>8</v>
      </c>
      <c r="W37" s="1504">
        <f t="shared" si="12"/>
        <v>100</v>
      </c>
      <c r="X37" s="1497"/>
      <c r="Y37" s="3881"/>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82" t="s">
        <v>521</v>
      </c>
      <c r="Q38" s="1502">
        <f t="shared" si="8"/>
        <v>111</v>
      </c>
      <c r="R38" s="1503" t="s">
        <v>8</v>
      </c>
      <c r="S38" s="1504">
        <f t="shared" si="10"/>
        <v>100</v>
      </c>
      <c r="T38" s="1503" t="s">
        <v>8</v>
      </c>
      <c r="U38" s="1504">
        <f t="shared" si="11"/>
        <v>100</v>
      </c>
      <c r="V38" s="1503" t="s">
        <v>8</v>
      </c>
      <c r="W38" s="1504">
        <f t="shared" si="12"/>
        <v>100</v>
      </c>
      <c r="X38" s="1497"/>
      <c r="Y38" s="3883"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883"/>
      <c r="Q39" s="1502">
        <f t="shared" si="8"/>
        <v>111</v>
      </c>
      <c r="R39" s="1507" t="s">
        <v>8</v>
      </c>
      <c r="S39" s="1508">
        <f t="shared" si="10"/>
        <v>100</v>
      </c>
      <c r="T39" s="1507" t="s">
        <v>8</v>
      </c>
      <c r="U39" s="1508">
        <f t="shared" si="11"/>
        <v>100</v>
      </c>
      <c r="V39" s="1507" t="s">
        <v>8</v>
      </c>
      <c r="W39" s="1508">
        <f t="shared" si="12"/>
        <v>100</v>
      </c>
      <c r="X39" s="1509"/>
      <c r="Y39" s="3883"/>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883"/>
      <c r="Q40" s="1502" t="str">
        <f>B40</f>
        <v>宗地面积</v>
      </c>
      <c r="R40" s="1503" t="s">
        <v>8</v>
      </c>
      <c r="S40" s="1504">
        <f t="shared" si="10"/>
        <v>100.5</v>
      </c>
      <c r="T40" s="1503" t="s">
        <v>8</v>
      </c>
      <c r="U40" s="1504">
        <f t="shared" si="11"/>
        <v>100</v>
      </c>
      <c r="V40" s="1503" t="s">
        <v>8</v>
      </c>
      <c r="W40" s="1504">
        <f t="shared" si="12"/>
        <v>101</v>
      </c>
      <c r="X40" s="1497"/>
      <c r="Y40" s="3883"/>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883"/>
      <c r="Q41" s="1502" t="str">
        <f t="shared" ref="Q41:Q47" si="14">B41</f>
        <v>宗地形状</v>
      </c>
      <c r="R41" s="1503" t="s">
        <v>8</v>
      </c>
      <c r="S41" s="1504">
        <f t="shared" si="10"/>
        <v>100</v>
      </c>
      <c r="T41" s="1503" t="s">
        <v>8</v>
      </c>
      <c r="U41" s="1504">
        <f t="shared" si="11"/>
        <v>100</v>
      </c>
      <c r="V41" s="1503" t="s">
        <v>8</v>
      </c>
      <c r="W41" s="1504">
        <f t="shared" si="12"/>
        <v>100</v>
      </c>
      <c r="X41" s="1497"/>
      <c r="Y41" s="3883"/>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883"/>
      <c r="Q42" s="1502" t="str">
        <f t="shared" si="14"/>
        <v>临街宽度及深度</v>
      </c>
      <c r="R42" s="1503" t="s">
        <v>8</v>
      </c>
      <c r="S42" s="1504">
        <f t="shared" si="10"/>
        <v>100</v>
      </c>
      <c r="T42" s="1503" t="s">
        <v>8</v>
      </c>
      <c r="U42" s="1504">
        <f t="shared" si="11"/>
        <v>100</v>
      </c>
      <c r="V42" s="1503" t="s">
        <v>8</v>
      </c>
      <c r="W42" s="1504">
        <f t="shared" si="12"/>
        <v>100</v>
      </c>
      <c r="X42" s="1497"/>
      <c r="Y42" s="3883"/>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883"/>
      <c r="Q43" s="1502" t="str">
        <f t="shared" si="14"/>
        <v>宗地开发程度</v>
      </c>
      <c r="R43" s="1498" t="s">
        <v>8</v>
      </c>
      <c r="S43" s="1499">
        <f t="shared" si="10"/>
        <v>99</v>
      </c>
      <c r="T43" s="1498" t="s">
        <v>8</v>
      </c>
      <c r="U43" s="1499">
        <f t="shared" si="11"/>
        <v>99</v>
      </c>
      <c r="V43" s="1498" t="s">
        <v>8</v>
      </c>
      <c r="W43" s="1499">
        <f t="shared" si="12"/>
        <v>99</v>
      </c>
      <c r="X43" s="1500"/>
      <c r="Y43" s="3883"/>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883" t="s">
        <v>521</v>
      </c>
      <c r="Q44" s="1502" t="str">
        <f t="shared" si="14"/>
        <v>工程地质条件</v>
      </c>
      <c r="R44" s="1503" t="s">
        <v>8</v>
      </c>
      <c r="S44" s="1504">
        <f t="shared" si="10"/>
        <v>100</v>
      </c>
      <c r="T44" s="1503" t="s">
        <v>8</v>
      </c>
      <c r="U44" s="1504">
        <f t="shared" si="11"/>
        <v>100</v>
      </c>
      <c r="V44" s="1503" t="s">
        <v>8</v>
      </c>
      <c r="W44" s="1504">
        <f t="shared" si="12"/>
        <v>100</v>
      </c>
      <c r="X44" s="1497"/>
      <c r="Y44" s="3883"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883"/>
      <c r="Q45" s="1502">
        <f t="shared" si="14"/>
        <v>111</v>
      </c>
      <c r="R45" s="1503" t="s">
        <v>8</v>
      </c>
      <c r="S45" s="1504">
        <f t="shared" si="10"/>
        <v>100</v>
      </c>
      <c r="T45" s="1503" t="s">
        <v>8</v>
      </c>
      <c r="U45" s="1504">
        <f t="shared" si="11"/>
        <v>100</v>
      </c>
      <c r="V45" s="1503" t="s">
        <v>8</v>
      </c>
      <c r="W45" s="1504">
        <f t="shared" si="12"/>
        <v>100</v>
      </c>
      <c r="X45" s="1497"/>
      <c r="Y45" s="3883"/>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883"/>
      <c r="Q46" s="1502">
        <f t="shared" si="14"/>
        <v>111</v>
      </c>
      <c r="R46" s="1503" t="s">
        <v>8</v>
      </c>
      <c r="S46" s="1504">
        <f t="shared" si="10"/>
        <v>100</v>
      </c>
      <c r="T46" s="1503" t="s">
        <v>8</v>
      </c>
      <c r="U46" s="1504">
        <f t="shared" si="11"/>
        <v>100</v>
      </c>
      <c r="V46" s="1503" t="s">
        <v>8</v>
      </c>
      <c r="W46" s="1504">
        <f t="shared" si="12"/>
        <v>100</v>
      </c>
      <c r="X46" s="1497"/>
      <c r="Y46" s="3883"/>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883"/>
      <c r="Q47" s="1502">
        <f t="shared" si="14"/>
        <v>111</v>
      </c>
      <c r="R47" s="1507" t="s">
        <v>8</v>
      </c>
      <c r="S47" s="1508">
        <f t="shared" si="10"/>
        <v>100</v>
      </c>
      <c r="T47" s="1507" t="s">
        <v>8</v>
      </c>
      <c r="U47" s="1508">
        <f t="shared" si="11"/>
        <v>100</v>
      </c>
      <c r="V47" s="1507" t="s">
        <v>8</v>
      </c>
      <c r="W47" s="1508">
        <f t="shared" si="12"/>
        <v>100</v>
      </c>
      <c r="X47" s="1509"/>
      <c r="Y47" s="3883"/>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78" t="str">
        <f>A48</f>
        <v>成交单价</v>
      </c>
      <c r="Q48" s="3878"/>
      <c r="R48" s="3892">
        <f>E48</f>
        <v>50587</v>
      </c>
      <c r="S48" s="3892"/>
      <c r="T48" s="3892">
        <f>G48</f>
        <v>49474</v>
      </c>
      <c r="U48" s="3892"/>
      <c r="V48" s="3892">
        <f>I48</f>
        <v>46670</v>
      </c>
      <c r="W48" s="3892"/>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78" t="str">
        <f>A49</f>
        <v>比较价格（元/平方米）</v>
      </c>
      <c r="Q49" s="3878"/>
      <c r="R49" s="3902">
        <f>ROUND(PRODUCT(R48,AA9:AA47),0)</f>
        <v>43583</v>
      </c>
      <c r="S49" s="3902"/>
      <c r="T49" s="3902">
        <f>ROUND(PRODUCT(T48,AB9:AB47),0)</f>
        <v>48131</v>
      </c>
      <c r="U49" s="3902"/>
      <c r="V49" s="3902">
        <f>ROUND(PRODUCT(V48,AC9:AC47),0)</f>
        <v>46326</v>
      </c>
      <c r="W49" s="3902"/>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99" t="str">
        <f>A50</f>
        <v>估价对象XX用房的比较价格（楼面单价，元/平方米）</v>
      </c>
      <c r="Q50" s="3900"/>
      <c r="R50" s="3901">
        <f>ROUND(IF(D49="简单平均",AVERAGE(R49:W49),R49*F49+T49*H49+V49*J49),0)</f>
        <v>46013</v>
      </c>
      <c r="S50" s="3901"/>
      <c r="T50" s="3901"/>
      <c r="U50" s="3901"/>
      <c r="V50" s="3901"/>
      <c r="W50" s="3901"/>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62" t="s">
        <v>2245</v>
      </c>
      <c r="H57" s="3863"/>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64"/>
      <c r="H58" s="3865"/>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66"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66"/>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66"/>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66"/>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6" t="str">
        <f>项目基本情况!B1</f>
        <v>北京市北京市昌平区东小口马连店1803-610地块R2二类居住用地出让国有建设用地使用权抵押价格预评估</v>
      </c>
      <c r="C37" s="3686"/>
      <c r="D37" s="3686"/>
      <c r="E37" s="3686"/>
      <c r="F37" s="3686"/>
      <c r="G37" s="3686"/>
      <c r="H37" s="3686"/>
      <c r="I37" s="3686"/>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Q32" sqref="Q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115364</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7691</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84" t="s">
        <v>493</v>
      </c>
      <c r="D6" s="3885"/>
      <c r="E6" s="3909" t="s">
        <v>494</v>
      </c>
      <c r="F6" s="3910"/>
      <c r="G6" s="3884" t="s">
        <v>495</v>
      </c>
      <c r="H6" s="3885"/>
      <c r="I6" s="3884" t="s">
        <v>496</v>
      </c>
      <c r="J6" s="3885"/>
      <c r="K6" s="505" t="s">
        <v>497</v>
      </c>
      <c r="L6" s="2011"/>
      <c r="M6" s="2012"/>
      <c r="N6" s="2012"/>
      <c r="O6" s="2012"/>
      <c r="P6" s="3886" t="s">
        <v>498</v>
      </c>
      <c r="Q6" s="3887"/>
      <c r="R6" s="3872" t="s">
        <v>494</v>
      </c>
      <c r="S6" s="3873"/>
      <c r="T6" s="3872" t="s">
        <v>495</v>
      </c>
      <c r="U6" s="3873"/>
      <c r="V6" s="3892" t="s">
        <v>496</v>
      </c>
      <c r="W6" s="3892"/>
      <c r="X6" s="1497"/>
      <c r="Y6" s="3872" t="s">
        <v>498</v>
      </c>
      <c r="Z6" s="3873"/>
      <c r="AA6" s="3867" t="s">
        <v>494</v>
      </c>
      <c r="AB6" s="3868" t="s">
        <v>495</v>
      </c>
      <c r="AC6" s="3867" t="s">
        <v>496</v>
      </c>
    </row>
    <row r="7" spans="1:29" ht="15">
      <c r="A7" s="506"/>
      <c r="B7" s="507"/>
      <c r="C7" s="3895" t="s">
        <v>2871</v>
      </c>
      <c r="D7" s="3896"/>
      <c r="E7" s="3911" t="s">
        <v>2872</v>
      </c>
      <c r="F7" s="3912"/>
      <c r="G7" s="3895" t="s">
        <v>2873</v>
      </c>
      <c r="H7" s="3896"/>
      <c r="I7" s="3895" t="s">
        <v>2874</v>
      </c>
      <c r="J7" s="3896"/>
      <c r="K7" s="505"/>
      <c r="L7" s="2011"/>
      <c r="M7" s="2012"/>
      <c r="N7" s="2012"/>
      <c r="O7" s="2012"/>
      <c r="P7" s="3888"/>
      <c r="Q7" s="3889"/>
      <c r="R7" s="3874"/>
      <c r="S7" s="3875"/>
      <c r="T7" s="3874"/>
      <c r="U7" s="3875"/>
      <c r="V7" s="3892"/>
      <c r="W7" s="3892"/>
      <c r="X7" s="1497"/>
      <c r="Y7" s="3874"/>
      <c r="Z7" s="3875"/>
      <c r="AA7" s="3868"/>
      <c r="AB7" s="3868"/>
      <c r="AC7" s="3868"/>
    </row>
    <row r="8" spans="1:29" ht="15.75" thickBot="1">
      <c r="A8" s="508"/>
      <c r="B8" s="509"/>
      <c r="C8" s="3893" t="s">
        <v>2875</v>
      </c>
      <c r="D8" s="3894"/>
      <c r="E8" s="3913" t="s">
        <v>2875</v>
      </c>
      <c r="F8" s="3914"/>
      <c r="G8" s="3893" t="s">
        <v>2875</v>
      </c>
      <c r="H8" s="3894"/>
      <c r="I8" s="3893" t="s">
        <v>2875</v>
      </c>
      <c r="J8" s="3894"/>
      <c r="K8" s="505" t="s">
        <v>499</v>
      </c>
      <c r="L8" s="2011"/>
      <c r="M8" s="2012"/>
      <c r="N8" s="2012"/>
      <c r="O8" s="2012"/>
      <c r="P8" s="3890"/>
      <c r="Q8" s="3891"/>
      <c r="R8" s="3874"/>
      <c r="S8" s="3875"/>
      <c r="T8" s="3876"/>
      <c r="U8" s="3877"/>
      <c r="V8" s="3892"/>
      <c r="W8" s="3892"/>
      <c r="X8" s="1497"/>
      <c r="Y8" s="3876"/>
      <c r="Z8" s="3877"/>
      <c r="AA8" s="3869"/>
      <c r="AB8" s="3869"/>
      <c r="AC8" s="3869"/>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70" t="s">
        <v>501</v>
      </c>
      <c r="Q9" s="3879"/>
      <c r="R9" s="1498" t="s">
        <v>8</v>
      </c>
      <c r="S9" s="1499">
        <f t="shared" ref="S9:S17" si="0">F9</f>
        <v>0</v>
      </c>
      <c r="T9" s="1498" t="s">
        <v>8</v>
      </c>
      <c r="U9" s="1499">
        <f t="shared" ref="U9:U17" si="1">H9</f>
        <v>0</v>
      </c>
      <c r="V9" s="1498" t="s">
        <v>8</v>
      </c>
      <c r="W9" s="1499">
        <f t="shared" ref="W9:W17" si="2">J9</f>
        <v>0</v>
      </c>
      <c r="X9" s="1500"/>
      <c r="Y9" s="3870" t="s">
        <v>501</v>
      </c>
      <c r="Z9" s="3871"/>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70" t="s">
        <v>504</v>
      </c>
      <c r="Q10" s="3871"/>
      <c r="R10" s="1498" t="s">
        <v>8</v>
      </c>
      <c r="S10" s="1499">
        <f t="shared" si="0"/>
        <v>0</v>
      </c>
      <c r="T10" s="1498" t="s">
        <v>8</v>
      </c>
      <c r="U10" s="1499">
        <f t="shared" si="1"/>
        <v>0</v>
      </c>
      <c r="V10" s="1498" t="s">
        <v>8</v>
      </c>
      <c r="W10" s="1499">
        <f t="shared" si="2"/>
        <v>0</v>
      </c>
      <c r="X10" s="1500"/>
      <c r="Y10" s="3870" t="s">
        <v>504</v>
      </c>
      <c r="Z10" s="3871"/>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78" t="s">
        <v>506</v>
      </c>
      <c r="Q11" s="1131" t="str">
        <f t="shared" ref="Q11:Q17" si="6">B11</f>
        <v>用途</v>
      </c>
      <c r="R11" s="1498" t="s">
        <v>8</v>
      </c>
      <c r="S11" s="1499">
        <f t="shared" si="0"/>
        <v>100</v>
      </c>
      <c r="T11" s="1498" t="s">
        <v>8</v>
      </c>
      <c r="U11" s="1499">
        <f t="shared" si="1"/>
        <v>100</v>
      </c>
      <c r="V11" s="1498" t="s">
        <v>8</v>
      </c>
      <c r="W11" s="1499">
        <f t="shared" si="2"/>
        <v>100</v>
      </c>
      <c r="X11" s="1500"/>
      <c r="Y11" s="3829"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78"/>
      <c r="Q12" s="1131" t="str">
        <f t="shared" si="6"/>
        <v>土地使用年限（年）</v>
      </c>
      <c r="R12" s="1498" t="s">
        <v>8</v>
      </c>
      <c r="S12" s="1499">
        <f t="shared" si="0"/>
        <v>100</v>
      </c>
      <c r="T12" s="1498" t="s">
        <v>8</v>
      </c>
      <c r="U12" s="1499">
        <f t="shared" si="1"/>
        <v>100</v>
      </c>
      <c r="V12" s="1498" t="s">
        <v>8</v>
      </c>
      <c r="W12" s="1499">
        <f t="shared" si="2"/>
        <v>100</v>
      </c>
      <c r="X12" s="1500"/>
      <c r="Y12" s="3829"/>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78"/>
      <c r="Q13" s="1131" t="str">
        <f t="shared" si="6"/>
        <v>容积率</v>
      </c>
      <c r="R13" s="1498" t="s">
        <v>8</v>
      </c>
      <c r="S13" s="1499" t="e">
        <f t="shared" si="0"/>
        <v>#N/A</v>
      </c>
      <c r="T13" s="1498" t="s">
        <v>8</v>
      </c>
      <c r="U13" s="1499" t="e">
        <f t="shared" si="1"/>
        <v>#N/A</v>
      </c>
      <c r="V13" s="1498" t="s">
        <v>8</v>
      </c>
      <c r="W13" s="1499" t="e">
        <f t="shared" si="2"/>
        <v>#N/A</v>
      </c>
      <c r="X13" s="1500"/>
      <c r="Y13" s="3829"/>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78"/>
      <c r="Q15" s="1131">
        <f t="shared" si="6"/>
        <v>111</v>
      </c>
      <c r="R15" s="1498" t="s">
        <v>8</v>
      </c>
      <c r="S15" s="1499">
        <f t="shared" si="0"/>
        <v>100</v>
      </c>
      <c r="T15" s="1498" t="s">
        <v>8</v>
      </c>
      <c r="U15" s="1499">
        <f t="shared" si="1"/>
        <v>100</v>
      </c>
      <c r="V15" s="1498" t="s">
        <v>8</v>
      </c>
      <c r="W15" s="1499">
        <f t="shared" si="2"/>
        <v>100</v>
      </c>
      <c r="X15" s="1500"/>
      <c r="Y15" s="3829"/>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78"/>
      <c r="Q16" s="1131">
        <f t="shared" si="6"/>
        <v>111</v>
      </c>
      <c r="R16" s="1498" t="s">
        <v>8</v>
      </c>
      <c r="S16" s="1499">
        <f t="shared" si="0"/>
        <v>100</v>
      </c>
      <c r="T16" s="1498" t="s">
        <v>8</v>
      </c>
      <c r="U16" s="1499">
        <f t="shared" si="1"/>
        <v>100</v>
      </c>
      <c r="V16" s="1498" t="s">
        <v>8</v>
      </c>
      <c r="W16" s="1499">
        <f t="shared" si="2"/>
        <v>100</v>
      </c>
      <c r="X16" s="1500"/>
      <c r="Y16" s="3829"/>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80" t="s">
        <v>511</v>
      </c>
      <c r="Q17" s="1502" t="str">
        <f t="shared" si="6"/>
        <v>产业集聚程度</v>
      </c>
      <c r="R17" s="1503" t="s">
        <v>8</v>
      </c>
      <c r="S17" s="1504">
        <f t="shared" si="0"/>
        <v>100</v>
      </c>
      <c r="T17" s="1503" t="s">
        <v>8</v>
      </c>
      <c r="U17" s="1504">
        <f t="shared" si="1"/>
        <v>100</v>
      </c>
      <c r="V17" s="1503" t="s">
        <v>8</v>
      </c>
      <c r="W17" s="1504">
        <f t="shared" si="2"/>
        <v>100</v>
      </c>
      <c r="X17" s="1497"/>
      <c r="Y17" s="3880"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81"/>
      <c r="Q18" s="1502"/>
      <c r="R18" s="1503"/>
      <c r="S18" s="1504"/>
      <c r="T18" s="1503"/>
      <c r="U18" s="1504"/>
      <c r="V18" s="1503"/>
      <c r="W18" s="1504"/>
      <c r="X18" s="1497"/>
      <c r="Y18" s="3881"/>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81"/>
      <c r="Q19" s="1502" t="str">
        <f>B19</f>
        <v>交通便捷度</v>
      </c>
      <c r="R19" s="1503" t="s">
        <v>8</v>
      </c>
      <c r="S19" s="1504">
        <f>F19</f>
        <v>100</v>
      </c>
      <c r="T19" s="1503" t="s">
        <v>8</v>
      </c>
      <c r="U19" s="1504">
        <f>H19</f>
        <v>100</v>
      </c>
      <c r="V19" s="1503" t="s">
        <v>8</v>
      </c>
      <c r="W19" s="1504">
        <f>J19</f>
        <v>100</v>
      </c>
      <c r="X19" s="1497"/>
      <c r="Y19" s="3881"/>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81"/>
      <c r="Q21" s="1502" t="str">
        <f t="shared" ref="Q21:Q35" si="8">B21</f>
        <v>区域土地利用方向</v>
      </c>
      <c r="R21" s="1503" t="s">
        <v>8</v>
      </c>
      <c r="S21" s="1504">
        <f>F21</f>
        <v>100</v>
      </c>
      <c r="T21" s="1503" t="s">
        <v>8</v>
      </c>
      <c r="U21" s="1504">
        <f>H21</f>
        <v>100</v>
      </c>
      <c r="V21" s="1503" t="s">
        <v>8</v>
      </c>
      <c r="W21" s="1504">
        <f>J21</f>
        <v>100</v>
      </c>
      <c r="X21" s="1497"/>
      <c r="Y21" s="3881"/>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81"/>
      <c r="Q22" s="1502"/>
      <c r="R22" s="1503"/>
      <c r="S22" s="1504"/>
      <c r="T22" s="1503"/>
      <c r="U22" s="1504"/>
      <c r="V22" s="1503"/>
      <c r="W22" s="1504"/>
      <c r="X22" s="1497"/>
      <c r="Y22" s="3881"/>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81"/>
      <c r="Q23" s="1502" t="str">
        <f t="shared" si="8"/>
        <v>环境状况</v>
      </c>
      <c r="R23" s="1503" t="s">
        <v>8</v>
      </c>
      <c r="S23" s="1504">
        <f>F23</f>
        <v>100</v>
      </c>
      <c r="T23" s="1503" t="s">
        <v>8</v>
      </c>
      <c r="U23" s="1504">
        <f>H23</f>
        <v>100</v>
      </c>
      <c r="V23" s="1503" t="s">
        <v>8</v>
      </c>
      <c r="W23" s="1504">
        <f>J23</f>
        <v>100</v>
      </c>
      <c r="X23" s="1497"/>
      <c r="Y23" s="3881"/>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81"/>
      <c r="Q24" s="1502"/>
      <c r="R24" s="1503"/>
      <c r="S24" s="1504"/>
      <c r="T24" s="1503"/>
      <c r="U24" s="1504"/>
      <c r="V24" s="1503"/>
      <c r="W24" s="1504"/>
      <c r="X24" s="1497"/>
      <c r="Y24" s="3881"/>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81"/>
      <c r="Q25" s="1131" t="str">
        <f t="shared" si="8"/>
        <v>公共配套设施</v>
      </c>
      <c r="R25" s="1498" t="s">
        <v>8</v>
      </c>
      <c r="S25" s="1499">
        <f>F25</f>
        <v>100</v>
      </c>
      <c r="T25" s="1498" t="s">
        <v>8</v>
      </c>
      <c r="U25" s="1499">
        <f>H25</f>
        <v>100</v>
      </c>
      <c r="V25" s="1498" t="s">
        <v>8</v>
      </c>
      <c r="W25" s="1499">
        <f>J25</f>
        <v>100</v>
      </c>
      <c r="X25" s="1500"/>
      <c r="Y25" s="3881"/>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81"/>
      <c r="Q26" s="1131"/>
      <c r="R26" s="1498"/>
      <c r="S26" s="1499"/>
      <c r="T26" s="1498"/>
      <c r="U26" s="1499"/>
      <c r="V26" s="1498"/>
      <c r="W26" s="1499"/>
      <c r="X26" s="1500"/>
      <c r="Y26" s="3881"/>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81"/>
      <c r="Q27" s="2424" t="str">
        <f t="shared" ref="Q27" si="9">B27</f>
        <v>基础设施水平</v>
      </c>
      <c r="R27" s="1498" t="s">
        <v>8</v>
      </c>
      <c r="S27" s="1499">
        <f>F27</f>
        <v>100</v>
      </c>
      <c r="T27" s="1498" t="s">
        <v>8</v>
      </c>
      <c r="U27" s="1499">
        <f>H27</f>
        <v>100</v>
      </c>
      <c r="V27" s="1498" t="s">
        <v>8</v>
      </c>
      <c r="W27" s="1499">
        <f>J27</f>
        <v>100</v>
      </c>
      <c r="X27" s="1500"/>
      <c r="Y27" s="3881"/>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81"/>
      <c r="Q28" s="2424"/>
      <c r="R28" s="1498"/>
      <c r="S28" s="1499"/>
      <c r="T28" s="1498"/>
      <c r="U28" s="1499"/>
      <c r="V28" s="1498"/>
      <c r="W28" s="1499"/>
      <c r="X28" s="1500"/>
      <c r="Y28" s="3881"/>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81"/>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81"/>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81"/>
      <c r="Q30" s="1502" t="str">
        <f t="shared" si="8"/>
        <v>毗邻道路的类型与等级</v>
      </c>
      <c r="R30" s="1503" t="s">
        <v>8</v>
      </c>
      <c r="S30" s="1504">
        <f t="shared" si="10"/>
        <v>100</v>
      </c>
      <c r="T30" s="1503" t="s">
        <v>8</v>
      </c>
      <c r="U30" s="1504">
        <f t="shared" si="11"/>
        <v>100</v>
      </c>
      <c r="V30" s="1503" t="s">
        <v>8</v>
      </c>
      <c r="W30" s="1504">
        <f t="shared" si="12"/>
        <v>100</v>
      </c>
      <c r="X30" s="1497"/>
      <c r="Y30" s="3881"/>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81"/>
      <c r="Q31" s="1502"/>
      <c r="R31" s="1503"/>
      <c r="S31" s="1504"/>
      <c r="T31" s="1503"/>
      <c r="U31" s="1504"/>
      <c r="V31" s="1503"/>
      <c r="W31" s="1504"/>
      <c r="X31" s="1497"/>
      <c r="Y31" s="3881"/>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81"/>
      <c r="Q32" s="1502" t="str">
        <f t="shared" si="8"/>
        <v>土地级别</v>
      </c>
      <c r="R32" s="1503" t="s">
        <v>8</v>
      </c>
      <c r="S32" s="1504">
        <f t="shared" si="10"/>
        <v>100</v>
      </c>
      <c r="T32" s="1503" t="s">
        <v>8</v>
      </c>
      <c r="U32" s="1504">
        <f t="shared" si="11"/>
        <v>100</v>
      </c>
      <c r="V32" s="1503" t="s">
        <v>8</v>
      </c>
      <c r="W32" s="1504">
        <f t="shared" si="12"/>
        <v>100</v>
      </c>
      <c r="X32" s="1497"/>
      <c r="Y32" s="3881"/>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81"/>
      <c r="Q33" s="1502">
        <f t="shared" si="8"/>
        <v>111</v>
      </c>
      <c r="R33" s="1503" t="s">
        <v>8</v>
      </c>
      <c r="S33" s="1504">
        <f t="shared" si="10"/>
        <v>100</v>
      </c>
      <c r="T33" s="1503" t="s">
        <v>8</v>
      </c>
      <c r="U33" s="1504">
        <f t="shared" si="11"/>
        <v>100</v>
      </c>
      <c r="V33" s="1503" t="s">
        <v>8</v>
      </c>
      <c r="W33" s="1504">
        <f t="shared" si="12"/>
        <v>100</v>
      </c>
      <c r="X33" s="1497"/>
      <c r="Y33" s="3881"/>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82" t="s">
        <v>521</v>
      </c>
      <c r="Q34" s="1502">
        <f t="shared" si="8"/>
        <v>111</v>
      </c>
      <c r="R34" s="1503" t="s">
        <v>8</v>
      </c>
      <c r="S34" s="1504">
        <f t="shared" si="10"/>
        <v>100</v>
      </c>
      <c r="T34" s="1503" t="s">
        <v>8</v>
      </c>
      <c r="U34" s="1504">
        <f t="shared" si="11"/>
        <v>100</v>
      </c>
      <c r="V34" s="1503" t="s">
        <v>8</v>
      </c>
      <c r="W34" s="1504">
        <f t="shared" si="12"/>
        <v>100</v>
      </c>
      <c r="X34" s="1497"/>
      <c r="Y34" s="3883"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883"/>
      <c r="Q35" s="1502">
        <f t="shared" si="8"/>
        <v>111</v>
      </c>
      <c r="R35" s="1507" t="s">
        <v>8</v>
      </c>
      <c r="S35" s="1508">
        <f t="shared" si="10"/>
        <v>100</v>
      </c>
      <c r="T35" s="1507" t="s">
        <v>8</v>
      </c>
      <c r="U35" s="1508">
        <f t="shared" si="11"/>
        <v>100</v>
      </c>
      <c r="V35" s="1507" t="s">
        <v>8</v>
      </c>
      <c r="W35" s="1508">
        <f t="shared" si="12"/>
        <v>100</v>
      </c>
      <c r="X35" s="1509"/>
      <c r="Y35" s="3883"/>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883"/>
      <c r="Q36" s="1502" t="str">
        <f>B36</f>
        <v>宗地面积</v>
      </c>
      <c r="R36" s="1503" t="s">
        <v>8</v>
      </c>
      <c r="S36" s="1504" t="e">
        <f t="shared" si="10"/>
        <v>#N/A</v>
      </c>
      <c r="T36" s="1503" t="s">
        <v>8</v>
      </c>
      <c r="U36" s="1504" t="e">
        <f t="shared" si="11"/>
        <v>#N/A</v>
      </c>
      <c r="V36" s="1503" t="s">
        <v>8</v>
      </c>
      <c r="W36" s="1504" t="e">
        <f t="shared" si="12"/>
        <v>#N/A</v>
      </c>
      <c r="X36" s="1497"/>
      <c r="Y36" s="3883"/>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883"/>
      <c r="Q37" s="1502" t="str">
        <f t="shared" ref="Q37:Q42" si="14">B37</f>
        <v>宗地形状</v>
      </c>
      <c r="R37" s="1503" t="s">
        <v>8</v>
      </c>
      <c r="S37" s="1504">
        <f t="shared" si="10"/>
        <v>100</v>
      </c>
      <c r="T37" s="1503" t="s">
        <v>8</v>
      </c>
      <c r="U37" s="1504">
        <f t="shared" si="11"/>
        <v>100</v>
      </c>
      <c r="V37" s="1503" t="s">
        <v>8</v>
      </c>
      <c r="W37" s="1504">
        <f t="shared" si="12"/>
        <v>100</v>
      </c>
      <c r="X37" s="1497"/>
      <c r="Y37" s="3883"/>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883"/>
      <c r="Q38" s="1502" t="str">
        <f t="shared" si="14"/>
        <v>宗地开发程度</v>
      </c>
      <c r="R38" s="1498" t="s">
        <v>8</v>
      </c>
      <c r="S38" s="1499">
        <f t="shared" si="10"/>
        <v>100</v>
      </c>
      <c r="T38" s="1498" t="s">
        <v>8</v>
      </c>
      <c r="U38" s="1499">
        <f t="shared" si="11"/>
        <v>100</v>
      </c>
      <c r="V38" s="1498" t="s">
        <v>8</v>
      </c>
      <c r="W38" s="1499">
        <f t="shared" si="12"/>
        <v>100</v>
      </c>
      <c r="X38" s="1500"/>
      <c r="Y38" s="3883"/>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3" t="s">
        <v>572</v>
      </c>
      <c r="Q39" s="1502" t="str">
        <f t="shared" si="14"/>
        <v>工程地质条件</v>
      </c>
      <c r="R39" s="1503" t="s">
        <v>8</v>
      </c>
      <c r="S39" s="1504">
        <f t="shared" si="10"/>
        <v>100</v>
      </c>
      <c r="T39" s="1503" t="s">
        <v>8</v>
      </c>
      <c r="U39" s="1504">
        <f t="shared" si="11"/>
        <v>100</v>
      </c>
      <c r="V39" s="1503" t="s">
        <v>8</v>
      </c>
      <c r="W39" s="1504">
        <f t="shared" si="12"/>
        <v>100</v>
      </c>
      <c r="X39" s="1497"/>
      <c r="Y39" s="3883"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883"/>
      <c r="Q40" s="1502">
        <f t="shared" si="14"/>
        <v>111</v>
      </c>
      <c r="R40" s="1503" t="s">
        <v>8</v>
      </c>
      <c r="S40" s="1504">
        <f t="shared" si="10"/>
        <v>100</v>
      </c>
      <c r="T40" s="1503" t="s">
        <v>8</v>
      </c>
      <c r="U40" s="1504">
        <f t="shared" si="11"/>
        <v>100</v>
      </c>
      <c r="V40" s="1503" t="s">
        <v>8</v>
      </c>
      <c r="W40" s="1504">
        <f t="shared" si="12"/>
        <v>100</v>
      </c>
      <c r="X40" s="1497"/>
      <c r="Y40" s="3883"/>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883"/>
      <c r="Q41" s="1502">
        <f t="shared" si="14"/>
        <v>111</v>
      </c>
      <c r="R41" s="1503" t="s">
        <v>8</v>
      </c>
      <c r="S41" s="1504">
        <f t="shared" si="10"/>
        <v>100</v>
      </c>
      <c r="T41" s="1503" t="s">
        <v>8</v>
      </c>
      <c r="U41" s="1504">
        <f t="shared" si="11"/>
        <v>100</v>
      </c>
      <c r="V41" s="1503" t="s">
        <v>8</v>
      </c>
      <c r="W41" s="1504">
        <f t="shared" si="12"/>
        <v>100</v>
      </c>
      <c r="X41" s="1497"/>
      <c r="Y41" s="3883"/>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883"/>
      <c r="Q42" s="1502">
        <f t="shared" si="14"/>
        <v>111</v>
      </c>
      <c r="R42" s="1507" t="s">
        <v>8</v>
      </c>
      <c r="S42" s="1508">
        <f t="shared" si="10"/>
        <v>100</v>
      </c>
      <c r="T42" s="1507" t="s">
        <v>8</v>
      </c>
      <c r="U42" s="1508">
        <f t="shared" si="11"/>
        <v>100</v>
      </c>
      <c r="V42" s="1507" t="s">
        <v>8</v>
      </c>
      <c r="W42" s="1508">
        <f t="shared" si="12"/>
        <v>100</v>
      </c>
      <c r="X42" s="1509"/>
      <c r="Y42" s="3883"/>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78" t="str">
        <f>A43</f>
        <v>成交单价</v>
      </c>
      <c r="Q43" s="3878"/>
      <c r="R43" s="3892">
        <f>E43</f>
        <v>0</v>
      </c>
      <c r="S43" s="3892"/>
      <c r="T43" s="3892">
        <f>G43</f>
        <v>0</v>
      </c>
      <c r="U43" s="3892"/>
      <c r="V43" s="3892">
        <f>I43</f>
        <v>0</v>
      </c>
      <c r="W43" s="3892"/>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78" t="str">
        <f>A44</f>
        <v>比较价格（元/平方米）</v>
      </c>
      <c r="Q44" s="3878"/>
      <c r="R44" s="3902" t="e">
        <f>ROUND(PRODUCT(R43,AA9:AA42),0)</f>
        <v>#DIV/0!</v>
      </c>
      <c r="S44" s="3902"/>
      <c r="T44" s="3902" t="e">
        <f>ROUND(PRODUCT(T43,AB9:AB42),0)</f>
        <v>#DIV/0!</v>
      </c>
      <c r="U44" s="3902"/>
      <c r="V44" s="3902" t="e">
        <f>ROUND(PRODUCT(V43,AC9:AC42),0)</f>
        <v>#DIV/0!</v>
      </c>
      <c r="W44" s="3902"/>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99" t="str">
        <f>A45</f>
        <v>估价对象XX用房的比较价格（楼面单价，元/平方米）</v>
      </c>
      <c r="Q45" s="3900"/>
      <c r="R45" s="3908" t="e">
        <f>ROUND(IF(D44="简单平均",AVERAGE(R44:W44),R44*F44+T44*H44+V44*J44),0)</f>
        <v>#DIV/0!</v>
      </c>
      <c r="S45" s="3908"/>
      <c r="T45" s="3908"/>
      <c r="U45" s="3908"/>
      <c r="V45" s="3908"/>
      <c r="W45" s="3908"/>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3" t="s">
        <v>2248</v>
      </c>
      <c r="H52" s="3904"/>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5"/>
      <c r="H53" s="3906"/>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07"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07"/>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07"/>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07"/>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19077.810000000001</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16"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17"/>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27" t="s">
        <v>2738</v>
      </c>
      <c r="X8" s="3928"/>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17"/>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26"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17"/>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26"/>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17"/>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26"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16"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26"/>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18"/>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26"/>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18"/>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19"/>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16" t="s">
        <v>1805</v>
      </c>
      <c r="B16" s="1371" t="s">
        <v>918</v>
      </c>
      <c r="C16" s="1036" t="e">
        <f>ROUND(IF(F17="与级别开发程度一致",0,(G17-E17)/C17),0)</f>
        <v>#DIV/0!</v>
      </c>
      <c r="D16" s="3934" t="s">
        <v>922</v>
      </c>
      <c r="E16" s="3935"/>
      <c r="F16" s="3934" t="s">
        <v>919</v>
      </c>
      <c r="G16" s="3935"/>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20"/>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3"/>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3"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4"/>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4"/>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4"/>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4"/>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5"/>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5"/>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21" t="s">
        <v>1601</v>
      </c>
      <c r="B90" s="3921"/>
      <c r="C90" s="3921"/>
      <c r="D90" s="3921"/>
      <c r="E90" s="3921"/>
      <c r="F90" s="3921"/>
      <c r="G90" s="3921"/>
      <c r="H90" s="3921"/>
      <c r="I90" s="3921"/>
      <c r="J90" s="3921"/>
      <c r="K90" s="2301"/>
      <c r="L90" s="2301"/>
      <c r="M90" s="2301"/>
      <c r="N90" s="2301"/>
    </row>
    <row r="91" spans="1:40">
      <c r="A91" s="3922" t="s">
        <v>1411</v>
      </c>
      <c r="B91" s="3922" t="s">
        <v>1602</v>
      </c>
      <c r="C91" s="1120" t="s">
        <v>1603</v>
      </c>
      <c r="D91" s="1121"/>
      <c r="E91" s="1121"/>
      <c r="F91" s="1121"/>
      <c r="G91" s="1121"/>
      <c r="H91" s="1121"/>
      <c r="I91" s="1121"/>
      <c r="J91" s="1122"/>
      <c r="K91" s="1114"/>
      <c r="L91" s="1114"/>
      <c r="M91" s="1114"/>
      <c r="N91" s="1114"/>
    </row>
    <row r="92" spans="1:40">
      <c r="A92" s="3922"/>
      <c r="B92" s="3922"/>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29"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30"/>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30"/>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30"/>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30"/>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30"/>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30"/>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31"/>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29"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30"/>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30"/>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30"/>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30"/>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30"/>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30"/>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30"/>
      <c r="B108" s="3932"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31"/>
      <c r="B109" s="3933"/>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15" t="s">
        <v>1607</v>
      </c>
      <c r="B110" s="3915"/>
      <c r="C110" s="3915"/>
      <c r="D110" s="3915"/>
      <c r="E110" s="3915"/>
      <c r="F110" s="3915"/>
      <c r="G110" s="3915"/>
      <c r="H110" s="3915"/>
      <c r="I110" s="3915"/>
      <c r="J110" s="3915"/>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22" t="s">
        <v>975</v>
      </c>
      <c r="B18" s="1134" t="s">
        <v>1414</v>
      </c>
      <c r="C18" s="1111" t="s">
        <v>1415</v>
      </c>
      <c r="D18" s="1112"/>
      <c r="E18" s="1134">
        <v>1</v>
      </c>
      <c r="F18" s="1113" t="s">
        <v>1416</v>
      </c>
      <c r="G18" s="1114"/>
      <c r="H18" s="1085"/>
      <c r="I18" s="1085"/>
    </row>
    <row r="19" spans="1:9" s="1525" customFormat="1" ht="19.5" customHeight="1">
      <c r="A19" s="3922"/>
      <c r="B19" s="3922" t="s">
        <v>1417</v>
      </c>
      <c r="C19" s="1111" t="s">
        <v>1418</v>
      </c>
      <c r="D19" s="1112"/>
      <c r="E19" s="1134">
        <v>0.9</v>
      </c>
      <c r="F19" s="1113" t="s">
        <v>1419</v>
      </c>
      <c r="G19" s="1114"/>
      <c r="H19" s="1085"/>
      <c r="I19" s="1085"/>
    </row>
    <row r="20" spans="1:9" s="1525" customFormat="1" ht="19.5" customHeight="1">
      <c r="A20" s="3922"/>
      <c r="B20" s="3922"/>
      <c r="C20" s="1111" t="s">
        <v>1420</v>
      </c>
      <c r="D20" s="1112"/>
      <c r="E20" s="1134">
        <v>1.1000000000000001</v>
      </c>
      <c r="F20" s="1113" t="s">
        <v>1421</v>
      </c>
      <c r="G20" s="1114"/>
      <c r="H20" s="1085"/>
      <c r="I20" s="1085"/>
    </row>
    <row r="21" spans="1:9" s="1525" customFormat="1" ht="19.5" customHeight="1">
      <c r="A21" s="3922"/>
      <c r="B21" s="3922"/>
      <c r="C21" s="1111" t="s">
        <v>1422</v>
      </c>
      <c r="D21" s="1112"/>
      <c r="E21" s="1134">
        <v>0.8</v>
      </c>
      <c r="F21" s="1113" t="s">
        <v>1423</v>
      </c>
      <c r="G21" s="1114"/>
      <c r="H21" s="1085"/>
      <c r="I21" s="1085"/>
    </row>
    <row r="22" spans="1:9" s="1525" customFormat="1" ht="19.5" customHeight="1">
      <c r="A22" s="3922"/>
      <c r="B22" s="3922"/>
      <c r="C22" s="1111" t="s">
        <v>1424</v>
      </c>
      <c r="D22" s="1112"/>
      <c r="E22" s="1134">
        <v>0.5</v>
      </c>
      <c r="F22" s="1113"/>
      <c r="G22" s="1114"/>
      <c r="H22" s="1085"/>
      <c r="I22" s="1085"/>
    </row>
    <row r="23" spans="1:9" s="1525" customFormat="1" ht="19.5" customHeight="1">
      <c r="A23" s="3922" t="s">
        <v>997</v>
      </c>
      <c r="B23" s="1134" t="s">
        <v>1414</v>
      </c>
      <c r="C23" s="1111" t="s">
        <v>1425</v>
      </c>
      <c r="D23" s="1112"/>
      <c r="E23" s="1134">
        <v>1</v>
      </c>
      <c r="F23" s="1113" t="s">
        <v>1426</v>
      </c>
      <c r="G23" s="1114"/>
      <c r="H23" s="1085"/>
      <c r="I23" s="1085"/>
    </row>
    <row r="24" spans="1:9" s="1525" customFormat="1" ht="19.5" customHeight="1">
      <c r="A24" s="3922"/>
      <c r="B24" s="3922" t="s">
        <v>1417</v>
      </c>
      <c r="C24" s="1111" t="s">
        <v>1427</v>
      </c>
      <c r="D24" s="1112"/>
      <c r="E24" s="1134">
        <v>0.5</v>
      </c>
      <c r="F24" s="1113"/>
      <c r="G24" s="1114"/>
      <c r="H24" s="1085"/>
      <c r="I24" s="1085"/>
    </row>
    <row r="25" spans="1:9" s="1525" customFormat="1" ht="19.5" customHeight="1">
      <c r="A25" s="3922"/>
      <c r="B25" s="3922"/>
      <c r="C25" s="1111" t="s">
        <v>1428</v>
      </c>
      <c r="D25" s="1112"/>
      <c r="E25" s="1134">
        <v>1.1000000000000001</v>
      </c>
      <c r="F25" s="1113"/>
      <c r="G25" s="1114"/>
      <c r="H25" s="1085"/>
      <c r="I25" s="1085"/>
    </row>
    <row r="26" spans="1:9" s="1525" customFormat="1" ht="19.5" customHeight="1">
      <c r="A26" s="3922"/>
      <c r="B26" s="3922"/>
      <c r="C26" s="1111" t="s">
        <v>1429</v>
      </c>
      <c r="D26" s="1112"/>
      <c r="E26" s="1134">
        <v>1.1000000000000001</v>
      </c>
      <c r="F26" s="1113"/>
      <c r="G26" s="1114"/>
      <c r="H26" s="1085"/>
      <c r="I26" s="1085"/>
    </row>
    <row r="27" spans="1:9" s="1525" customFormat="1" ht="19.5" customHeight="1">
      <c r="A27" s="3922"/>
      <c r="B27" s="3922"/>
      <c r="C27" s="1111" t="s">
        <v>1430</v>
      </c>
      <c r="D27" s="1112"/>
      <c r="E27" s="1134">
        <v>0.9</v>
      </c>
      <c r="F27" s="1113" t="s">
        <v>1431</v>
      </c>
      <c r="G27" s="1114"/>
      <c r="H27" s="1085"/>
      <c r="I27" s="1085"/>
    </row>
    <row r="28" spans="1:9" s="1525" customFormat="1" ht="19.5" customHeight="1">
      <c r="A28" s="3922"/>
      <c r="B28" s="3922"/>
      <c r="C28" s="1111" t="s">
        <v>1432</v>
      </c>
      <c r="D28" s="1112"/>
      <c r="E28" s="1134">
        <v>0.9</v>
      </c>
      <c r="F28" s="1113" t="s">
        <v>1433</v>
      </c>
      <c r="G28" s="1114"/>
      <c r="H28" s="1085"/>
      <c r="I28" s="1085"/>
    </row>
    <row r="29" spans="1:9" s="1525" customFormat="1" ht="19.5" customHeight="1">
      <c r="A29" s="3922"/>
      <c r="B29" s="3922"/>
      <c r="C29" s="1111" t="s">
        <v>1434</v>
      </c>
      <c r="D29" s="1112"/>
      <c r="E29" s="1134">
        <v>0.9</v>
      </c>
      <c r="F29" s="1113" t="s">
        <v>1435</v>
      </c>
      <c r="G29" s="1114"/>
      <c r="H29" s="1085"/>
      <c r="I29" s="1085"/>
    </row>
    <row r="30" spans="1:9" s="1525" customFormat="1" ht="19.5" customHeight="1">
      <c r="A30" s="3922"/>
      <c r="B30" s="3922"/>
      <c r="C30" s="1111" t="s">
        <v>1436</v>
      </c>
      <c r="D30" s="1112"/>
      <c r="E30" s="1134">
        <v>0.9</v>
      </c>
      <c r="F30" s="1113" t="s">
        <v>1437</v>
      </c>
      <c r="G30" s="1114"/>
      <c r="H30" s="1085"/>
      <c r="I30" s="1085"/>
    </row>
    <row r="31" spans="1:9" s="1525" customFormat="1" ht="19.5" customHeight="1">
      <c r="A31" s="3922"/>
      <c r="B31" s="3922"/>
      <c r="C31" s="1111" t="s">
        <v>1438</v>
      </c>
      <c r="D31" s="1112"/>
      <c r="E31" s="1134">
        <v>0.8</v>
      </c>
      <c r="F31" s="1113" t="s">
        <v>1439</v>
      </c>
      <c r="G31" s="1114"/>
      <c r="H31" s="1085"/>
      <c r="I31" s="1085"/>
    </row>
    <row r="32" spans="1:9" s="1525" customFormat="1" ht="19.5" customHeight="1">
      <c r="A32" s="3922"/>
      <c r="B32" s="3922"/>
      <c r="C32" s="1111" t="s">
        <v>1440</v>
      </c>
      <c r="D32" s="1112"/>
      <c r="E32" s="1134">
        <v>0.8</v>
      </c>
      <c r="F32" s="1113" t="s">
        <v>1441</v>
      </c>
      <c r="G32" s="1114"/>
      <c r="H32" s="1085"/>
      <c r="I32" s="1085"/>
    </row>
    <row r="33" spans="1:9" s="1525" customFormat="1" ht="19.5" customHeight="1">
      <c r="A33" s="3922" t="s">
        <v>1442</v>
      </c>
      <c r="B33" s="1134" t="s">
        <v>1414</v>
      </c>
      <c r="C33" s="1111" t="s">
        <v>1443</v>
      </c>
      <c r="D33" s="1112"/>
      <c r="E33" s="1134">
        <v>1</v>
      </c>
      <c r="F33" s="1113" t="s">
        <v>1444</v>
      </c>
      <c r="G33" s="1114"/>
      <c r="H33" s="1085"/>
      <c r="I33" s="1085"/>
    </row>
    <row r="34" spans="1:9" s="1525" customFormat="1" ht="19.5" customHeight="1">
      <c r="A34" s="3922"/>
      <c r="B34" s="1134" t="s">
        <v>1417</v>
      </c>
      <c r="C34" s="1111" t="s">
        <v>1445</v>
      </c>
      <c r="D34" s="1112"/>
      <c r="E34" s="1134">
        <v>1.5</v>
      </c>
      <c r="F34" s="1113" t="s">
        <v>1446</v>
      </c>
      <c r="G34" s="1114"/>
      <c r="H34" s="1085"/>
      <c r="I34" s="1085"/>
    </row>
    <row r="35" spans="1:9" s="1525" customFormat="1" ht="19.5" customHeight="1">
      <c r="A35" s="3922" t="s">
        <v>1400</v>
      </c>
      <c r="B35" s="1134" t="s">
        <v>1414</v>
      </c>
      <c r="C35" s="1111" t="s">
        <v>1447</v>
      </c>
      <c r="D35" s="1112"/>
      <c r="E35" s="1134">
        <v>1</v>
      </c>
      <c r="F35" s="1113" t="s">
        <v>1448</v>
      </c>
      <c r="G35" s="1114"/>
      <c r="H35" s="1085"/>
      <c r="I35" s="1085"/>
    </row>
    <row r="36" spans="1:9" s="1525" customFormat="1" ht="19.5" customHeight="1">
      <c r="A36" s="3922"/>
      <c r="B36" s="3922" t="s">
        <v>1417</v>
      </c>
      <c r="C36" s="1111" t="s">
        <v>1449</v>
      </c>
      <c r="D36" s="1112"/>
      <c r="E36" s="1134">
        <v>1</v>
      </c>
      <c r="F36" s="1113" t="s">
        <v>1450</v>
      </c>
      <c r="G36" s="1114"/>
      <c r="H36" s="1085"/>
      <c r="I36" s="1085"/>
    </row>
    <row r="37" spans="1:9" s="1525" customFormat="1" ht="19.5" customHeight="1">
      <c r="A37" s="3922"/>
      <c r="B37" s="3922"/>
      <c r="C37" s="1111" t="s">
        <v>1451</v>
      </c>
      <c r="D37" s="1112"/>
      <c r="E37" s="1134">
        <v>1.5</v>
      </c>
      <c r="F37" s="1113" t="s">
        <v>1452</v>
      </c>
      <c r="G37" s="1114"/>
      <c r="H37" s="1085"/>
      <c r="I37" s="1085"/>
    </row>
    <row r="38" spans="1:9" s="1525" customFormat="1" ht="19.5" customHeight="1">
      <c r="A38" s="3922"/>
      <c r="B38" s="3922"/>
      <c r="C38" s="1111" t="s">
        <v>1453</v>
      </c>
      <c r="D38" s="1112"/>
      <c r="E38" s="1134">
        <v>1</v>
      </c>
      <c r="F38" s="1113" t="s">
        <v>1454</v>
      </c>
      <c r="G38" s="1114"/>
      <c r="H38" s="1085"/>
      <c r="I38" s="1085"/>
    </row>
    <row r="39" spans="1:9" s="1525" customFormat="1" ht="19.5" customHeight="1">
      <c r="A39" s="3922"/>
      <c r="B39" s="3922"/>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22" t="s">
        <v>1469</v>
      </c>
      <c r="C61" s="1048" t="s">
        <v>1470</v>
      </c>
      <c r="D61" s="1048" t="s">
        <v>1471</v>
      </c>
      <c r="E61" s="1119">
        <v>0.5</v>
      </c>
      <c r="F61" s="1134">
        <v>80</v>
      </c>
      <c r="H61" s="1085">
        <f>SUMIF(C59:C119,基准地价!C8,E59:E119)</f>
        <v>0</v>
      </c>
    </row>
    <row r="62" spans="1:8" s="1085" customFormat="1" ht="24">
      <c r="A62" s="1134">
        <v>2</v>
      </c>
      <c r="B62" s="3922"/>
      <c r="C62" s="1048" t="s">
        <v>1472</v>
      </c>
      <c r="D62" s="1048" t="s">
        <v>1473</v>
      </c>
      <c r="E62" s="1119">
        <v>0.5</v>
      </c>
      <c r="F62" s="1134">
        <v>80</v>
      </c>
    </row>
    <row r="63" spans="1:8" s="1085" customFormat="1" ht="36">
      <c r="A63" s="1134">
        <v>3</v>
      </c>
      <c r="B63" s="3922"/>
      <c r="C63" s="1048" t="s">
        <v>1474</v>
      </c>
      <c r="D63" s="1048" t="s">
        <v>1475</v>
      </c>
      <c r="E63" s="1119">
        <v>0.5</v>
      </c>
      <c r="F63" s="1134">
        <v>80</v>
      </c>
    </row>
    <row r="64" spans="1:8" s="1085" customFormat="1" ht="36">
      <c r="A64" s="1134">
        <v>4</v>
      </c>
      <c r="B64" s="3922"/>
      <c r="C64" s="1048" t="s">
        <v>1476</v>
      </c>
      <c r="D64" s="1048" t="s">
        <v>1477</v>
      </c>
      <c r="E64" s="1119">
        <v>0.4</v>
      </c>
      <c r="F64" s="1134">
        <v>60</v>
      </c>
    </row>
    <row r="65" spans="1:6" s="1085" customFormat="1" ht="36">
      <c r="A65" s="1134">
        <v>5</v>
      </c>
      <c r="B65" s="3922"/>
      <c r="C65" s="1048" t="s">
        <v>1478</v>
      </c>
      <c r="D65" s="1048" t="s">
        <v>1479</v>
      </c>
      <c r="E65" s="1119">
        <v>0.2</v>
      </c>
      <c r="F65" s="1134">
        <v>30</v>
      </c>
    </row>
    <row r="66" spans="1:6" s="1085" customFormat="1" ht="36">
      <c r="A66" s="1134">
        <v>6</v>
      </c>
      <c r="B66" s="3922"/>
      <c r="C66" s="1048" t="s">
        <v>1480</v>
      </c>
      <c r="D66" s="1048" t="s">
        <v>1481</v>
      </c>
      <c r="E66" s="1119">
        <v>0.3</v>
      </c>
      <c r="F66" s="1134">
        <v>50</v>
      </c>
    </row>
    <row r="67" spans="1:6" s="1085" customFormat="1" ht="36">
      <c r="A67" s="1134">
        <v>7</v>
      </c>
      <c r="B67" s="3922"/>
      <c r="C67" s="1048" t="s">
        <v>1482</v>
      </c>
      <c r="D67" s="1048" t="s">
        <v>1483</v>
      </c>
      <c r="E67" s="1119">
        <v>0.2</v>
      </c>
      <c r="F67" s="1134">
        <v>30</v>
      </c>
    </row>
    <row r="68" spans="1:6" s="1085" customFormat="1" ht="36">
      <c r="A68" s="1134">
        <v>8</v>
      </c>
      <c r="B68" s="3922"/>
      <c r="C68" s="1048" t="s">
        <v>1484</v>
      </c>
      <c r="D68" s="1048" t="s">
        <v>1485</v>
      </c>
      <c r="E68" s="1119">
        <v>0.2</v>
      </c>
      <c r="F68" s="1134">
        <v>30</v>
      </c>
    </row>
    <row r="69" spans="1:6" s="1085" customFormat="1" ht="36">
      <c r="A69" s="1134">
        <v>9</v>
      </c>
      <c r="B69" s="3922"/>
      <c r="C69" s="1048" t="s">
        <v>1486</v>
      </c>
      <c r="D69" s="1048" t="s">
        <v>1487</v>
      </c>
      <c r="E69" s="1119">
        <v>0.2</v>
      </c>
      <c r="F69" s="1134">
        <v>30</v>
      </c>
    </row>
    <row r="70" spans="1:6" s="1085" customFormat="1" ht="48">
      <c r="A70" s="1134">
        <v>10</v>
      </c>
      <c r="B70" s="3922"/>
      <c r="C70" s="1048" t="s">
        <v>1488</v>
      </c>
      <c r="D70" s="1048" t="s">
        <v>1489</v>
      </c>
      <c r="E70" s="1119">
        <v>0.2</v>
      </c>
      <c r="F70" s="1134">
        <v>30</v>
      </c>
    </row>
    <row r="71" spans="1:6" s="1085" customFormat="1" ht="48">
      <c r="A71" s="1134">
        <v>11</v>
      </c>
      <c r="B71" s="3922"/>
      <c r="C71" s="1048" t="s">
        <v>1490</v>
      </c>
      <c r="D71" s="1048" t="s">
        <v>1491</v>
      </c>
      <c r="E71" s="1119">
        <v>0.2</v>
      </c>
      <c r="F71" s="1134">
        <v>30</v>
      </c>
    </row>
    <row r="72" spans="1:6" s="1085" customFormat="1" ht="36">
      <c r="A72" s="1134">
        <v>12</v>
      </c>
      <c r="B72" s="3922"/>
      <c r="C72" s="1048" t="s">
        <v>1492</v>
      </c>
      <c r="D72" s="1048" t="s">
        <v>1493</v>
      </c>
      <c r="E72" s="1119">
        <v>0.5</v>
      </c>
      <c r="F72" s="1134">
        <v>80</v>
      </c>
    </row>
    <row r="73" spans="1:6" s="1085" customFormat="1" ht="24">
      <c r="A73" s="1134">
        <v>13</v>
      </c>
      <c r="B73" s="3922"/>
      <c r="C73" s="1048" t="s">
        <v>1494</v>
      </c>
      <c r="D73" s="1048" t="s">
        <v>1495</v>
      </c>
      <c r="E73" s="1119">
        <v>0.4</v>
      </c>
      <c r="F73" s="1134">
        <v>60</v>
      </c>
    </row>
    <row r="74" spans="1:6" s="1085" customFormat="1" ht="24">
      <c r="A74" s="1134">
        <v>14</v>
      </c>
      <c r="B74" s="3922"/>
      <c r="C74" s="1048" t="s">
        <v>1496</v>
      </c>
      <c r="D74" s="1048" t="s">
        <v>1497</v>
      </c>
      <c r="E74" s="1119">
        <v>0.2</v>
      </c>
      <c r="F74" s="1134">
        <v>30</v>
      </c>
    </row>
    <row r="75" spans="1:6" s="1085" customFormat="1" ht="24">
      <c r="A75" s="1134">
        <v>15</v>
      </c>
      <c r="B75" s="3922"/>
      <c r="C75" s="1048" t="s">
        <v>1498</v>
      </c>
      <c r="D75" s="1048" t="s">
        <v>1499</v>
      </c>
      <c r="E75" s="1119">
        <v>0.2</v>
      </c>
      <c r="F75" s="1134">
        <v>30</v>
      </c>
    </row>
    <row r="76" spans="1:6" s="1085" customFormat="1" ht="24">
      <c r="A76" s="1134">
        <v>16</v>
      </c>
      <c r="B76" s="3922" t="s">
        <v>1500</v>
      </c>
      <c r="C76" s="1048" t="s">
        <v>1501</v>
      </c>
      <c r="D76" s="1048" t="s">
        <v>1502</v>
      </c>
      <c r="E76" s="1119">
        <v>0.5</v>
      </c>
      <c r="F76" s="1134">
        <v>80</v>
      </c>
    </row>
    <row r="77" spans="1:6" s="1085" customFormat="1" ht="24">
      <c r="A77" s="1134">
        <v>17</v>
      </c>
      <c r="B77" s="3922"/>
      <c r="C77" s="1048" t="s">
        <v>1503</v>
      </c>
      <c r="D77" s="1048" t="s">
        <v>1504</v>
      </c>
      <c r="E77" s="1119">
        <v>0.5</v>
      </c>
      <c r="F77" s="1134">
        <v>80</v>
      </c>
    </row>
    <row r="78" spans="1:6" s="1085" customFormat="1" ht="24">
      <c r="A78" s="1134">
        <v>18</v>
      </c>
      <c r="B78" s="3922"/>
      <c r="C78" s="1048" t="s">
        <v>1505</v>
      </c>
      <c r="D78" s="1048" t="s">
        <v>1506</v>
      </c>
      <c r="E78" s="1119">
        <v>0.2</v>
      </c>
      <c r="F78" s="1134">
        <v>30</v>
      </c>
    </row>
    <row r="79" spans="1:6" s="1085" customFormat="1" ht="24">
      <c r="A79" s="1134">
        <v>19</v>
      </c>
      <c r="B79" s="3922"/>
      <c r="C79" s="1048" t="s">
        <v>1507</v>
      </c>
      <c r="D79" s="1048" t="s">
        <v>1508</v>
      </c>
      <c r="E79" s="1119">
        <v>0.5</v>
      </c>
      <c r="F79" s="1134">
        <v>80</v>
      </c>
    </row>
    <row r="80" spans="1:6" s="1085" customFormat="1" ht="36">
      <c r="A80" s="1134">
        <v>20</v>
      </c>
      <c r="B80" s="3922"/>
      <c r="C80" s="1048" t="s">
        <v>1509</v>
      </c>
      <c r="D80" s="1048" t="s">
        <v>1510</v>
      </c>
      <c r="E80" s="1119">
        <v>0.2</v>
      </c>
      <c r="F80" s="1134">
        <v>30</v>
      </c>
    </row>
    <row r="81" spans="1:6" s="1085" customFormat="1" ht="36">
      <c r="A81" s="1134">
        <v>21</v>
      </c>
      <c r="B81" s="3922"/>
      <c r="C81" s="1048" t="s">
        <v>1511</v>
      </c>
      <c r="D81" s="1048" t="s">
        <v>1512</v>
      </c>
      <c r="E81" s="1119">
        <v>0.2</v>
      </c>
      <c r="F81" s="1134">
        <v>30</v>
      </c>
    </row>
    <row r="82" spans="1:6" s="1085" customFormat="1" ht="48">
      <c r="A82" s="1134">
        <v>22</v>
      </c>
      <c r="B82" s="3922"/>
      <c r="C82" s="1048" t="s">
        <v>1513</v>
      </c>
      <c r="D82" s="1048" t="s">
        <v>1514</v>
      </c>
      <c r="E82" s="1119">
        <v>0.2</v>
      </c>
      <c r="F82" s="1134">
        <v>30</v>
      </c>
    </row>
    <row r="83" spans="1:6" s="1085" customFormat="1" ht="48">
      <c r="A83" s="1134">
        <v>23</v>
      </c>
      <c r="B83" s="3922"/>
      <c r="C83" s="1048" t="s">
        <v>1515</v>
      </c>
      <c r="D83" s="1048" t="s">
        <v>1516</v>
      </c>
      <c r="E83" s="1119">
        <v>0.2</v>
      </c>
      <c r="F83" s="1134">
        <v>30</v>
      </c>
    </row>
    <row r="84" spans="1:6" s="1085" customFormat="1" ht="36">
      <c r="A84" s="1134">
        <v>24</v>
      </c>
      <c r="B84" s="3922"/>
      <c r="C84" s="1048" t="s">
        <v>1517</v>
      </c>
      <c r="D84" s="1048" t="s">
        <v>1518</v>
      </c>
      <c r="E84" s="1119">
        <v>0.2</v>
      </c>
      <c r="F84" s="1134">
        <v>30</v>
      </c>
    </row>
    <row r="85" spans="1:6" s="1085" customFormat="1" ht="36">
      <c r="A85" s="1134">
        <v>25</v>
      </c>
      <c r="B85" s="3922"/>
      <c r="C85" s="1048" t="s">
        <v>1519</v>
      </c>
      <c r="D85" s="1048" t="s">
        <v>1520</v>
      </c>
      <c r="E85" s="1119">
        <v>0.5</v>
      </c>
      <c r="F85" s="1134">
        <v>80</v>
      </c>
    </row>
    <row r="86" spans="1:6" s="1085" customFormat="1" ht="36">
      <c r="A86" s="1134">
        <v>26</v>
      </c>
      <c r="B86" s="3922"/>
      <c r="C86" s="1048" t="s">
        <v>1521</v>
      </c>
      <c r="D86" s="1048" t="s">
        <v>1522</v>
      </c>
      <c r="E86" s="1119">
        <v>0.2</v>
      </c>
      <c r="F86" s="1134">
        <v>30</v>
      </c>
    </row>
    <row r="87" spans="1:6" s="1085" customFormat="1" ht="36">
      <c r="A87" s="1134">
        <v>27</v>
      </c>
      <c r="B87" s="3922"/>
      <c r="C87" s="1048" t="s">
        <v>1523</v>
      </c>
      <c r="D87" s="1048" t="s">
        <v>1524</v>
      </c>
      <c r="E87" s="1119">
        <v>0.2</v>
      </c>
      <c r="F87" s="1134">
        <v>30</v>
      </c>
    </row>
    <row r="88" spans="1:6" s="1085" customFormat="1" ht="36">
      <c r="A88" s="1134">
        <v>28</v>
      </c>
      <c r="B88" s="3922"/>
      <c r="C88" s="1048" t="s">
        <v>1525</v>
      </c>
      <c r="D88" s="1048" t="s">
        <v>1526</v>
      </c>
      <c r="E88" s="1119">
        <v>0.2</v>
      </c>
      <c r="F88" s="1134">
        <v>30</v>
      </c>
    </row>
    <row r="89" spans="1:6" s="1085" customFormat="1" ht="24">
      <c r="A89" s="1134">
        <v>29</v>
      </c>
      <c r="B89" s="3922"/>
      <c r="C89" s="1048" t="s">
        <v>1527</v>
      </c>
      <c r="D89" s="1048" t="s">
        <v>1528</v>
      </c>
      <c r="E89" s="1119">
        <v>0.2</v>
      </c>
      <c r="F89" s="1134">
        <v>30</v>
      </c>
    </row>
    <row r="90" spans="1:6" s="1085" customFormat="1" ht="24">
      <c r="A90" s="1134">
        <v>30</v>
      </c>
      <c r="B90" s="3922"/>
      <c r="C90" s="1048" t="s">
        <v>1529</v>
      </c>
      <c r="D90" s="1048" t="s">
        <v>1530</v>
      </c>
      <c r="E90" s="1119">
        <v>0.2</v>
      </c>
      <c r="F90" s="1134">
        <v>30</v>
      </c>
    </row>
    <row r="91" spans="1:6" s="1085" customFormat="1" ht="36">
      <c r="A91" s="1134">
        <v>31</v>
      </c>
      <c r="B91" s="3922"/>
      <c r="C91" s="1048" t="s">
        <v>1531</v>
      </c>
      <c r="D91" s="1048" t="s">
        <v>1532</v>
      </c>
      <c r="E91" s="1119">
        <v>0.2</v>
      </c>
      <c r="F91" s="1134">
        <v>30</v>
      </c>
    </row>
    <row r="92" spans="1:6" s="1085" customFormat="1" ht="24">
      <c r="A92" s="1134">
        <v>32</v>
      </c>
      <c r="B92" s="3922" t="s">
        <v>1533</v>
      </c>
      <c r="C92" s="1134" t="s">
        <v>1534</v>
      </c>
      <c r="D92" s="1048" t="s">
        <v>1535</v>
      </c>
      <c r="E92" s="1119">
        <v>0.2</v>
      </c>
      <c r="F92" s="1134">
        <v>30</v>
      </c>
    </row>
    <row r="93" spans="1:6" s="1085" customFormat="1" ht="36">
      <c r="A93" s="1134">
        <v>33</v>
      </c>
      <c r="B93" s="3922"/>
      <c r="C93" s="1134" t="s">
        <v>1536</v>
      </c>
      <c r="D93" s="1048" t="s">
        <v>1537</v>
      </c>
      <c r="E93" s="1119">
        <v>0.2</v>
      </c>
      <c r="F93" s="1134">
        <v>30</v>
      </c>
    </row>
    <row r="94" spans="1:6" s="1085" customFormat="1" ht="48">
      <c r="A94" s="1134">
        <v>34</v>
      </c>
      <c r="B94" s="3922"/>
      <c r="C94" s="1134" t="s">
        <v>1538</v>
      </c>
      <c r="D94" s="1048" t="s">
        <v>1539</v>
      </c>
      <c r="E94" s="1119">
        <v>0.2</v>
      </c>
      <c r="F94" s="1134">
        <v>30</v>
      </c>
    </row>
    <row r="95" spans="1:6" s="1085" customFormat="1" ht="36">
      <c r="A95" s="1134">
        <v>35</v>
      </c>
      <c r="B95" s="3922"/>
      <c r="C95" s="1134" t="s">
        <v>1540</v>
      </c>
      <c r="D95" s="1048" t="s">
        <v>1541</v>
      </c>
      <c r="E95" s="1119">
        <v>0.2</v>
      </c>
      <c r="F95" s="1134">
        <v>30</v>
      </c>
    </row>
    <row r="96" spans="1:6" s="1085" customFormat="1" ht="48">
      <c r="A96" s="1134">
        <v>36</v>
      </c>
      <c r="B96" s="3922"/>
      <c r="C96" s="1048" t="s">
        <v>1542</v>
      </c>
      <c r="D96" s="1048" t="s">
        <v>1543</v>
      </c>
      <c r="E96" s="1119">
        <v>0.2</v>
      </c>
      <c r="F96" s="1134">
        <v>30</v>
      </c>
    </row>
    <row r="97" spans="1:6" s="1085" customFormat="1" ht="36">
      <c r="A97" s="1134">
        <v>37</v>
      </c>
      <c r="B97" s="3922"/>
      <c r="C97" s="1134" t="s">
        <v>1544</v>
      </c>
      <c r="D97" s="1048" t="s">
        <v>1545</v>
      </c>
      <c r="E97" s="1119">
        <v>0.2</v>
      </c>
      <c r="F97" s="1134">
        <v>30</v>
      </c>
    </row>
    <row r="98" spans="1:6" s="1085" customFormat="1" ht="36">
      <c r="A98" s="1134">
        <v>38</v>
      </c>
      <c r="B98" s="3922"/>
      <c r="C98" s="1134" t="s">
        <v>1546</v>
      </c>
      <c r="D98" s="1048" t="s">
        <v>1547</v>
      </c>
      <c r="E98" s="1119">
        <v>0.2</v>
      </c>
      <c r="F98" s="1134">
        <v>30</v>
      </c>
    </row>
    <row r="99" spans="1:6" s="1085" customFormat="1" ht="36">
      <c r="A99" s="1134">
        <v>39</v>
      </c>
      <c r="B99" s="3922" t="s">
        <v>1548</v>
      </c>
      <c r="C99" s="1134" t="s">
        <v>1549</v>
      </c>
      <c r="D99" s="1048" t="s">
        <v>1550</v>
      </c>
      <c r="E99" s="1119">
        <v>0.3</v>
      </c>
      <c r="F99" s="1134">
        <v>50</v>
      </c>
    </row>
    <row r="100" spans="1:6" s="1085" customFormat="1" ht="24">
      <c r="A100" s="1134">
        <v>40</v>
      </c>
      <c r="B100" s="3922"/>
      <c r="C100" s="1134" t="s">
        <v>1551</v>
      </c>
      <c r="D100" s="1048" t="s">
        <v>1552</v>
      </c>
      <c r="E100" s="1119">
        <v>0.2</v>
      </c>
      <c r="F100" s="1134">
        <v>30</v>
      </c>
    </row>
    <row r="101" spans="1:6" s="1085" customFormat="1" ht="36">
      <c r="A101" s="1134">
        <v>41</v>
      </c>
      <c r="B101" s="3922"/>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22" t="s">
        <v>1563</v>
      </c>
      <c r="C105" s="1134" t="s">
        <v>1564</v>
      </c>
      <c r="D105" s="1048" t="s">
        <v>1565</v>
      </c>
      <c r="E105" s="1119">
        <v>0.2</v>
      </c>
      <c r="F105" s="1134">
        <v>30</v>
      </c>
    </row>
    <row r="106" spans="1:6" s="1085" customFormat="1" ht="36">
      <c r="A106" s="1134">
        <v>46</v>
      </c>
      <c r="B106" s="3922"/>
      <c r="C106" s="1134" t="s">
        <v>1566</v>
      </c>
      <c r="D106" s="1048" t="s">
        <v>1567</v>
      </c>
      <c r="E106" s="1119">
        <v>0.2</v>
      </c>
      <c r="F106" s="1134">
        <v>30</v>
      </c>
    </row>
    <row r="107" spans="1:6" s="1085" customFormat="1" ht="36">
      <c r="A107" s="1134">
        <v>47</v>
      </c>
      <c r="B107" s="3922" t="s">
        <v>1568</v>
      </c>
      <c r="C107" s="1134" t="s">
        <v>1569</v>
      </c>
      <c r="D107" s="1048" t="s">
        <v>1570</v>
      </c>
      <c r="E107" s="1119">
        <v>0.3</v>
      </c>
      <c r="F107" s="1134">
        <v>50</v>
      </c>
    </row>
    <row r="108" spans="1:6" s="1085" customFormat="1" ht="36">
      <c r="A108" s="1134">
        <v>48</v>
      </c>
      <c r="B108" s="3922"/>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22" t="s">
        <v>1579</v>
      </c>
      <c r="C111" s="1134" t="s">
        <v>1580</v>
      </c>
      <c r="D111" s="1048" t="s">
        <v>1581</v>
      </c>
      <c r="E111" s="1119">
        <v>0.2</v>
      </c>
      <c r="F111" s="1134">
        <v>30</v>
      </c>
    </row>
    <row r="112" spans="1:6" s="1085" customFormat="1" ht="24">
      <c r="A112" s="1134">
        <v>52</v>
      </c>
      <c r="B112" s="3922"/>
      <c r="C112" s="1134" t="s">
        <v>1582</v>
      </c>
      <c r="D112" s="1048" t="s">
        <v>1583</v>
      </c>
      <c r="E112" s="1119">
        <v>0.2</v>
      </c>
      <c r="F112" s="1134">
        <v>30</v>
      </c>
    </row>
    <row r="113" spans="1:14" s="1085" customFormat="1" ht="24">
      <c r="A113" s="1134">
        <v>53</v>
      </c>
      <c r="B113" s="3922"/>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22" t="s">
        <v>1592</v>
      </c>
      <c r="C116" s="1134" t="s">
        <v>1593</v>
      </c>
      <c r="D116" s="1048" t="s">
        <v>1594</v>
      </c>
      <c r="E116" s="1119">
        <v>0.2</v>
      </c>
      <c r="F116" s="1134">
        <v>30</v>
      </c>
    </row>
    <row r="117" spans="1:14" ht="36">
      <c r="A117" s="1134">
        <v>57</v>
      </c>
      <c r="B117" s="3922"/>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21" t="s">
        <v>1601</v>
      </c>
      <c r="B121" s="3921"/>
      <c r="C121" s="3921"/>
      <c r="D121" s="3921"/>
      <c r="E121" s="3921"/>
      <c r="F121" s="3921"/>
      <c r="G121" s="3921"/>
      <c r="H121" s="3921"/>
      <c r="I121" s="3921"/>
      <c r="J121" s="3921"/>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6" t="s">
        <v>1007</v>
      </c>
      <c r="B1" s="3936"/>
      <c r="C1" s="3936"/>
      <c r="D1" s="3936"/>
      <c r="E1" s="3936"/>
      <c r="F1" s="3936"/>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7" t="s">
        <v>1020</v>
      </c>
      <c r="B2" s="3937"/>
      <c r="C2" s="3937"/>
      <c r="D2" s="3937"/>
      <c r="E2" s="3937"/>
      <c r="F2" s="3937"/>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8"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9"/>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40" t="s">
        <v>2044</v>
      </c>
      <c r="B1" s="3940"/>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3" t="s">
        <v>2532</v>
      </c>
      <c r="C1" s="3943"/>
      <c r="D1" s="3943"/>
      <c r="E1" s="3943"/>
      <c r="F1" s="3943"/>
      <c r="G1" s="3942" t="s">
        <v>2533</v>
      </c>
      <c r="H1" s="3942"/>
      <c r="I1" s="3942"/>
      <c r="J1" s="3942"/>
      <c r="K1" s="3942"/>
      <c r="L1" s="3942"/>
      <c r="N1" s="3942" t="s">
        <v>2534</v>
      </c>
      <c r="O1" s="3942"/>
      <c r="P1" s="3942"/>
      <c r="Q1" s="3942"/>
      <c r="S1" s="3942" t="s">
        <v>2535</v>
      </c>
      <c r="T1" s="3942"/>
      <c r="U1" s="3942"/>
      <c r="V1" s="3942"/>
      <c r="X1" s="3941" t="s">
        <v>2595</v>
      </c>
      <c r="Y1" s="3942"/>
      <c r="Z1" s="3942"/>
      <c r="AA1" s="3942"/>
      <c r="AB1" s="3942"/>
      <c r="AD1" s="3941" t="s">
        <v>2599</v>
      </c>
      <c r="AE1" s="3942"/>
      <c r="AF1" s="3942"/>
      <c r="AG1" s="3942"/>
      <c r="AH1" s="3942"/>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5">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5"/>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5"/>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51"/>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50">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5"/>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5"/>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51"/>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50">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5"/>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5"/>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6"/>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4">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5"/>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5"/>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6"/>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4">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5"/>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5"/>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6"/>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7">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8"/>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8"/>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9"/>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4">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5"/>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5"/>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6"/>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4">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5">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5">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6">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4">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5">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5">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6">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4">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5">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5">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6">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4">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5">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5">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6">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4">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5">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5">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6">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4">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5">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5">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6">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4">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5">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5">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6">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4">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5">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5">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6">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4">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5">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5">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6">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4">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5">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5">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6">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3" t="s">
        <v>2420</v>
      </c>
      <c r="C8" s="1736">
        <f ca="1">ROUND(F8*F10*F9*(1-F11)/10000,0)</f>
        <v>0</v>
      </c>
      <c r="D8" s="1733" t="s">
        <v>2491</v>
      </c>
      <c r="E8" s="60" t="s">
        <v>608</v>
      </c>
      <c r="F8" s="772">
        <f ca="1">INDIRECT("'数据-取费表'!u"&amp;$G$1)</f>
        <v>0</v>
      </c>
      <c r="G8" s="1522"/>
      <c r="H8" s="2353" t="s">
        <v>1791</v>
      </c>
      <c r="I8" s="3953" t="s">
        <v>2420</v>
      </c>
      <c r="J8" s="770">
        <f ca="1">ROUND(M8*M10*M9*(1-M11)/10000,0)</f>
        <v>0</v>
      </c>
      <c r="K8" s="336" t="s">
        <v>2491</v>
      </c>
      <c r="L8" s="771" t="s">
        <v>1705</v>
      </c>
      <c r="M8" s="772">
        <f ca="1">INDIRECT("'数据-取费表'!z"&amp;$G$1)</f>
        <v>0</v>
      </c>
    </row>
    <row r="9" spans="1:25" ht="18" customHeight="1">
      <c r="A9" s="2349"/>
      <c r="B9" s="3954"/>
      <c r="C9" s="1737"/>
      <c r="D9" s="1734"/>
      <c r="E9" s="60" t="s">
        <v>609</v>
      </c>
      <c r="F9" s="772">
        <f ca="1">IF(INDIRECT("'数据-取费表'!ah"&amp;$G$1)="",INDIRECT("'数据-取费表'!k"&amp;$G$1),INDIRECT("'数据-取费表'!ah"&amp;$G$1))</f>
        <v>0</v>
      </c>
      <c r="G9" s="1522"/>
      <c r="H9" s="2338"/>
      <c r="I9" s="3954"/>
      <c r="J9" s="775"/>
      <c r="K9" s="776"/>
      <c r="L9" s="771" t="s">
        <v>1706</v>
      </c>
      <c r="M9" s="772">
        <f ca="1">F9</f>
        <v>0</v>
      </c>
    </row>
    <row r="10" spans="1:25" ht="18" customHeight="1">
      <c r="A10" s="2342"/>
      <c r="B10" s="3955"/>
      <c r="C10" s="1737"/>
      <c r="D10" s="1734"/>
      <c r="E10" s="60" t="s">
        <v>610</v>
      </c>
      <c r="F10" s="772">
        <f ca="1">INDIRECT("'数据-取费表'!ai"&amp;$G$1)</f>
        <v>0</v>
      </c>
      <c r="G10" s="1522"/>
      <c r="H10" s="2338"/>
      <c r="I10" s="3955"/>
      <c r="J10" s="775"/>
      <c r="K10" s="776"/>
      <c r="L10" s="771" t="s">
        <v>1707</v>
      </c>
      <c r="M10" s="772">
        <f ca="1">INDIRECT("'数据-取费表'!ai"&amp;$G$1)</f>
        <v>0</v>
      </c>
    </row>
    <row r="11" spans="1:25" ht="18" customHeight="1">
      <c r="A11" s="773"/>
      <c r="B11" s="3956"/>
      <c r="C11" s="1737"/>
      <c r="D11" s="1734"/>
      <c r="E11" s="60" t="s">
        <v>611</v>
      </c>
      <c r="F11" s="781">
        <f ca="1">INDIRECT("'数据-取费表'!w"&amp;$G$1)</f>
        <v>0</v>
      </c>
      <c r="G11" s="1522"/>
      <c r="H11" s="2354"/>
      <c r="I11" s="3955"/>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2"/>
      <c r="J36" s="1958"/>
      <c r="K36" s="1959"/>
      <c r="L36" s="1958"/>
      <c r="M36" s="1958"/>
    </row>
    <row r="37" spans="1:18" ht="18" customHeight="1">
      <c r="A37" s="801"/>
      <c r="B37" s="780"/>
      <c r="C37" s="68"/>
      <c r="D37" s="802"/>
      <c r="E37" s="771" t="s">
        <v>645</v>
      </c>
      <c r="F37" s="772">
        <f ca="1">INDIRECT("'数据-取费表'!r"&amp;$G$1)</f>
        <v>0</v>
      </c>
      <c r="G37" s="1941"/>
      <c r="H37" s="1944"/>
      <c r="I37" s="3952"/>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7"/>
      <c r="L54" s="3958"/>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84" t="s">
        <v>493</v>
      </c>
      <c r="D4" s="3885"/>
      <c r="E4" s="3909" t="s">
        <v>494</v>
      </c>
      <c r="F4" s="3910"/>
      <c r="G4" s="3884" t="s">
        <v>495</v>
      </c>
      <c r="H4" s="3885"/>
      <c r="I4" s="3884" t="s">
        <v>496</v>
      </c>
      <c r="J4" s="3885"/>
      <c r="K4" s="839"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67" t="s">
        <v>495</v>
      </c>
      <c r="AC4" s="3867" t="s">
        <v>496</v>
      </c>
    </row>
    <row r="5" spans="1:29" ht="15">
      <c r="A5" s="506"/>
      <c r="B5" s="507"/>
      <c r="C5" s="3895" t="s">
        <v>2871</v>
      </c>
      <c r="D5" s="3896"/>
      <c r="E5" s="3959" t="s">
        <v>3435</v>
      </c>
      <c r="F5" s="3912"/>
      <c r="G5" s="3960" t="s">
        <v>3436</v>
      </c>
      <c r="H5" s="3896"/>
      <c r="I5" s="3960" t="s">
        <v>3434</v>
      </c>
      <c r="J5" s="3896"/>
      <c r="K5" s="840"/>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840"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70" t="s">
        <v>501</v>
      </c>
      <c r="Q7" s="3879"/>
      <c r="R7" s="1498" t="s">
        <v>12</v>
      </c>
      <c r="S7" s="1499">
        <f t="shared" ref="S7:S15" si="0">F7</f>
        <v>100</v>
      </c>
      <c r="T7" s="1498" t="s">
        <v>12</v>
      </c>
      <c r="U7" s="1499">
        <f t="shared" ref="U7:U15" si="1">H7</f>
        <v>100</v>
      </c>
      <c r="V7" s="1498" t="s">
        <v>12</v>
      </c>
      <c r="W7" s="1499">
        <f t="shared" ref="W7:W15" si="2">J7</f>
        <v>100</v>
      </c>
      <c r="X7" s="1500"/>
      <c r="Y7" s="3870" t="s">
        <v>501</v>
      </c>
      <c r="Z7" s="3871"/>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70" t="s">
        <v>504</v>
      </c>
      <c r="Q8" s="3871"/>
      <c r="R8" s="1498" t="s">
        <v>12</v>
      </c>
      <c r="S8" s="1499">
        <f t="shared" si="0"/>
        <v>100</v>
      </c>
      <c r="T8" s="1498" t="s">
        <v>12</v>
      </c>
      <c r="U8" s="1499">
        <f t="shared" si="1"/>
        <v>100</v>
      </c>
      <c r="V8" s="1498" t="s">
        <v>12</v>
      </c>
      <c r="W8" s="1499">
        <f t="shared" si="2"/>
        <v>100</v>
      </c>
      <c r="X8" s="1500"/>
      <c r="Y8" s="3870" t="s">
        <v>504</v>
      </c>
      <c r="Z8" s="3871"/>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f>'数据-汇总表'!I6</f>
        <v>2.71</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78"/>
      <c r="Q11" s="1131" t="str">
        <f t="shared" si="6"/>
        <v>容积率</v>
      </c>
      <c r="R11" s="1498" t="s">
        <v>11</v>
      </c>
      <c r="S11" s="1499">
        <f t="shared" si="0"/>
        <v>100</v>
      </c>
      <c r="T11" s="1498" t="s">
        <v>11</v>
      </c>
      <c r="U11" s="1499">
        <f t="shared" si="1"/>
        <v>100</v>
      </c>
      <c r="V11" s="1498" t="s">
        <v>11</v>
      </c>
      <c r="W11" s="1499">
        <f t="shared" si="2"/>
        <v>100</v>
      </c>
      <c r="X11" s="1500"/>
      <c r="Y11" s="3829"/>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78"/>
      <c r="Q12" s="1131">
        <f t="shared" si="6"/>
        <v>111</v>
      </c>
      <c r="R12" s="1498" t="s">
        <v>11</v>
      </c>
      <c r="S12" s="1499">
        <f t="shared" si="0"/>
        <v>100</v>
      </c>
      <c r="T12" s="1498" t="s">
        <v>11</v>
      </c>
      <c r="U12" s="1499">
        <f t="shared" si="1"/>
        <v>100</v>
      </c>
      <c r="V12" s="1498" t="s">
        <v>11</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78"/>
      <c r="Q13" s="1131">
        <f t="shared" si="6"/>
        <v>111</v>
      </c>
      <c r="R13" s="1498" t="s">
        <v>11</v>
      </c>
      <c r="S13" s="1499">
        <f t="shared" si="0"/>
        <v>100</v>
      </c>
      <c r="T13" s="1498" t="s">
        <v>11</v>
      </c>
      <c r="U13" s="1499">
        <f t="shared" si="1"/>
        <v>100</v>
      </c>
      <c r="V13" s="1498" t="s">
        <v>11</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78"/>
      <c r="Q14" s="1131">
        <f t="shared" si="6"/>
        <v>111</v>
      </c>
      <c r="R14" s="1498" t="s">
        <v>11</v>
      </c>
      <c r="S14" s="1499">
        <f t="shared" si="0"/>
        <v>100</v>
      </c>
      <c r="T14" s="1498" t="s">
        <v>11</v>
      </c>
      <c r="U14" s="1499">
        <f t="shared" si="1"/>
        <v>100</v>
      </c>
      <c r="V14" s="1498" t="s">
        <v>11</v>
      </c>
      <c r="W14" s="1499">
        <f t="shared" si="2"/>
        <v>100</v>
      </c>
      <c r="X14" s="1500"/>
      <c r="Y14" s="3829"/>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80" t="s">
        <v>511</v>
      </c>
      <c r="Q15" s="1502" t="str">
        <f t="shared" si="6"/>
        <v>居住社区成熟度</v>
      </c>
      <c r="R15" s="1503" t="s">
        <v>11</v>
      </c>
      <c r="S15" s="1504">
        <f t="shared" si="0"/>
        <v>97</v>
      </c>
      <c r="T15" s="1503" t="s">
        <v>11</v>
      </c>
      <c r="U15" s="1504">
        <f t="shared" si="1"/>
        <v>97</v>
      </c>
      <c r="V15" s="1503" t="s">
        <v>11</v>
      </c>
      <c r="W15" s="1504">
        <f t="shared" si="2"/>
        <v>97</v>
      </c>
      <c r="X15" s="1497"/>
      <c r="Y15" s="3880"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81"/>
      <c r="Q17" s="1502" t="str">
        <f>B17</f>
        <v>交通便捷度</v>
      </c>
      <c r="R17" s="1503" t="s">
        <v>11</v>
      </c>
      <c r="S17" s="1504">
        <f>F17</f>
        <v>98</v>
      </c>
      <c r="T17" s="1503" t="s">
        <v>11</v>
      </c>
      <c r="U17" s="1504">
        <f>H17</f>
        <v>98</v>
      </c>
      <c r="V17" s="1503" t="s">
        <v>11</v>
      </c>
      <c r="W17" s="1504">
        <f>J17</f>
        <v>100</v>
      </c>
      <c r="X17" s="1497"/>
      <c r="Y17" s="3881"/>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81"/>
      <c r="Q19" s="1502" t="str">
        <f>B19</f>
        <v>公共配套设施</v>
      </c>
      <c r="R19" s="1503" t="s">
        <v>11</v>
      </c>
      <c r="S19" s="1504">
        <f>F19</f>
        <v>102</v>
      </c>
      <c r="T19" s="1503" t="s">
        <v>11</v>
      </c>
      <c r="U19" s="1504">
        <f>H19</f>
        <v>102</v>
      </c>
      <c r="V19" s="1503" t="s">
        <v>11</v>
      </c>
      <c r="W19" s="1504">
        <f>J19</f>
        <v>100</v>
      </c>
      <c r="X19" s="1497"/>
      <c r="Y19" s="3881"/>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81"/>
      <c r="Q21" s="2425" t="str">
        <f>B21</f>
        <v>基础设施水平</v>
      </c>
      <c r="R21" s="1503" t="s">
        <v>11</v>
      </c>
      <c r="S21" s="1504">
        <f>F21</f>
        <v>100</v>
      </c>
      <c r="T21" s="1503" t="s">
        <v>11</v>
      </c>
      <c r="U21" s="1504">
        <f>H21</f>
        <v>100</v>
      </c>
      <c r="V21" s="1503" t="s">
        <v>11</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81"/>
      <c r="Q22" s="2425"/>
      <c r="R22" s="1503"/>
      <c r="S22" s="1504"/>
      <c r="T22" s="1503"/>
      <c r="U22" s="1504"/>
      <c r="V22" s="1503"/>
      <c r="W22" s="1504"/>
      <c r="X22" s="2427"/>
      <c r="Y22" s="3881"/>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81"/>
      <c r="Q23" s="1502" t="str">
        <f>B23</f>
        <v>自然及人文环境</v>
      </c>
      <c r="R23" s="1503" t="s">
        <v>11</v>
      </c>
      <c r="S23" s="1504">
        <f>F23</f>
        <v>102</v>
      </c>
      <c r="T23" s="1503" t="s">
        <v>11</v>
      </c>
      <c r="U23" s="1504">
        <f>H23</f>
        <v>102</v>
      </c>
      <c r="V23" s="1503" t="s">
        <v>11</v>
      </c>
      <c r="W23" s="1504">
        <f>J23</f>
        <v>100</v>
      </c>
      <c r="X23" s="1497"/>
      <c r="Y23" s="3881"/>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81"/>
      <c r="Q25" s="1502" t="str">
        <f t="shared" ref="Q25:Q46" si="11">B25</f>
        <v>楼层-1</v>
      </c>
      <c r="R25" s="1503" t="s">
        <v>11</v>
      </c>
      <c r="S25" s="1504">
        <f>F25</f>
        <v>100</v>
      </c>
      <c r="T25" s="1503" t="s">
        <v>11</v>
      </c>
      <c r="U25" s="1504">
        <f>H25</f>
        <v>100</v>
      </c>
      <c r="V25" s="1503" t="s">
        <v>11</v>
      </c>
      <c r="W25" s="1504">
        <f>J25</f>
        <v>100</v>
      </c>
      <c r="X25" s="1497"/>
      <c r="Y25" s="3881"/>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81"/>
      <c r="Q26" s="1502" t="str">
        <f t="shared" si="11"/>
        <v>朝向</v>
      </c>
      <c r="R26" s="1503" t="s">
        <v>11</v>
      </c>
      <c r="S26" s="1504">
        <f>F26</f>
        <v>100</v>
      </c>
      <c r="T26" s="1503" t="s">
        <v>11</v>
      </c>
      <c r="U26" s="1504">
        <f>H26</f>
        <v>100</v>
      </c>
      <c r="V26" s="1503" t="s">
        <v>11</v>
      </c>
      <c r="W26" s="1504">
        <f>J26</f>
        <v>100</v>
      </c>
      <c r="X26" s="1497"/>
      <c r="Y26" s="3881"/>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81"/>
      <c r="Q27" s="1131" t="str">
        <f t="shared" si="11"/>
        <v>道路级别</v>
      </c>
      <c r="R27" s="1498" t="s">
        <v>11</v>
      </c>
      <c r="S27" s="1499">
        <f>F27</f>
        <v>100</v>
      </c>
      <c r="T27" s="1498" t="s">
        <v>11</v>
      </c>
      <c r="U27" s="1499">
        <f>H27</f>
        <v>100</v>
      </c>
      <c r="V27" s="1498" t="s">
        <v>11</v>
      </c>
      <c r="W27" s="1499">
        <f>J27</f>
        <v>100</v>
      </c>
      <c r="X27" s="1500"/>
      <c r="Y27" s="3881"/>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81"/>
      <c r="Q28" s="1502">
        <f t="shared" si="11"/>
        <v>111</v>
      </c>
      <c r="R28" s="1503" t="s">
        <v>11</v>
      </c>
      <c r="S28" s="1504">
        <f t="shared" ref="S28:S46" si="12">F28</f>
        <v>100</v>
      </c>
      <c r="T28" s="1503" t="s">
        <v>11</v>
      </c>
      <c r="U28" s="1504">
        <f t="shared" ref="U28:U46" si="13">H28</f>
        <v>100</v>
      </c>
      <c r="V28" s="1503" t="s">
        <v>11</v>
      </c>
      <c r="W28" s="1504">
        <f t="shared" ref="W28:W46" si="14">J28</f>
        <v>100</v>
      </c>
      <c r="X28" s="1497"/>
      <c r="Y28" s="3881"/>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81"/>
      <c r="Q29" s="1502">
        <f t="shared" si="11"/>
        <v>111</v>
      </c>
      <c r="R29" s="1503" t="s">
        <v>11</v>
      </c>
      <c r="S29" s="1504">
        <f t="shared" si="12"/>
        <v>100</v>
      </c>
      <c r="T29" s="1503" t="s">
        <v>11</v>
      </c>
      <c r="U29" s="1504">
        <f t="shared" si="13"/>
        <v>100</v>
      </c>
      <c r="V29" s="1503" t="s">
        <v>11</v>
      </c>
      <c r="W29" s="1504">
        <f t="shared" si="14"/>
        <v>100</v>
      </c>
      <c r="X29" s="1497"/>
      <c r="Y29" s="3881"/>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81"/>
      <c r="Q30" s="1502">
        <f t="shared" si="11"/>
        <v>111</v>
      </c>
      <c r="R30" s="1503" t="s">
        <v>11</v>
      </c>
      <c r="S30" s="1504">
        <f t="shared" si="12"/>
        <v>100</v>
      </c>
      <c r="T30" s="1503" t="s">
        <v>11</v>
      </c>
      <c r="U30" s="1504">
        <f t="shared" si="13"/>
        <v>100</v>
      </c>
      <c r="V30" s="1503" t="s">
        <v>11</v>
      </c>
      <c r="W30" s="1504">
        <f t="shared" si="14"/>
        <v>100</v>
      </c>
      <c r="X30" s="1497"/>
      <c r="Y30" s="3881"/>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81"/>
      <c r="Q31" s="1502">
        <f t="shared" si="11"/>
        <v>111</v>
      </c>
      <c r="R31" s="1503" t="s">
        <v>11</v>
      </c>
      <c r="S31" s="1504">
        <f t="shared" si="12"/>
        <v>100</v>
      </c>
      <c r="T31" s="1503" t="s">
        <v>11</v>
      </c>
      <c r="U31" s="1504">
        <f t="shared" si="13"/>
        <v>100</v>
      </c>
      <c r="V31" s="1503" t="s">
        <v>11</v>
      </c>
      <c r="W31" s="1504">
        <f t="shared" si="14"/>
        <v>100</v>
      </c>
      <c r="X31" s="1497"/>
      <c r="Y31" s="3881"/>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82" t="s">
        <v>521</v>
      </c>
      <c r="Q32" s="1502" t="str">
        <f t="shared" si="11"/>
        <v>建筑类型</v>
      </c>
      <c r="R32" s="1503" t="s">
        <v>11</v>
      </c>
      <c r="S32" s="1504">
        <f t="shared" si="12"/>
        <v>100</v>
      </c>
      <c r="T32" s="1503" t="s">
        <v>11</v>
      </c>
      <c r="U32" s="1504">
        <f t="shared" si="13"/>
        <v>100</v>
      </c>
      <c r="V32" s="1503" t="s">
        <v>11</v>
      </c>
      <c r="W32" s="1504">
        <f t="shared" si="14"/>
        <v>100</v>
      </c>
      <c r="X32" s="1497"/>
      <c r="Y32" s="3883"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883"/>
      <c r="Q33" s="1531" t="str">
        <f t="shared" si="11"/>
        <v>项目建筑规模</v>
      </c>
      <c r="R33" s="1507" t="s">
        <v>11</v>
      </c>
      <c r="S33" s="1508">
        <f t="shared" si="12"/>
        <v>100</v>
      </c>
      <c r="T33" s="1507" t="s">
        <v>11</v>
      </c>
      <c r="U33" s="1508">
        <f t="shared" si="13"/>
        <v>100</v>
      </c>
      <c r="V33" s="1507" t="s">
        <v>11</v>
      </c>
      <c r="W33" s="1508">
        <f t="shared" si="14"/>
        <v>100</v>
      </c>
      <c r="X33" s="1509"/>
      <c r="Y33" s="3883"/>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883"/>
      <c r="Q34" s="1502" t="str">
        <f t="shared" si="11"/>
        <v>建筑结构</v>
      </c>
      <c r="R34" s="1503" t="s">
        <v>11</v>
      </c>
      <c r="S34" s="1504">
        <f t="shared" si="12"/>
        <v>100</v>
      </c>
      <c r="T34" s="1503" t="s">
        <v>11</v>
      </c>
      <c r="U34" s="1504">
        <f t="shared" si="13"/>
        <v>100</v>
      </c>
      <c r="V34" s="1503" t="s">
        <v>11</v>
      </c>
      <c r="W34" s="1504">
        <f t="shared" si="14"/>
        <v>100</v>
      </c>
      <c r="X34" s="1497"/>
      <c r="Y34" s="3883"/>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883"/>
      <c r="Q35" s="1502" t="str">
        <f t="shared" si="11"/>
        <v>建筑品质</v>
      </c>
      <c r="R35" s="1503" t="s">
        <v>11</v>
      </c>
      <c r="S35" s="1504">
        <f t="shared" si="12"/>
        <v>100</v>
      </c>
      <c r="T35" s="1503" t="s">
        <v>11</v>
      </c>
      <c r="U35" s="1504">
        <f t="shared" si="13"/>
        <v>100</v>
      </c>
      <c r="V35" s="1503" t="s">
        <v>11</v>
      </c>
      <c r="W35" s="1504">
        <f t="shared" si="14"/>
        <v>100</v>
      </c>
      <c r="X35" s="1497"/>
      <c r="Y35" s="3883"/>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883"/>
      <c r="Q36" s="1502" t="str">
        <f t="shared" si="11"/>
        <v>公共部分装修</v>
      </c>
      <c r="R36" s="1503" t="s">
        <v>11</v>
      </c>
      <c r="S36" s="1504">
        <f t="shared" si="12"/>
        <v>100</v>
      </c>
      <c r="T36" s="1503" t="s">
        <v>11</v>
      </c>
      <c r="U36" s="1504">
        <f t="shared" si="13"/>
        <v>100</v>
      </c>
      <c r="V36" s="1503" t="s">
        <v>11</v>
      </c>
      <c r="W36" s="1504">
        <f t="shared" si="14"/>
        <v>100</v>
      </c>
      <c r="X36" s="1497"/>
      <c r="Y36" s="3883"/>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883"/>
      <c r="Q37" s="1131" t="str">
        <f t="shared" si="11"/>
        <v>成新度</v>
      </c>
      <c r="R37" s="1498" t="s">
        <v>11</v>
      </c>
      <c r="S37" s="1499">
        <f t="shared" si="12"/>
        <v>100</v>
      </c>
      <c r="T37" s="1498" t="s">
        <v>11</v>
      </c>
      <c r="U37" s="1499">
        <f t="shared" si="13"/>
        <v>100</v>
      </c>
      <c r="V37" s="1498" t="s">
        <v>11</v>
      </c>
      <c r="W37" s="1499">
        <f t="shared" si="14"/>
        <v>100</v>
      </c>
      <c r="X37" s="1500"/>
      <c r="Y37" s="3883"/>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883" t="s">
        <v>521</v>
      </c>
      <c r="Q38" s="1502" t="str">
        <f t="shared" si="11"/>
        <v>物业管理</v>
      </c>
      <c r="R38" s="1503" t="s">
        <v>11</v>
      </c>
      <c r="S38" s="1504">
        <f t="shared" si="12"/>
        <v>100</v>
      </c>
      <c r="T38" s="1503" t="s">
        <v>11</v>
      </c>
      <c r="U38" s="1504">
        <f t="shared" si="13"/>
        <v>100</v>
      </c>
      <c r="V38" s="1503" t="s">
        <v>11</v>
      </c>
      <c r="W38" s="1504">
        <f t="shared" si="14"/>
        <v>100</v>
      </c>
      <c r="X38" s="1497"/>
      <c r="Y38" s="3883"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883"/>
      <c r="Q39" s="1502" t="str">
        <f t="shared" si="11"/>
        <v>市政基础设施</v>
      </c>
      <c r="R39" s="1503" t="s">
        <v>11</v>
      </c>
      <c r="S39" s="1504">
        <f t="shared" si="12"/>
        <v>100</v>
      </c>
      <c r="T39" s="1503" t="s">
        <v>11</v>
      </c>
      <c r="U39" s="1504">
        <f t="shared" si="13"/>
        <v>100</v>
      </c>
      <c r="V39" s="1503" t="s">
        <v>11</v>
      </c>
      <c r="W39" s="1504">
        <f t="shared" si="14"/>
        <v>100</v>
      </c>
      <c r="X39" s="1497"/>
      <c r="Y39" s="3883"/>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883"/>
      <c r="Q40" s="1502" t="str">
        <f t="shared" si="11"/>
        <v>房型</v>
      </c>
      <c r="R40" s="1503" t="s">
        <v>11</v>
      </c>
      <c r="S40" s="1504">
        <f t="shared" si="12"/>
        <v>100</v>
      </c>
      <c r="T40" s="1503" t="s">
        <v>11</v>
      </c>
      <c r="U40" s="1504">
        <f t="shared" si="13"/>
        <v>100</v>
      </c>
      <c r="V40" s="1503" t="s">
        <v>11</v>
      </c>
      <c r="W40" s="1504">
        <f t="shared" si="14"/>
        <v>100</v>
      </c>
      <c r="X40" s="1497"/>
      <c r="Y40" s="3883"/>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883"/>
      <c r="Q41" s="1531" t="str">
        <f t="shared" si="11"/>
        <v>单套/主力户型建筑面积</v>
      </c>
      <c r="R41" s="1507" t="s">
        <v>11</v>
      </c>
      <c r="S41" s="1508">
        <f t="shared" si="12"/>
        <v>100</v>
      </c>
      <c r="T41" s="1507" t="s">
        <v>11</v>
      </c>
      <c r="U41" s="1508">
        <f t="shared" si="13"/>
        <v>100</v>
      </c>
      <c r="V41" s="1507" t="s">
        <v>11</v>
      </c>
      <c r="W41" s="1508">
        <f t="shared" si="14"/>
        <v>100</v>
      </c>
      <c r="X41" s="1509"/>
      <c r="Y41" s="3883"/>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883"/>
      <c r="Q42" s="1502" t="str">
        <f t="shared" si="11"/>
        <v>内部装修</v>
      </c>
      <c r="R42" s="1503" t="s">
        <v>11</v>
      </c>
      <c r="S42" s="1504">
        <f t="shared" si="12"/>
        <v>100</v>
      </c>
      <c r="T42" s="1503" t="s">
        <v>11</v>
      </c>
      <c r="U42" s="1504">
        <f t="shared" si="13"/>
        <v>100</v>
      </c>
      <c r="V42" s="1503" t="s">
        <v>11</v>
      </c>
      <c r="W42" s="1504">
        <f t="shared" si="14"/>
        <v>100</v>
      </c>
      <c r="X42" s="1497"/>
      <c r="Y42" s="3883"/>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883"/>
      <c r="Q43" s="1502" t="str">
        <f t="shared" si="11"/>
        <v>内部装修维护情况</v>
      </c>
      <c r="R43" s="1503" t="s">
        <v>11</v>
      </c>
      <c r="S43" s="1504">
        <f t="shared" si="12"/>
        <v>100</v>
      </c>
      <c r="T43" s="1503" t="s">
        <v>11</v>
      </c>
      <c r="U43" s="1504">
        <f t="shared" si="13"/>
        <v>100</v>
      </c>
      <c r="V43" s="1503" t="s">
        <v>11</v>
      </c>
      <c r="W43" s="1504">
        <f t="shared" si="14"/>
        <v>100</v>
      </c>
      <c r="X43" s="1497"/>
      <c r="Y43" s="3883"/>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883"/>
      <c r="Q44" s="1131">
        <f t="shared" si="11"/>
        <v>111</v>
      </c>
      <c r="R44" s="1498" t="s">
        <v>11</v>
      </c>
      <c r="S44" s="1499">
        <f t="shared" si="12"/>
        <v>100</v>
      </c>
      <c r="T44" s="1498" t="s">
        <v>11</v>
      </c>
      <c r="U44" s="1499">
        <f t="shared" si="13"/>
        <v>100</v>
      </c>
      <c r="V44" s="1498" t="s">
        <v>11</v>
      </c>
      <c r="W44" s="1499">
        <f t="shared" si="14"/>
        <v>100</v>
      </c>
      <c r="X44" s="1500"/>
      <c r="Y44" s="3883"/>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883"/>
      <c r="Q45" s="1502">
        <f t="shared" si="11"/>
        <v>111</v>
      </c>
      <c r="R45" s="1503" t="s">
        <v>11</v>
      </c>
      <c r="S45" s="1504">
        <f t="shared" si="12"/>
        <v>100</v>
      </c>
      <c r="T45" s="1503" t="s">
        <v>11</v>
      </c>
      <c r="U45" s="1504">
        <f t="shared" si="13"/>
        <v>100</v>
      </c>
      <c r="V45" s="1503" t="s">
        <v>11</v>
      </c>
      <c r="W45" s="1504">
        <f t="shared" si="14"/>
        <v>100</v>
      </c>
      <c r="X45" s="1497"/>
      <c r="Y45" s="3883"/>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63"/>
      <c r="Q46" s="1502">
        <f t="shared" si="11"/>
        <v>111</v>
      </c>
      <c r="R46" s="1503" t="s">
        <v>10</v>
      </c>
      <c r="S46" s="1504">
        <f t="shared" si="12"/>
        <v>100</v>
      </c>
      <c r="T46" s="1503" t="s">
        <v>10</v>
      </c>
      <c r="U46" s="1504">
        <f t="shared" si="13"/>
        <v>100</v>
      </c>
      <c r="V46" s="1503" t="s">
        <v>10</v>
      </c>
      <c r="W46" s="1504">
        <f t="shared" si="14"/>
        <v>100</v>
      </c>
      <c r="X46" s="1497"/>
      <c r="Y46" s="3963"/>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78" t="str">
        <f>A47</f>
        <v>成交单价（元/平方米）</v>
      </c>
      <c r="Q47" s="3878"/>
      <c r="R47" s="3962">
        <f>E47</f>
        <v>58954</v>
      </c>
      <c r="S47" s="3962"/>
      <c r="T47" s="3962">
        <f>G47</f>
        <v>63042</v>
      </c>
      <c r="U47" s="3962"/>
      <c r="V47" s="3962">
        <f>I47</f>
        <v>62252</v>
      </c>
      <c r="W47" s="3962"/>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78" t="str">
        <f>A48</f>
        <v>比较价格（元/平方米）</v>
      </c>
      <c r="Q48" s="3878"/>
      <c r="R48" s="3962">
        <f>IF(F1="售价",ROUND(PRODUCT(R47,AA7:AA46),0),ROUND(PRODUCT(R47,AA7:AA46),1))</f>
        <v>59609</v>
      </c>
      <c r="S48" s="3962"/>
      <c r="T48" s="3962">
        <f>IF(F1="售价",ROUND(PRODUCT(T47,AB7:AB46),0),ROUND(PRODUCT(T47,AB7:AB46),1))</f>
        <v>63743</v>
      </c>
      <c r="U48" s="3962"/>
      <c r="V48" s="3962">
        <f>IF(F1="售价",ROUND(PRODUCT(V47,AC7:AC46),0),ROUND(PRODUCT(V47,AC7:AC46),1))</f>
        <v>64177</v>
      </c>
      <c r="W48" s="3962"/>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99" t="str">
        <f>A49</f>
        <v>估价对象XX用房的比较价格（楼面单价，元/平方米）</v>
      </c>
      <c r="Q49" s="3900"/>
      <c r="R49" s="3961">
        <f>IF(F1="售价",ROUND(IF(D48="简单平均",AVERAGE(R48:V48),R48*F48+T48*H48+V48*J48),0),ROUND(IF(D48="简单平均",AVERAGE(R48:V48),R48*F48+T48*H48+V48*J48),1))</f>
        <v>62510</v>
      </c>
      <c r="S49" s="3961"/>
      <c r="T49" s="3961"/>
      <c r="U49" s="3961"/>
      <c r="V49" s="3961"/>
      <c r="W49" s="3961"/>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7" t="s">
        <v>3320</v>
      </c>
      <c r="D4" s="3968"/>
      <c r="E4" s="3969" t="s">
        <v>3321</v>
      </c>
      <c r="F4" s="3970"/>
      <c r="G4" s="3967" t="s">
        <v>3322</v>
      </c>
      <c r="H4" s="3968"/>
      <c r="I4" s="3967" t="s">
        <v>3323</v>
      </c>
      <c r="J4" s="3968"/>
      <c r="K4" s="3367" t="s">
        <v>3324</v>
      </c>
      <c r="L4" s="3368"/>
      <c r="M4" s="3369"/>
      <c r="N4" s="3369"/>
      <c r="O4" s="3369"/>
      <c r="P4" s="3971" t="s">
        <v>3325</v>
      </c>
      <c r="Q4" s="3972"/>
      <c r="R4" s="3977" t="s">
        <v>3321</v>
      </c>
      <c r="S4" s="3978"/>
      <c r="T4" s="3977" t="s">
        <v>3322</v>
      </c>
      <c r="U4" s="3978"/>
      <c r="V4" s="3992" t="s">
        <v>3323</v>
      </c>
      <c r="W4" s="3992"/>
      <c r="X4" s="3370"/>
      <c r="Y4" s="3977" t="s">
        <v>3325</v>
      </c>
      <c r="Z4" s="3978"/>
      <c r="AA4" s="3964" t="s">
        <v>3321</v>
      </c>
      <c r="AB4" s="3965" t="s">
        <v>3322</v>
      </c>
      <c r="AC4" s="3964" t="s">
        <v>3323</v>
      </c>
    </row>
    <row r="5" spans="1:29" ht="15">
      <c r="A5" s="3372"/>
      <c r="B5" s="3373"/>
      <c r="C5" s="3981" t="s">
        <v>3326</v>
      </c>
      <c r="D5" s="3982"/>
      <c r="E5" s="3983" t="s">
        <v>3437</v>
      </c>
      <c r="F5" s="3984"/>
      <c r="G5" s="3985" t="s">
        <v>3438</v>
      </c>
      <c r="H5" s="3982"/>
      <c r="I5" s="3985" t="s">
        <v>3439</v>
      </c>
      <c r="J5" s="3982"/>
      <c r="K5" s="3367"/>
      <c r="L5" s="3368"/>
      <c r="M5" s="3369"/>
      <c r="N5" s="3369"/>
      <c r="O5" s="3369"/>
      <c r="P5" s="3973"/>
      <c r="Q5" s="3974"/>
      <c r="R5" s="3979"/>
      <c r="S5" s="3980"/>
      <c r="T5" s="3979"/>
      <c r="U5" s="3980"/>
      <c r="V5" s="3992"/>
      <c r="W5" s="3992"/>
      <c r="X5" s="3370"/>
      <c r="Y5" s="3979"/>
      <c r="Z5" s="3980"/>
      <c r="AA5" s="3965"/>
      <c r="AB5" s="3965"/>
      <c r="AC5" s="3965"/>
    </row>
    <row r="6" spans="1:29" ht="15.75" thickBot="1">
      <c r="A6" s="3374"/>
      <c r="B6" s="3375"/>
      <c r="C6" s="3986" t="s">
        <v>3327</v>
      </c>
      <c r="D6" s="3987"/>
      <c r="E6" s="3988" t="s">
        <v>3327</v>
      </c>
      <c r="F6" s="3989"/>
      <c r="G6" s="3986" t="s">
        <v>3327</v>
      </c>
      <c r="H6" s="3987"/>
      <c r="I6" s="3986" t="s">
        <v>3327</v>
      </c>
      <c r="J6" s="3987"/>
      <c r="K6" s="3367" t="s">
        <v>3328</v>
      </c>
      <c r="L6" s="3368"/>
      <c r="M6" s="3369"/>
      <c r="N6" s="3369"/>
      <c r="O6" s="3369"/>
      <c r="P6" s="3975"/>
      <c r="Q6" s="3976"/>
      <c r="R6" s="3979"/>
      <c r="S6" s="3980"/>
      <c r="T6" s="3990"/>
      <c r="U6" s="3991"/>
      <c r="V6" s="3992"/>
      <c r="W6" s="3992"/>
      <c r="X6" s="3370"/>
      <c r="Y6" s="3990"/>
      <c r="Z6" s="3991"/>
      <c r="AA6" s="3966"/>
      <c r="AB6" s="3966"/>
      <c r="AC6" s="3966"/>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93" t="s">
        <v>3330</v>
      </c>
      <c r="Q7" s="3994"/>
      <c r="R7" s="3385" t="s">
        <v>3331</v>
      </c>
      <c r="S7" s="3386">
        <f t="shared" ref="S7:S14" si="0">F7</f>
        <v>100</v>
      </c>
      <c r="T7" s="3385" t="s">
        <v>3331</v>
      </c>
      <c r="U7" s="3386">
        <f t="shared" ref="U7:U14" si="1">H7</f>
        <v>100</v>
      </c>
      <c r="V7" s="3385" t="s">
        <v>3331</v>
      </c>
      <c r="W7" s="3386">
        <f t="shared" ref="W7:W14" si="2">J7</f>
        <v>100</v>
      </c>
      <c r="X7" s="3387"/>
      <c r="Y7" s="3993" t="s">
        <v>3330</v>
      </c>
      <c r="Z7" s="3995"/>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93" t="s">
        <v>3333</v>
      </c>
      <c r="Q8" s="3995"/>
      <c r="R8" s="3385" t="s">
        <v>3334</v>
      </c>
      <c r="S8" s="3386">
        <f t="shared" si="0"/>
        <v>100</v>
      </c>
      <c r="T8" s="3385" t="s">
        <v>3334</v>
      </c>
      <c r="U8" s="3386">
        <f t="shared" si="1"/>
        <v>100</v>
      </c>
      <c r="V8" s="3385" t="s">
        <v>3334</v>
      </c>
      <c r="W8" s="3386">
        <f t="shared" si="2"/>
        <v>100</v>
      </c>
      <c r="X8" s="3387"/>
      <c r="Y8" s="3993" t="s">
        <v>3333</v>
      </c>
      <c r="Z8" s="3995"/>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96" t="s">
        <v>3337</v>
      </c>
      <c r="Q9" s="3399" t="str">
        <f t="shared" ref="Q9:Q14" si="6">B9</f>
        <v>用途</v>
      </c>
      <c r="R9" s="3385" t="s">
        <v>8</v>
      </c>
      <c r="S9" s="3386">
        <f t="shared" si="0"/>
        <v>100</v>
      </c>
      <c r="T9" s="3385" t="s">
        <v>8</v>
      </c>
      <c r="U9" s="3386">
        <f t="shared" si="1"/>
        <v>100</v>
      </c>
      <c r="V9" s="3385" t="s">
        <v>8</v>
      </c>
      <c r="W9" s="3386">
        <f t="shared" si="2"/>
        <v>100</v>
      </c>
      <c r="X9" s="3387"/>
      <c r="Y9" s="3997"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96"/>
      <c r="Q10" s="3399" t="str">
        <f t="shared" si="6"/>
        <v>土地使用年限（年）</v>
      </c>
      <c r="R10" s="3385" t="s">
        <v>8</v>
      </c>
      <c r="S10" s="3386">
        <f t="shared" si="0"/>
        <v>100</v>
      </c>
      <c r="T10" s="3385" t="s">
        <v>8</v>
      </c>
      <c r="U10" s="3386">
        <f t="shared" si="1"/>
        <v>100</v>
      </c>
      <c r="V10" s="3385" t="s">
        <v>8</v>
      </c>
      <c r="W10" s="3386">
        <f t="shared" si="2"/>
        <v>100</v>
      </c>
      <c r="X10" s="3387"/>
      <c r="Y10" s="3997"/>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96"/>
      <c r="Q11" s="3399">
        <f t="shared" si="6"/>
        <v>111</v>
      </c>
      <c r="R11" s="3385" t="s">
        <v>8</v>
      </c>
      <c r="S11" s="3386">
        <f t="shared" si="0"/>
        <v>100</v>
      </c>
      <c r="T11" s="3385" t="s">
        <v>8</v>
      </c>
      <c r="U11" s="3386">
        <f t="shared" si="1"/>
        <v>100</v>
      </c>
      <c r="V11" s="3385" t="s">
        <v>8</v>
      </c>
      <c r="W11" s="3386">
        <f t="shared" si="2"/>
        <v>100</v>
      </c>
      <c r="X11" s="3387"/>
      <c r="Y11" s="3997"/>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96"/>
      <c r="Q12" s="3399">
        <f t="shared" si="6"/>
        <v>111</v>
      </c>
      <c r="R12" s="3385" t="s">
        <v>8</v>
      </c>
      <c r="S12" s="3386">
        <f t="shared" si="0"/>
        <v>100</v>
      </c>
      <c r="T12" s="3385" t="s">
        <v>8</v>
      </c>
      <c r="U12" s="3386">
        <f t="shared" si="1"/>
        <v>100</v>
      </c>
      <c r="V12" s="3385" t="s">
        <v>8</v>
      </c>
      <c r="W12" s="3386">
        <f t="shared" si="2"/>
        <v>100</v>
      </c>
      <c r="X12" s="3387"/>
      <c r="Y12" s="3997"/>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96"/>
      <c r="Q13" s="3399">
        <f t="shared" si="6"/>
        <v>111</v>
      </c>
      <c r="R13" s="3385" t="s">
        <v>8</v>
      </c>
      <c r="S13" s="3386">
        <f t="shared" si="0"/>
        <v>100</v>
      </c>
      <c r="T13" s="3385" t="s">
        <v>8</v>
      </c>
      <c r="U13" s="3386">
        <f t="shared" si="1"/>
        <v>100</v>
      </c>
      <c r="V13" s="3385" t="s">
        <v>8</v>
      </c>
      <c r="W13" s="3386">
        <f t="shared" si="2"/>
        <v>100</v>
      </c>
      <c r="X13" s="3387"/>
      <c r="Y13" s="3997"/>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98" t="s">
        <v>3340</v>
      </c>
      <c r="Q14" s="3430" t="str">
        <f t="shared" si="6"/>
        <v>交通便捷度</v>
      </c>
      <c r="R14" s="3431" t="s">
        <v>3331</v>
      </c>
      <c r="S14" s="3432">
        <f t="shared" si="0"/>
        <v>98</v>
      </c>
      <c r="T14" s="3431" t="s">
        <v>3331</v>
      </c>
      <c r="U14" s="3432">
        <f t="shared" si="1"/>
        <v>98</v>
      </c>
      <c r="V14" s="3431" t="s">
        <v>3331</v>
      </c>
      <c r="W14" s="3432">
        <f t="shared" si="2"/>
        <v>98</v>
      </c>
      <c r="X14" s="3370"/>
      <c r="Y14" s="3998"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99"/>
      <c r="Q15" s="3430"/>
      <c r="R15" s="3431"/>
      <c r="S15" s="3432"/>
      <c r="T15" s="3431"/>
      <c r="U15" s="3432"/>
      <c r="V15" s="3431"/>
      <c r="W15" s="3432"/>
      <c r="X15" s="3370"/>
      <c r="Y15" s="3999"/>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99"/>
      <c r="Q16" s="3430" t="str">
        <f>B16</f>
        <v>公共配套设施</v>
      </c>
      <c r="R16" s="3431" t="s">
        <v>3331</v>
      </c>
      <c r="S16" s="3432">
        <f>F16</f>
        <v>102</v>
      </c>
      <c r="T16" s="3431" t="s">
        <v>3331</v>
      </c>
      <c r="U16" s="3432">
        <f>H16</f>
        <v>102</v>
      </c>
      <c r="V16" s="3431" t="s">
        <v>3331</v>
      </c>
      <c r="W16" s="3432">
        <f>J16</f>
        <v>100</v>
      </c>
      <c r="X16" s="3370"/>
      <c r="Y16" s="3999"/>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99"/>
      <c r="Q17" s="3430"/>
      <c r="R17" s="3431"/>
      <c r="S17" s="3432"/>
      <c r="T17" s="3431"/>
      <c r="U17" s="3432"/>
      <c r="V17" s="3431"/>
      <c r="W17" s="3432"/>
      <c r="X17" s="3370"/>
      <c r="Y17" s="3999"/>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99"/>
      <c r="Q18" s="3430" t="str">
        <f>B18</f>
        <v>基础设施水平</v>
      </c>
      <c r="R18" s="3431" t="s">
        <v>3331</v>
      </c>
      <c r="S18" s="3432">
        <f>F18</f>
        <v>100</v>
      </c>
      <c r="T18" s="3431" t="s">
        <v>3331</v>
      </c>
      <c r="U18" s="3432">
        <f>H18</f>
        <v>100</v>
      </c>
      <c r="V18" s="3431" t="s">
        <v>3331</v>
      </c>
      <c r="W18" s="3432">
        <f>J18</f>
        <v>100</v>
      </c>
      <c r="X18" s="3370"/>
      <c r="Y18" s="3999"/>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99"/>
      <c r="Q19" s="3430"/>
      <c r="R19" s="3431"/>
      <c r="S19" s="3432"/>
      <c r="T19" s="3431"/>
      <c r="U19" s="3432"/>
      <c r="V19" s="3431"/>
      <c r="W19" s="3432"/>
      <c r="X19" s="3370"/>
      <c r="Y19" s="3999"/>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99"/>
      <c r="Q20" s="3430" t="str">
        <f>B20</f>
        <v>自然及人文环境</v>
      </c>
      <c r="R20" s="3431" t="s">
        <v>3331</v>
      </c>
      <c r="S20" s="3432">
        <f>F20</f>
        <v>102</v>
      </c>
      <c r="T20" s="3431" t="s">
        <v>3331</v>
      </c>
      <c r="U20" s="3432">
        <f>H20</f>
        <v>102</v>
      </c>
      <c r="V20" s="3431" t="s">
        <v>3331</v>
      </c>
      <c r="W20" s="3432">
        <f>J20</f>
        <v>100</v>
      </c>
      <c r="X20" s="3370"/>
      <c r="Y20" s="3999"/>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99"/>
      <c r="Q21" s="3430"/>
      <c r="R21" s="3431"/>
      <c r="S21" s="3432"/>
      <c r="T21" s="3431"/>
      <c r="U21" s="3432"/>
      <c r="V21" s="3431"/>
      <c r="W21" s="3432"/>
      <c r="X21" s="3370"/>
      <c r="Y21" s="3999"/>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99"/>
      <c r="Q22" s="3430" t="str">
        <f>B22</f>
        <v>楼层</v>
      </c>
      <c r="R22" s="3431" t="s">
        <v>3331</v>
      </c>
      <c r="S22" s="3432">
        <f>F22</f>
        <v>100</v>
      </c>
      <c r="T22" s="3431" t="s">
        <v>3331</v>
      </c>
      <c r="U22" s="3432">
        <f>H22</f>
        <v>100</v>
      </c>
      <c r="V22" s="3431" t="s">
        <v>3331</v>
      </c>
      <c r="W22" s="3432">
        <f>J22</f>
        <v>100</v>
      </c>
      <c r="X22" s="3370"/>
      <c r="Y22" s="3999"/>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99"/>
      <c r="Q23" s="3430">
        <f>B23</f>
        <v>111</v>
      </c>
      <c r="R23" s="3431" t="s">
        <v>3331</v>
      </c>
      <c r="S23" s="3432">
        <f>F23</f>
        <v>100</v>
      </c>
      <c r="T23" s="3431" t="s">
        <v>3331</v>
      </c>
      <c r="U23" s="3432">
        <f>H23</f>
        <v>100</v>
      </c>
      <c r="V23" s="3431" t="s">
        <v>3331</v>
      </c>
      <c r="W23" s="3432">
        <f>J23</f>
        <v>100</v>
      </c>
      <c r="X23" s="3370"/>
      <c r="Y23" s="3999"/>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99"/>
      <c r="Q24" s="3430">
        <f t="shared" ref="Q24:Q34" si="11">B24</f>
        <v>111</v>
      </c>
      <c r="R24" s="3431" t="s">
        <v>3331</v>
      </c>
      <c r="S24" s="3432">
        <f>F24</f>
        <v>100</v>
      </c>
      <c r="T24" s="3431" t="s">
        <v>3331</v>
      </c>
      <c r="U24" s="3432">
        <f>H24</f>
        <v>100</v>
      </c>
      <c r="V24" s="3431" t="s">
        <v>3331</v>
      </c>
      <c r="W24" s="3432">
        <f>J24</f>
        <v>100</v>
      </c>
      <c r="X24" s="3370"/>
      <c r="Y24" s="3999"/>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99"/>
      <c r="Q25" s="3399">
        <f t="shared" si="11"/>
        <v>111</v>
      </c>
      <c r="R25" s="3385" t="s">
        <v>3331</v>
      </c>
      <c r="S25" s="3386">
        <f>F25</f>
        <v>100</v>
      </c>
      <c r="T25" s="3385" t="s">
        <v>3331</v>
      </c>
      <c r="U25" s="3386">
        <f>H25</f>
        <v>100</v>
      </c>
      <c r="V25" s="3385" t="s">
        <v>3331</v>
      </c>
      <c r="W25" s="3386">
        <f>J25</f>
        <v>100</v>
      </c>
      <c r="X25" s="3387"/>
      <c r="Y25" s="3999"/>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4000"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4001"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4001"/>
      <c r="Q27" s="3475" t="str">
        <f t="shared" si="11"/>
        <v>成新率</v>
      </c>
      <c r="R27" s="3476" t="s">
        <v>3331</v>
      </c>
      <c r="S27" s="3477">
        <f t="shared" si="12"/>
        <v>100</v>
      </c>
      <c r="T27" s="3476" t="s">
        <v>3331</v>
      </c>
      <c r="U27" s="3477">
        <f t="shared" si="13"/>
        <v>100</v>
      </c>
      <c r="V27" s="3476" t="s">
        <v>3331</v>
      </c>
      <c r="W27" s="3477">
        <f t="shared" si="14"/>
        <v>100</v>
      </c>
      <c r="X27" s="3478"/>
      <c r="Y27" s="4001"/>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4001"/>
      <c r="Q28" s="3430" t="str">
        <f t="shared" si="11"/>
        <v>物业等级</v>
      </c>
      <c r="R28" s="3431" t="s">
        <v>3331</v>
      </c>
      <c r="S28" s="3432">
        <f t="shared" si="12"/>
        <v>100</v>
      </c>
      <c r="T28" s="3431" t="s">
        <v>3331</v>
      </c>
      <c r="U28" s="3432">
        <f t="shared" si="13"/>
        <v>100</v>
      </c>
      <c r="V28" s="3431" t="s">
        <v>3331</v>
      </c>
      <c r="W28" s="3432">
        <f t="shared" si="14"/>
        <v>100</v>
      </c>
      <c r="X28" s="3370"/>
      <c r="Y28" s="4001"/>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4001"/>
      <c r="Q29" s="3430" t="str">
        <f t="shared" si="11"/>
        <v>有无电梯</v>
      </c>
      <c r="R29" s="3431" t="s">
        <v>3331</v>
      </c>
      <c r="S29" s="3432">
        <f t="shared" si="12"/>
        <v>100</v>
      </c>
      <c r="T29" s="3431" t="s">
        <v>3331</v>
      </c>
      <c r="U29" s="3432">
        <f t="shared" si="13"/>
        <v>100</v>
      </c>
      <c r="V29" s="3431" t="s">
        <v>3331</v>
      </c>
      <c r="W29" s="3432">
        <f t="shared" si="14"/>
        <v>100</v>
      </c>
      <c r="X29" s="3370"/>
      <c r="Y29" s="4001"/>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4001"/>
      <c r="Q30" s="3430" t="str">
        <f t="shared" si="11"/>
        <v>建筑面积</v>
      </c>
      <c r="R30" s="3431" t="s">
        <v>3331</v>
      </c>
      <c r="S30" s="3432">
        <f t="shared" si="12"/>
        <v>100</v>
      </c>
      <c r="T30" s="3431" t="s">
        <v>3331</v>
      </c>
      <c r="U30" s="3432">
        <f t="shared" si="13"/>
        <v>100</v>
      </c>
      <c r="V30" s="3431" t="s">
        <v>3331</v>
      </c>
      <c r="W30" s="3432">
        <f t="shared" si="14"/>
        <v>100</v>
      </c>
      <c r="X30" s="3370"/>
      <c r="Y30" s="4001"/>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4001"/>
      <c r="Q31" s="3399" t="str">
        <f t="shared" si="11"/>
        <v>是否封闭</v>
      </c>
      <c r="R31" s="3385" t="s">
        <v>3331</v>
      </c>
      <c r="S31" s="3386">
        <f t="shared" si="12"/>
        <v>100</v>
      </c>
      <c r="T31" s="3385" t="s">
        <v>3331</v>
      </c>
      <c r="U31" s="3386">
        <f t="shared" si="13"/>
        <v>100</v>
      </c>
      <c r="V31" s="3385" t="s">
        <v>3331</v>
      </c>
      <c r="W31" s="3386">
        <f t="shared" si="14"/>
        <v>100</v>
      </c>
      <c r="X31" s="3387"/>
      <c r="Y31" s="4001"/>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4001" t="s">
        <v>3347</v>
      </c>
      <c r="Q32" s="3430">
        <f t="shared" si="11"/>
        <v>111</v>
      </c>
      <c r="R32" s="3431" t="s">
        <v>3331</v>
      </c>
      <c r="S32" s="3432">
        <f t="shared" si="12"/>
        <v>100</v>
      </c>
      <c r="T32" s="3431" t="s">
        <v>3331</v>
      </c>
      <c r="U32" s="3432">
        <f t="shared" si="13"/>
        <v>100</v>
      </c>
      <c r="V32" s="3431" t="s">
        <v>3331</v>
      </c>
      <c r="W32" s="3432">
        <f t="shared" si="14"/>
        <v>100</v>
      </c>
      <c r="X32" s="3370"/>
      <c r="Y32" s="4001"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4001"/>
      <c r="Q33" s="3430">
        <f t="shared" si="11"/>
        <v>111</v>
      </c>
      <c r="R33" s="3431" t="s">
        <v>3331</v>
      </c>
      <c r="S33" s="3432">
        <f t="shared" si="12"/>
        <v>100</v>
      </c>
      <c r="T33" s="3431" t="s">
        <v>3331</v>
      </c>
      <c r="U33" s="3432">
        <f t="shared" si="13"/>
        <v>100</v>
      </c>
      <c r="V33" s="3431" t="s">
        <v>3331</v>
      </c>
      <c r="W33" s="3432">
        <f t="shared" si="14"/>
        <v>100</v>
      </c>
      <c r="X33" s="3370"/>
      <c r="Y33" s="4001"/>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4001"/>
      <c r="Q34" s="3430">
        <f t="shared" si="11"/>
        <v>111</v>
      </c>
      <c r="R34" s="3431" t="s">
        <v>3331</v>
      </c>
      <c r="S34" s="3432">
        <f t="shared" si="12"/>
        <v>100</v>
      </c>
      <c r="T34" s="3431" t="s">
        <v>3331</v>
      </c>
      <c r="U34" s="3432">
        <f t="shared" si="13"/>
        <v>100</v>
      </c>
      <c r="V34" s="3431" t="s">
        <v>3331</v>
      </c>
      <c r="W34" s="3432">
        <f t="shared" si="14"/>
        <v>100</v>
      </c>
      <c r="X34" s="3370"/>
      <c r="Y34" s="4001"/>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96" t="str">
        <f>A35</f>
        <v>成交单价（元/平方米）</v>
      </c>
      <c r="Q35" s="3996"/>
      <c r="R35" s="4002">
        <f>E35</f>
        <v>12900</v>
      </c>
      <c r="S35" s="4002"/>
      <c r="T35" s="4002">
        <f>G35</f>
        <v>13940</v>
      </c>
      <c r="U35" s="4002"/>
      <c r="V35" s="4002">
        <f>I35</f>
        <v>13307</v>
      </c>
      <c r="W35" s="4002"/>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96" t="str">
        <f>A36</f>
        <v>比较价格（元/平方米）</v>
      </c>
      <c r="Q36" s="3996"/>
      <c r="R36" s="4002">
        <f>IF(F1="售价",ROUND(PRODUCT(R35,AA7:AA34),0),ROUND(PRODUCT(R35,AA7:AA34),1))</f>
        <v>12652</v>
      </c>
      <c r="S36" s="4002"/>
      <c r="T36" s="4002">
        <f>IF(F1="售价",ROUND(PRODUCT(T35,AB7:AB34),0),ROUND(PRODUCT(T35,AB7:AB34),1))</f>
        <v>13672</v>
      </c>
      <c r="U36" s="4002"/>
      <c r="V36" s="4002">
        <f>IF(F1="售价",ROUND(PRODUCT(V35,AC7:AC34),0),ROUND(PRODUCT(V35,AC7:AC34),1))</f>
        <v>13579</v>
      </c>
      <c r="W36" s="4002"/>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4003" t="str">
        <f>A37</f>
        <v>估价对象XX用房的比较价格（楼面单价，元/平方米）</v>
      </c>
      <c r="Q37" s="4004"/>
      <c r="R37" s="4005">
        <f>IF(F1="售价",ROUND(IF(D36="简单平均",AVERAGE(R36:W36),R36*F36+T36*H36+V36*J36),0),ROUND(IF(D36="简单平均",AVERAGE(R36:V36),R36*F36+T36*H36+V36*J36),1))</f>
        <v>13301</v>
      </c>
      <c r="S37" s="4005"/>
      <c r="T37" s="4005"/>
      <c r="U37" s="4005"/>
      <c r="V37" s="4005"/>
      <c r="W37" s="4005"/>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7" t="s">
        <v>3320</v>
      </c>
      <c r="D4" s="3968"/>
      <c r="E4" s="3967" t="s">
        <v>3321</v>
      </c>
      <c r="F4" s="3968"/>
      <c r="G4" s="3967" t="s">
        <v>3322</v>
      </c>
      <c r="H4" s="3968"/>
      <c r="I4" s="3967" t="s">
        <v>3323</v>
      </c>
      <c r="J4" s="3968"/>
      <c r="K4" s="3367" t="s">
        <v>3324</v>
      </c>
      <c r="L4" s="3368"/>
      <c r="M4" s="3369"/>
      <c r="N4" s="3369"/>
      <c r="O4" s="3369"/>
      <c r="P4" s="3971" t="s">
        <v>3325</v>
      </c>
      <c r="Q4" s="3972"/>
      <c r="R4" s="3977" t="s">
        <v>3321</v>
      </c>
      <c r="S4" s="3978"/>
      <c r="T4" s="3977" t="s">
        <v>3322</v>
      </c>
      <c r="U4" s="3978"/>
      <c r="V4" s="3992" t="s">
        <v>3323</v>
      </c>
      <c r="W4" s="3992"/>
      <c r="X4" s="3370"/>
      <c r="Y4" s="3977" t="s">
        <v>3325</v>
      </c>
      <c r="Z4" s="3978"/>
      <c r="AA4" s="3964" t="s">
        <v>3321</v>
      </c>
      <c r="AB4" s="3965" t="s">
        <v>3322</v>
      </c>
      <c r="AC4" s="3964" t="s">
        <v>3323</v>
      </c>
    </row>
    <row r="5" spans="1:29" ht="15">
      <c r="A5" s="3372"/>
      <c r="B5" s="3373"/>
      <c r="C5" s="3981" t="s">
        <v>3326</v>
      </c>
      <c r="D5" s="3982"/>
      <c r="E5" s="3985" t="s">
        <v>3440</v>
      </c>
      <c r="F5" s="3982"/>
      <c r="G5" s="3985" t="s">
        <v>3441</v>
      </c>
      <c r="H5" s="3982"/>
      <c r="I5" s="3985" t="s">
        <v>3442</v>
      </c>
      <c r="J5" s="3982"/>
      <c r="K5" s="3367"/>
      <c r="L5" s="3368"/>
      <c r="M5" s="3369"/>
      <c r="N5" s="3369"/>
      <c r="O5" s="3369"/>
      <c r="P5" s="3973"/>
      <c r="Q5" s="3974"/>
      <c r="R5" s="3979"/>
      <c r="S5" s="3980"/>
      <c r="T5" s="3979"/>
      <c r="U5" s="3980"/>
      <c r="V5" s="3992"/>
      <c r="W5" s="3992"/>
      <c r="X5" s="3370"/>
      <c r="Y5" s="3979"/>
      <c r="Z5" s="3980"/>
      <c r="AA5" s="3965"/>
      <c r="AB5" s="3965"/>
      <c r="AC5" s="3965"/>
    </row>
    <row r="6" spans="1:29" ht="15.75" thickBot="1">
      <c r="A6" s="3374"/>
      <c r="B6" s="3375"/>
      <c r="C6" s="3986" t="s">
        <v>3327</v>
      </c>
      <c r="D6" s="3987"/>
      <c r="E6" s="4006" t="s">
        <v>3327</v>
      </c>
      <c r="F6" s="4007"/>
      <c r="G6" s="3986" t="s">
        <v>3327</v>
      </c>
      <c r="H6" s="3987"/>
      <c r="I6" s="3986" t="s">
        <v>3327</v>
      </c>
      <c r="J6" s="3987"/>
      <c r="K6" s="3367" t="s">
        <v>3328</v>
      </c>
      <c r="L6" s="3368"/>
      <c r="M6" s="3369"/>
      <c r="N6" s="3369"/>
      <c r="O6" s="3369"/>
      <c r="P6" s="3975"/>
      <c r="Q6" s="3976"/>
      <c r="R6" s="3979"/>
      <c r="S6" s="3980"/>
      <c r="T6" s="3990"/>
      <c r="U6" s="3991"/>
      <c r="V6" s="3992"/>
      <c r="W6" s="3992"/>
      <c r="X6" s="3370"/>
      <c r="Y6" s="3990"/>
      <c r="Z6" s="3991"/>
      <c r="AA6" s="3966"/>
      <c r="AB6" s="3966"/>
      <c r="AC6" s="3966"/>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93" t="s">
        <v>3330</v>
      </c>
      <c r="Q7" s="3994"/>
      <c r="R7" s="3385" t="s">
        <v>3331</v>
      </c>
      <c r="S7" s="3386">
        <f t="shared" ref="S7:S14" si="0">F7</f>
        <v>100</v>
      </c>
      <c r="T7" s="3385" t="s">
        <v>3331</v>
      </c>
      <c r="U7" s="3386">
        <f t="shared" ref="U7:U14" si="1">H7</f>
        <v>100</v>
      </c>
      <c r="V7" s="3385" t="s">
        <v>3331</v>
      </c>
      <c r="W7" s="3386">
        <f t="shared" ref="W7:W14" si="2">J7</f>
        <v>100</v>
      </c>
      <c r="X7" s="3387"/>
      <c r="Y7" s="3993" t="s">
        <v>3330</v>
      </c>
      <c r="Z7" s="3995"/>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93" t="s">
        <v>3393</v>
      </c>
      <c r="Q8" s="3995"/>
      <c r="R8" s="3385" t="s">
        <v>3331</v>
      </c>
      <c r="S8" s="3386">
        <f t="shared" si="0"/>
        <v>100</v>
      </c>
      <c r="T8" s="3385" t="s">
        <v>3331</v>
      </c>
      <c r="U8" s="3386">
        <f t="shared" si="1"/>
        <v>100</v>
      </c>
      <c r="V8" s="3385" t="s">
        <v>3331</v>
      </c>
      <c r="W8" s="3386">
        <f t="shared" si="2"/>
        <v>100</v>
      </c>
      <c r="X8" s="3387"/>
      <c r="Y8" s="3993" t="s">
        <v>3393</v>
      </c>
      <c r="Z8" s="3995"/>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96" t="s">
        <v>3396</v>
      </c>
      <c r="Q9" s="3399" t="str">
        <f t="shared" ref="Q9:Q14" si="6">B9</f>
        <v>用途</v>
      </c>
      <c r="R9" s="3385" t="s">
        <v>3331</v>
      </c>
      <c r="S9" s="3386">
        <f t="shared" si="0"/>
        <v>100</v>
      </c>
      <c r="T9" s="3385" t="s">
        <v>3331</v>
      </c>
      <c r="U9" s="3386">
        <f t="shared" si="1"/>
        <v>100</v>
      </c>
      <c r="V9" s="3385" t="s">
        <v>3331</v>
      </c>
      <c r="W9" s="3386">
        <f t="shared" si="2"/>
        <v>100</v>
      </c>
      <c r="X9" s="3387"/>
      <c r="Y9" s="3997"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96"/>
      <c r="Q10" s="3399" t="str">
        <f t="shared" si="6"/>
        <v>土地使用年限（年）</v>
      </c>
      <c r="R10" s="3385" t="s">
        <v>3331</v>
      </c>
      <c r="S10" s="3386">
        <f t="shared" si="0"/>
        <v>100</v>
      </c>
      <c r="T10" s="3385" t="s">
        <v>3331</v>
      </c>
      <c r="U10" s="3386">
        <f t="shared" si="1"/>
        <v>100</v>
      </c>
      <c r="V10" s="3385" t="s">
        <v>3331</v>
      </c>
      <c r="W10" s="3386">
        <f t="shared" si="2"/>
        <v>100</v>
      </c>
      <c r="X10" s="3387"/>
      <c r="Y10" s="3997"/>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96"/>
      <c r="Q11" s="3399">
        <f t="shared" si="6"/>
        <v>111</v>
      </c>
      <c r="R11" s="3385" t="s">
        <v>3331</v>
      </c>
      <c r="S11" s="3386">
        <f t="shared" si="0"/>
        <v>100</v>
      </c>
      <c r="T11" s="3385" t="s">
        <v>3331</v>
      </c>
      <c r="U11" s="3386">
        <f t="shared" si="1"/>
        <v>100</v>
      </c>
      <c r="V11" s="3385" t="s">
        <v>3331</v>
      </c>
      <c r="W11" s="3386">
        <f t="shared" si="2"/>
        <v>100</v>
      </c>
      <c r="X11" s="3387"/>
      <c r="Y11" s="3997"/>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96"/>
      <c r="Q12" s="3399">
        <f t="shared" si="6"/>
        <v>111</v>
      </c>
      <c r="R12" s="3385" t="s">
        <v>3331</v>
      </c>
      <c r="S12" s="3386">
        <f t="shared" si="0"/>
        <v>100</v>
      </c>
      <c r="T12" s="3385" t="s">
        <v>3331</v>
      </c>
      <c r="U12" s="3386">
        <f t="shared" si="1"/>
        <v>100</v>
      </c>
      <c r="V12" s="3385" t="s">
        <v>3331</v>
      </c>
      <c r="W12" s="3386">
        <f t="shared" si="2"/>
        <v>100</v>
      </c>
      <c r="X12" s="3387"/>
      <c r="Y12" s="3997"/>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96"/>
      <c r="Q13" s="3399">
        <f t="shared" si="6"/>
        <v>111</v>
      </c>
      <c r="R13" s="3385" t="s">
        <v>3331</v>
      </c>
      <c r="S13" s="3386">
        <f t="shared" si="0"/>
        <v>100</v>
      </c>
      <c r="T13" s="3385" t="s">
        <v>3331</v>
      </c>
      <c r="U13" s="3386">
        <f t="shared" si="1"/>
        <v>100</v>
      </c>
      <c r="V13" s="3385" t="s">
        <v>3331</v>
      </c>
      <c r="W13" s="3386">
        <f t="shared" si="2"/>
        <v>100</v>
      </c>
      <c r="X13" s="3387"/>
      <c r="Y13" s="3997"/>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98" t="s">
        <v>3340</v>
      </c>
      <c r="Q14" s="3430" t="str">
        <f t="shared" si="6"/>
        <v>交通便捷度</v>
      </c>
      <c r="R14" s="3431" t="s">
        <v>3331</v>
      </c>
      <c r="S14" s="3432">
        <f t="shared" si="0"/>
        <v>100</v>
      </c>
      <c r="T14" s="3431" t="s">
        <v>3331</v>
      </c>
      <c r="U14" s="3432">
        <f t="shared" si="1"/>
        <v>98</v>
      </c>
      <c r="V14" s="3431" t="s">
        <v>3331</v>
      </c>
      <c r="W14" s="3432">
        <f t="shared" si="2"/>
        <v>100</v>
      </c>
      <c r="X14" s="3370"/>
      <c r="Y14" s="3998"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99"/>
      <c r="Q15" s="3430"/>
      <c r="R15" s="3431"/>
      <c r="S15" s="3432"/>
      <c r="T15" s="3431"/>
      <c r="U15" s="3432"/>
      <c r="V15" s="3431"/>
      <c r="W15" s="3432"/>
      <c r="X15" s="3370"/>
      <c r="Y15" s="3999"/>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99"/>
      <c r="Q16" s="3430" t="str">
        <f>B16</f>
        <v>公共配套设施</v>
      </c>
      <c r="R16" s="3431" t="s">
        <v>3331</v>
      </c>
      <c r="S16" s="3432">
        <f>F16</f>
        <v>100</v>
      </c>
      <c r="T16" s="3431" t="s">
        <v>3331</v>
      </c>
      <c r="U16" s="3432">
        <f>H16</f>
        <v>100</v>
      </c>
      <c r="V16" s="3431" t="s">
        <v>3331</v>
      </c>
      <c r="W16" s="3432">
        <f>J16</f>
        <v>100</v>
      </c>
      <c r="X16" s="3370"/>
      <c r="Y16" s="3999"/>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99"/>
      <c r="Q17" s="3430"/>
      <c r="R17" s="3431"/>
      <c r="S17" s="3432"/>
      <c r="T17" s="3431"/>
      <c r="U17" s="3432"/>
      <c r="V17" s="3431"/>
      <c r="W17" s="3432"/>
      <c r="X17" s="3370"/>
      <c r="Y17" s="3999"/>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99"/>
      <c r="Q18" s="3430" t="str">
        <f>B18</f>
        <v>基础设施水平</v>
      </c>
      <c r="R18" s="3431" t="s">
        <v>3331</v>
      </c>
      <c r="S18" s="3432">
        <f>F18</f>
        <v>100</v>
      </c>
      <c r="T18" s="3431" t="s">
        <v>3331</v>
      </c>
      <c r="U18" s="3432">
        <f>H18</f>
        <v>100</v>
      </c>
      <c r="V18" s="3431" t="s">
        <v>3331</v>
      </c>
      <c r="W18" s="3432">
        <f>J18</f>
        <v>100</v>
      </c>
      <c r="X18" s="3370"/>
      <c r="Y18" s="3999"/>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99"/>
      <c r="Q19" s="3430"/>
      <c r="R19" s="3431"/>
      <c r="S19" s="3432"/>
      <c r="T19" s="3431"/>
      <c r="U19" s="3432"/>
      <c r="V19" s="3431"/>
      <c r="W19" s="3432"/>
      <c r="X19" s="3370"/>
      <c r="Y19" s="3999"/>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99"/>
      <c r="Q20" s="3430" t="str">
        <f>B20</f>
        <v>自然及人文环境</v>
      </c>
      <c r="R20" s="3431" t="s">
        <v>3331</v>
      </c>
      <c r="S20" s="3432">
        <f>F20</f>
        <v>100</v>
      </c>
      <c r="T20" s="3431" t="s">
        <v>3331</v>
      </c>
      <c r="U20" s="3432">
        <f>H20</f>
        <v>100</v>
      </c>
      <c r="V20" s="3431" t="s">
        <v>3331</v>
      </c>
      <c r="W20" s="3432">
        <f>J20</f>
        <v>100</v>
      </c>
      <c r="X20" s="3370"/>
      <c r="Y20" s="3999"/>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99"/>
      <c r="Q21" s="3430"/>
      <c r="R21" s="3431"/>
      <c r="S21" s="3432"/>
      <c r="T21" s="3431"/>
      <c r="U21" s="3432"/>
      <c r="V21" s="3431"/>
      <c r="W21" s="3432"/>
      <c r="X21" s="3370"/>
      <c r="Y21" s="3999"/>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99"/>
      <c r="Q22" s="3430" t="str">
        <f>B22</f>
        <v>楼层</v>
      </c>
      <c r="R22" s="3431" t="s">
        <v>3331</v>
      </c>
      <c r="S22" s="3432">
        <f>F22</f>
        <v>100</v>
      </c>
      <c r="T22" s="3431" t="s">
        <v>3331</v>
      </c>
      <c r="U22" s="3432">
        <f>H22</f>
        <v>100</v>
      </c>
      <c r="V22" s="3431" t="s">
        <v>3331</v>
      </c>
      <c r="W22" s="3432">
        <f>J22</f>
        <v>100</v>
      </c>
      <c r="X22" s="3370"/>
      <c r="Y22" s="3999"/>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99"/>
      <c r="Q23" s="3430">
        <f>B23</f>
        <v>111</v>
      </c>
      <c r="R23" s="3431" t="s">
        <v>3331</v>
      </c>
      <c r="S23" s="3432">
        <f>F23</f>
        <v>100</v>
      </c>
      <c r="T23" s="3431" t="s">
        <v>3331</v>
      </c>
      <c r="U23" s="3432">
        <f>H23</f>
        <v>100</v>
      </c>
      <c r="V23" s="3431" t="s">
        <v>3331</v>
      </c>
      <c r="W23" s="3432">
        <f>J23</f>
        <v>100</v>
      </c>
      <c r="X23" s="3370"/>
      <c r="Y23" s="3999"/>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99"/>
      <c r="Q24" s="3430">
        <f t="shared" ref="Q24:Q36" si="11">B24</f>
        <v>111</v>
      </c>
      <c r="R24" s="3431" t="s">
        <v>3331</v>
      </c>
      <c r="S24" s="3432">
        <f>F24</f>
        <v>100</v>
      </c>
      <c r="T24" s="3431" t="s">
        <v>3331</v>
      </c>
      <c r="U24" s="3432">
        <f>H24</f>
        <v>100</v>
      </c>
      <c r="V24" s="3431" t="s">
        <v>3331</v>
      </c>
      <c r="W24" s="3432">
        <f>J24</f>
        <v>100</v>
      </c>
      <c r="X24" s="3370"/>
      <c r="Y24" s="3999"/>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99"/>
      <c r="Q25" s="3399">
        <f t="shared" si="11"/>
        <v>111</v>
      </c>
      <c r="R25" s="3385" t="s">
        <v>3331</v>
      </c>
      <c r="S25" s="3386">
        <f>F25</f>
        <v>100</v>
      </c>
      <c r="T25" s="3385" t="s">
        <v>3331</v>
      </c>
      <c r="U25" s="3386">
        <f>H25</f>
        <v>100</v>
      </c>
      <c r="V25" s="3385" t="s">
        <v>3331</v>
      </c>
      <c r="W25" s="3386">
        <f>J25</f>
        <v>100</v>
      </c>
      <c r="X25" s="3387"/>
      <c r="Y25" s="3999"/>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4000"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4001"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4001"/>
      <c r="Q27" s="3475" t="str">
        <f t="shared" si="11"/>
        <v>项目停车位配比</v>
      </c>
      <c r="R27" s="3476" t="s">
        <v>3331</v>
      </c>
      <c r="S27" s="3477">
        <f t="shared" si="12"/>
        <v>100</v>
      </c>
      <c r="T27" s="3476" t="s">
        <v>3331</v>
      </c>
      <c r="U27" s="3477">
        <f t="shared" si="13"/>
        <v>100</v>
      </c>
      <c r="V27" s="3476" t="s">
        <v>3331</v>
      </c>
      <c r="W27" s="3477">
        <f t="shared" si="14"/>
        <v>100</v>
      </c>
      <c r="X27" s="3478"/>
      <c r="Y27" s="4001"/>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4001"/>
      <c r="Q28" s="3430" t="str">
        <f t="shared" si="11"/>
        <v>公共部分装修</v>
      </c>
      <c r="R28" s="3431" t="s">
        <v>3331</v>
      </c>
      <c r="S28" s="3432">
        <f t="shared" si="12"/>
        <v>100</v>
      </c>
      <c r="T28" s="3431" t="s">
        <v>3331</v>
      </c>
      <c r="U28" s="3432">
        <f t="shared" si="13"/>
        <v>100</v>
      </c>
      <c r="V28" s="3431" t="s">
        <v>3331</v>
      </c>
      <c r="W28" s="3432">
        <f t="shared" si="14"/>
        <v>100</v>
      </c>
      <c r="X28" s="3370"/>
      <c r="Y28" s="4001"/>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4001"/>
      <c r="Q29" s="3430" t="str">
        <f t="shared" si="11"/>
        <v>成新率</v>
      </c>
      <c r="R29" s="3431" t="s">
        <v>3331</v>
      </c>
      <c r="S29" s="3432">
        <f t="shared" si="12"/>
        <v>100</v>
      </c>
      <c r="T29" s="3431" t="s">
        <v>3331</v>
      </c>
      <c r="U29" s="3432">
        <f t="shared" si="13"/>
        <v>100</v>
      </c>
      <c r="V29" s="3431" t="s">
        <v>3331</v>
      </c>
      <c r="W29" s="3432">
        <f t="shared" si="14"/>
        <v>100</v>
      </c>
      <c r="X29" s="3370"/>
      <c r="Y29" s="4001"/>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4001"/>
      <c r="Q30" s="3430" t="str">
        <f t="shared" si="11"/>
        <v>物业等级</v>
      </c>
      <c r="R30" s="3431" t="s">
        <v>3331</v>
      </c>
      <c r="S30" s="3432">
        <f t="shared" si="12"/>
        <v>100</v>
      </c>
      <c r="T30" s="3431" t="s">
        <v>3331</v>
      </c>
      <c r="U30" s="3432">
        <f t="shared" si="13"/>
        <v>100</v>
      </c>
      <c r="V30" s="3431" t="s">
        <v>3331</v>
      </c>
      <c r="W30" s="3432">
        <f t="shared" si="14"/>
        <v>100</v>
      </c>
      <c r="X30" s="3370"/>
      <c r="Y30" s="4001"/>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4001"/>
      <c r="Q31" s="3399" t="str">
        <f t="shared" si="11"/>
        <v>停车位面积</v>
      </c>
      <c r="R31" s="3385" t="s">
        <v>3331</v>
      </c>
      <c r="S31" s="3386">
        <f t="shared" si="12"/>
        <v>101</v>
      </c>
      <c r="T31" s="3385" t="s">
        <v>3331</v>
      </c>
      <c r="U31" s="3386">
        <f t="shared" si="13"/>
        <v>100</v>
      </c>
      <c r="V31" s="3385" t="s">
        <v>3331</v>
      </c>
      <c r="W31" s="3386">
        <f t="shared" si="14"/>
        <v>101</v>
      </c>
      <c r="X31" s="3387"/>
      <c r="Y31" s="4001"/>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4001" t="s">
        <v>3347</v>
      </c>
      <c r="Q32" s="3430" t="str">
        <f t="shared" si="11"/>
        <v>车位类型</v>
      </c>
      <c r="R32" s="3431" t="s">
        <v>3331</v>
      </c>
      <c r="S32" s="3432">
        <f t="shared" si="12"/>
        <v>100</v>
      </c>
      <c r="T32" s="3431" t="s">
        <v>3331</v>
      </c>
      <c r="U32" s="3432">
        <f t="shared" si="13"/>
        <v>100</v>
      </c>
      <c r="V32" s="3431" t="s">
        <v>3331</v>
      </c>
      <c r="W32" s="3432">
        <f t="shared" si="14"/>
        <v>100</v>
      </c>
      <c r="X32" s="3370"/>
      <c r="Y32" s="4001"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4001"/>
      <c r="Q33" s="3430" t="str">
        <f t="shared" si="11"/>
        <v>是否直接入户</v>
      </c>
      <c r="R33" s="3431" t="s">
        <v>3331</v>
      </c>
      <c r="S33" s="3432">
        <f t="shared" si="12"/>
        <v>100</v>
      </c>
      <c r="T33" s="3431" t="s">
        <v>3331</v>
      </c>
      <c r="U33" s="3432">
        <f t="shared" si="13"/>
        <v>100</v>
      </c>
      <c r="V33" s="3431" t="s">
        <v>3331</v>
      </c>
      <c r="W33" s="3432">
        <f t="shared" si="14"/>
        <v>100</v>
      </c>
      <c r="X33" s="3370"/>
      <c r="Y33" s="4001"/>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4001"/>
      <c r="Q34" s="3430">
        <f t="shared" si="11"/>
        <v>111</v>
      </c>
      <c r="R34" s="3431" t="s">
        <v>3331</v>
      </c>
      <c r="S34" s="3432">
        <f t="shared" si="12"/>
        <v>100</v>
      </c>
      <c r="T34" s="3431" t="s">
        <v>3331</v>
      </c>
      <c r="U34" s="3432">
        <f t="shared" si="13"/>
        <v>100</v>
      </c>
      <c r="V34" s="3431" t="s">
        <v>3331</v>
      </c>
      <c r="W34" s="3432">
        <f t="shared" si="14"/>
        <v>100</v>
      </c>
      <c r="X34" s="3370"/>
      <c r="Y34" s="4001"/>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4001"/>
      <c r="Q35" s="3475">
        <f t="shared" si="11"/>
        <v>111</v>
      </c>
      <c r="R35" s="3476" t="s">
        <v>3331</v>
      </c>
      <c r="S35" s="3477">
        <f t="shared" si="12"/>
        <v>100</v>
      </c>
      <c r="T35" s="3476" t="s">
        <v>3331</v>
      </c>
      <c r="U35" s="3477">
        <f t="shared" si="13"/>
        <v>100</v>
      </c>
      <c r="V35" s="3476" t="s">
        <v>3331</v>
      </c>
      <c r="W35" s="3477">
        <f t="shared" si="14"/>
        <v>100</v>
      </c>
      <c r="X35" s="3478"/>
      <c r="Y35" s="4001"/>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4001"/>
      <c r="Q36" s="3430">
        <f t="shared" si="11"/>
        <v>111</v>
      </c>
      <c r="R36" s="3431" t="s">
        <v>3331</v>
      </c>
      <c r="S36" s="3432">
        <f t="shared" si="12"/>
        <v>100</v>
      </c>
      <c r="T36" s="3431" t="s">
        <v>3331</v>
      </c>
      <c r="U36" s="3432">
        <f t="shared" si="13"/>
        <v>100</v>
      </c>
      <c r="V36" s="3431" t="s">
        <v>3331</v>
      </c>
      <c r="W36" s="3432">
        <f t="shared" si="14"/>
        <v>100</v>
      </c>
      <c r="X36" s="3370"/>
      <c r="Y36" s="4001"/>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96" t="str">
        <f>A37</f>
        <v>成交单价</v>
      </c>
      <c r="Q37" s="3996"/>
      <c r="R37" s="4002">
        <f>E37</f>
        <v>6184</v>
      </c>
      <c r="S37" s="4002"/>
      <c r="T37" s="4002">
        <f>G37</f>
        <v>6478</v>
      </c>
      <c r="U37" s="4002"/>
      <c r="V37" s="4002">
        <f>I37</f>
        <v>6099</v>
      </c>
      <c r="W37" s="4002"/>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96" t="str">
        <f>A38</f>
        <v>比较价格（元/平方米）</v>
      </c>
      <c r="Q38" s="3996"/>
      <c r="R38" s="4002">
        <f>IF(F1="售价",ROUND(PRODUCT(R37,AA7:AA36),0),ROUND(PRODUCT(R37,AA7:AA36),1))</f>
        <v>6123</v>
      </c>
      <c r="S38" s="4002"/>
      <c r="T38" s="4002">
        <f>IF(F1="售价",ROUND(PRODUCT(T37,AB7:AB36),0),ROUND(PRODUCT(T37,AB7:AB36),1))</f>
        <v>6610</v>
      </c>
      <c r="U38" s="4002"/>
      <c r="V38" s="4002">
        <f>IF(F1="售价",ROUND(PRODUCT(V37,AC7:AC36),0),ROUND(PRODUCT(V37,AC7:AC36),1))</f>
        <v>6039</v>
      </c>
      <c r="W38" s="4002"/>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4003" t="str">
        <f>A39</f>
        <v>估价对象XX用房的比较价格（楼面单价，元/平方米）</v>
      </c>
      <c r="Q39" s="4004"/>
      <c r="R39" s="4005">
        <f>IF(F1="售价",ROUND(IF(D38="简单平均",AVERAGE(R38:W38),R38*F38+T38*H38+V38*J38),0),ROUND(IF(D38="简单平均",AVERAGE(R38:V38),R38*F38+T38*H38+V38*J38),1))</f>
        <v>6257</v>
      </c>
      <c r="S39" s="4005"/>
      <c r="T39" s="4005"/>
      <c r="U39" s="4005"/>
      <c r="V39" s="4005"/>
      <c r="W39" s="4005"/>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Normal="60" zoomScaleSheetLayoutView="100" workbookViewId="0">
      <selection activeCell="F35" sqref="F35"/>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3" t="s">
        <v>2420</v>
      </c>
      <c r="C6" s="770">
        <f ca="1">ROUND(F6*F8*F7*(1-F9)/10000,0)</f>
        <v>121</v>
      </c>
      <c r="D6" s="2346" t="s">
        <v>2419</v>
      </c>
      <c r="E6" s="771" t="s">
        <v>1705</v>
      </c>
      <c r="F6" s="772">
        <f ca="1">INDIRECT("'数据-取费表'!u"&amp;$G$1)</f>
        <v>2.5</v>
      </c>
      <c r="G6" s="1941"/>
      <c r="H6" s="2353" t="s">
        <v>2425</v>
      </c>
      <c r="I6" s="3953" t="s">
        <v>2420</v>
      </c>
      <c r="J6" s="770">
        <f ca="1">ROUND(M6*M8*M7*(1-M9)/10000,0)</f>
        <v>0</v>
      </c>
      <c r="K6" s="336" t="s">
        <v>1704</v>
      </c>
      <c r="L6" s="771" t="s">
        <v>1705</v>
      </c>
      <c r="M6" s="772">
        <f ca="1">INDIRECT("'数据-取费表'!z"&amp;$G$1)</f>
        <v>0</v>
      </c>
    </row>
    <row r="7" spans="1:33" ht="18" customHeight="1">
      <c r="A7" s="2349"/>
      <c r="B7" s="3954"/>
      <c r="C7" s="775"/>
      <c r="D7" s="776"/>
      <c r="E7" s="771" t="s">
        <v>1706</v>
      </c>
      <c r="F7" s="772">
        <f ca="1">IF(INDIRECT("'数据-取费表'!ah"&amp;$G$1)="",INDIRECT("'数据-取费表'!k"&amp;$G$1),INDIRECT("'数据-取费表'!ah"&amp;$G$1))</f>
        <v>1477.62</v>
      </c>
      <c r="G7" s="1941"/>
      <c r="H7" s="2338"/>
      <c r="I7" s="3954"/>
      <c r="J7" s="775"/>
      <c r="K7" s="776"/>
      <c r="L7" s="771" t="s">
        <v>1706</v>
      </c>
      <c r="M7" s="772">
        <f ca="1">F7</f>
        <v>1477.62</v>
      </c>
    </row>
    <row r="8" spans="1:33" ht="18" customHeight="1">
      <c r="A8" s="2342"/>
      <c r="B8" s="3955"/>
      <c r="C8" s="775"/>
      <c r="D8" s="776"/>
      <c r="E8" s="771" t="s">
        <v>1707</v>
      </c>
      <c r="F8" s="772">
        <f ca="1">INDIRECT("'数据-取费表'!ai"&amp;$G$1)</f>
        <v>365</v>
      </c>
      <c r="G8" s="1941"/>
      <c r="H8" s="2338"/>
      <c r="I8" s="3955"/>
      <c r="J8" s="775"/>
      <c r="K8" s="776"/>
      <c r="L8" s="771" t="s">
        <v>1707</v>
      </c>
      <c r="M8" s="772">
        <f ca="1">INDIRECT("'数据-取费表'!ai"&amp;$G$1)</f>
        <v>365</v>
      </c>
    </row>
    <row r="9" spans="1:33" ht="18" customHeight="1">
      <c r="A9" s="773"/>
      <c r="B9" s="3956"/>
      <c r="C9" s="775"/>
      <c r="D9" s="776"/>
      <c r="E9" s="771" t="s">
        <v>1708</v>
      </c>
      <c r="F9" s="781">
        <f ca="1">INDIRECT("'数据-取费表'!w"&amp;$G$1)</f>
        <v>0.1</v>
      </c>
      <c r="G9" s="1941"/>
      <c r="H9" s="2354"/>
      <c r="I9" s="3955"/>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343.13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343.13</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8" t="s">
        <v>2905</v>
      </c>
      <c r="L53" s="4009"/>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343.13</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26" t="s">
        <v>2428</v>
      </c>
      <c r="B1" s="4027"/>
      <c r="C1" s="4028"/>
      <c r="D1" s="4029">
        <f>SUM(I10,I15,I20,I21,I23)</f>
        <v>0</v>
      </c>
      <c r="E1" s="4029"/>
      <c r="F1" s="4029"/>
      <c r="G1" s="4029"/>
      <c r="H1" s="4029"/>
      <c r="I1" s="4030"/>
    </row>
    <row r="2" spans="1:9">
      <c r="A2" s="4016" t="s">
        <v>2429</v>
      </c>
      <c r="B2" s="4017" t="s">
        <v>2430</v>
      </c>
      <c r="C2" s="4017"/>
      <c r="D2" s="2356" t="s">
        <v>2431</v>
      </c>
      <c r="E2" s="2356" t="s">
        <v>2432</v>
      </c>
      <c r="F2" s="2356" t="s">
        <v>2433</v>
      </c>
      <c r="G2" s="2356" t="s">
        <v>2434</v>
      </c>
      <c r="H2" s="2356" t="s">
        <v>2435</v>
      </c>
      <c r="I2" s="2357" t="s">
        <v>2436</v>
      </c>
    </row>
    <row r="3" spans="1:9">
      <c r="A3" s="4016"/>
      <c r="B3" s="4017" t="s">
        <v>2437</v>
      </c>
      <c r="C3" s="4017"/>
      <c r="D3" s="2358"/>
      <c r="E3" s="2356"/>
      <c r="F3" s="2359"/>
      <c r="G3" s="2359"/>
      <c r="H3" s="2360"/>
      <c r="I3" s="2361">
        <f>ROUND(D3*E3*F3*G3*H3/10000,0)</f>
        <v>0</v>
      </c>
    </row>
    <row r="4" spans="1:9">
      <c r="A4" s="4016"/>
      <c r="B4" s="4017" t="s">
        <v>2438</v>
      </c>
      <c r="C4" s="4017"/>
      <c r="D4" s="2358"/>
      <c r="E4" s="2356"/>
      <c r="F4" s="2359"/>
      <c r="G4" s="2359"/>
      <c r="H4" s="2360"/>
      <c r="I4" s="2361">
        <f t="shared" ref="I4:I9" si="0">ROUND(D4*E4*F4*G4*H4/10000,0)</f>
        <v>0</v>
      </c>
    </row>
    <row r="5" spans="1:9">
      <c r="A5" s="4016"/>
      <c r="B5" s="4017" t="s">
        <v>2439</v>
      </c>
      <c r="C5" s="4017"/>
      <c r="D5" s="2358"/>
      <c r="E5" s="2356"/>
      <c r="F5" s="2359"/>
      <c r="G5" s="2359"/>
      <c r="H5" s="2360"/>
      <c r="I5" s="2361">
        <f t="shared" si="0"/>
        <v>0</v>
      </c>
    </row>
    <row r="6" spans="1:9">
      <c r="A6" s="4016"/>
      <c r="B6" s="4017" t="s">
        <v>2440</v>
      </c>
      <c r="C6" s="4017"/>
      <c r="D6" s="2358"/>
      <c r="E6" s="2356"/>
      <c r="F6" s="2359"/>
      <c r="G6" s="2359"/>
      <c r="H6" s="2360"/>
      <c r="I6" s="2361">
        <f t="shared" si="0"/>
        <v>0</v>
      </c>
    </row>
    <row r="7" spans="1:9">
      <c r="A7" s="4016"/>
      <c r="B7" s="4017" t="s">
        <v>2441</v>
      </c>
      <c r="C7" s="4017"/>
      <c r="D7" s="2358"/>
      <c r="E7" s="2356"/>
      <c r="F7" s="2359"/>
      <c r="G7" s="2359"/>
      <c r="H7" s="2360"/>
      <c r="I7" s="2361">
        <f t="shared" si="0"/>
        <v>0</v>
      </c>
    </row>
    <row r="8" spans="1:9">
      <c r="A8" s="4016"/>
      <c r="B8" s="4017" t="s">
        <v>2442</v>
      </c>
      <c r="C8" s="4017"/>
      <c r="D8" s="2358"/>
      <c r="E8" s="2356"/>
      <c r="F8" s="2359"/>
      <c r="G8" s="2359"/>
      <c r="H8" s="2360"/>
      <c r="I8" s="2361">
        <f t="shared" si="0"/>
        <v>0</v>
      </c>
    </row>
    <row r="9" spans="1:9">
      <c r="A9" s="4016"/>
      <c r="B9" s="4017" t="s">
        <v>2443</v>
      </c>
      <c r="C9" s="4017"/>
      <c r="D9" s="2358"/>
      <c r="E9" s="2356"/>
      <c r="F9" s="2359"/>
      <c r="G9" s="2359"/>
      <c r="H9" s="2360"/>
      <c r="I9" s="2361">
        <f t="shared" si="0"/>
        <v>0</v>
      </c>
    </row>
    <row r="10" spans="1:9">
      <c r="A10" s="4016"/>
      <c r="B10" s="4018" t="s">
        <v>2444</v>
      </c>
      <c r="C10" s="4018"/>
      <c r="D10" s="2362">
        <v>527</v>
      </c>
      <c r="E10" s="2362" t="e">
        <f>ROUND(D1*10000/D10/H9,0)</f>
        <v>#DIV/0!</v>
      </c>
      <c r="F10" s="2363"/>
      <c r="G10" s="2363"/>
      <c r="H10" s="2364"/>
      <c r="I10" s="2365">
        <f>SUM(I3:I9)</f>
        <v>0</v>
      </c>
    </row>
    <row r="11" spans="1:9" ht="14.25">
      <c r="A11" s="4016" t="s">
        <v>2445</v>
      </c>
      <c r="B11" s="4017" t="s">
        <v>2446</v>
      </c>
      <c r="C11" s="4017"/>
      <c r="D11" s="2358" t="s">
        <v>2447</v>
      </c>
      <c r="E11" s="2358" t="s">
        <v>2448</v>
      </c>
      <c r="F11" s="2359" t="s">
        <v>2449</v>
      </c>
      <c r="G11" s="2359" t="s">
        <v>2450</v>
      </c>
      <c r="H11" s="2366" t="s">
        <v>2451</v>
      </c>
      <c r="I11" s="2357" t="s">
        <v>2452</v>
      </c>
    </row>
    <row r="12" spans="1:9">
      <c r="A12" s="4016"/>
      <c r="B12" s="4017" t="s">
        <v>2453</v>
      </c>
      <c r="C12" s="4017"/>
      <c r="D12" s="2358"/>
      <c r="E12" s="2358"/>
      <c r="F12" s="2359"/>
      <c r="G12" s="2360"/>
      <c r="H12" s="2367"/>
      <c r="I12" s="2357">
        <f>ROUND(D12*E12*F12*G12/10000,0)</f>
        <v>0</v>
      </c>
    </row>
    <row r="13" spans="1:9">
      <c r="A13" s="4016"/>
      <c r="B13" s="4017" t="s">
        <v>2454</v>
      </c>
      <c r="C13" s="4017"/>
      <c r="D13" s="2358"/>
      <c r="E13" s="2358"/>
      <c r="F13" s="2359"/>
      <c r="G13" s="2360"/>
      <c r="H13" s="2367"/>
      <c r="I13" s="2357">
        <f>ROUND(D13*E13*F13*G13/10000,0)</f>
        <v>0</v>
      </c>
    </row>
    <row r="14" spans="1:9">
      <c r="A14" s="4016"/>
      <c r="B14" s="4017" t="s">
        <v>2455</v>
      </c>
      <c r="C14" s="4017"/>
      <c r="D14" s="2358"/>
      <c r="E14" s="2358"/>
      <c r="F14" s="2359"/>
      <c r="G14" s="2360"/>
      <c r="H14" s="2367"/>
      <c r="I14" s="2357">
        <f>ROUND(D14*E14*F14*G14/10000,0)</f>
        <v>0</v>
      </c>
    </row>
    <row r="15" spans="1:9">
      <c r="A15" s="4016"/>
      <c r="B15" s="4018" t="s">
        <v>2444</v>
      </c>
      <c r="C15" s="4018"/>
      <c r="D15" s="2362"/>
      <c r="E15" s="2362">
        <f>SUM(E12:E14)</f>
        <v>0</v>
      </c>
      <c r="F15" s="2363"/>
      <c r="G15" s="2360"/>
      <c r="H15" s="2367"/>
      <c r="I15" s="2368">
        <f>SUM(I12:I14)</f>
        <v>0</v>
      </c>
    </row>
    <row r="16" spans="1:9" ht="24">
      <c r="A16" s="4016" t="s">
        <v>2456</v>
      </c>
      <c r="B16" s="4017" t="s">
        <v>2457</v>
      </c>
      <c r="C16" s="4017"/>
      <c r="D16" s="2358" t="s">
        <v>2458</v>
      </c>
      <c r="E16" s="2369" t="s">
        <v>2459</v>
      </c>
      <c r="F16" s="2359" t="s">
        <v>2460</v>
      </c>
      <c r="G16" s="2360" t="s">
        <v>2450</v>
      </c>
      <c r="H16" s="2366" t="s">
        <v>2451</v>
      </c>
      <c r="I16" s="2357" t="s">
        <v>2452</v>
      </c>
    </row>
    <row r="17" spans="1:9" ht="14.25">
      <c r="A17" s="4016"/>
      <c r="B17" s="4017" t="s">
        <v>2461</v>
      </c>
      <c r="C17" s="4017"/>
      <c r="D17" s="2358"/>
      <c r="E17" s="2358"/>
      <c r="F17" s="2359"/>
      <c r="G17" s="2360"/>
      <c r="H17" s="2370"/>
      <c r="I17" s="2371">
        <f>ROUND(D17*E17*F17*G17/10000,0)</f>
        <v>0</v>
      </c>
    </row>
    <row r="18" spans="1:9" ht="14.25">
      <c r="A18" s="4016"/>
      <c r="B18" s="4017" t="s">
        <v>2462</v>
      </c>
      <c r="C18" s="4017"/>
      <c r="D18" s="2358"/>
      <c r="E18" s="2358"/>
      <c r="F18" s="2359"/>
      <c r="G18" s="2360"/>
      <c r="H18" s="2370"/>
      <c r="I18" s="2371">
        <f>ROUND(D18*E18*F18*G18/10000,0)</f>
        <v>0</v>
      </c>
    </row>
    <row r="19" spans="1:9" ht="14.25">
      <c r="A19" s="4016"/>
      <c r="B19" s="4017" t="s">
        <v>2463</v>
      </c>
      <c r="C19" s="4017"/>
      <c r="D19" s="2358"/>
      <c r="E19" s="2358"/>
      <c r="F19" s="2359"/>
      <c r="G19" s="2360"/>
      <c r="H19" s="2370"/>
      <c r="I19" s="2371">
        <f>ROUND(D19*E19*F19*G19/10000,0)</f>
        <v>0</v>
      </c>
    </row>
    <row r="20" spans="1:9">
      <c r="A20" s="4016"/>
      <c r="B20" s="4018" t="s">
        <v>2444</v>
      </c>
      <c r="C20" s="4018"/>
      <c r="D20" s="2362">
        <f>SUM(D17:D19)</f>
        <v>0</v>
      </c>
      <c r="E20" s="2362"/>
      <c r="F20" s="2363"/>
      <c r="G20" s="2360"/>
      <c r="H20" s="2367"/>
      <c r="I20" s="2368">
        <f>SUM(I17:I19)</f>
        <v>0</v>
      </c>
    </row>
    <row r="21" spans="1:9">
      <c r="A21" s="4016" t="s">
        <v>2464</v>
      </c>
      <c r="B21" s="4019"/>
      <c r="C21" s="4019"/>
      <c r="D21" s="4019"/>
      <c r="E21" s="4019"/>
      <c r="F21" s="4019"/>
      <c r="G21" s="4019"/>
      <c r="H21" s="2372">
        <v>0.1</v>
      </c>
      <c r="I21" s="2365">
        <f>ROUND(I10*H21,0)</f>
        <v>0</v>
      </c>
    </row>
    <row r="22" spans="1:9" ht="14.25">
      <c r="A22" s="4020" t="s">
        <v>2465</v>
      </c>
      <c r="B22" s="4021"/>
      <c r="C22" s="4022"/>
      <c r="D22" s="2373" t="s">
        <v>2466</v>
      </c>
      <c r="E22" s="2373" t="s">
        <v>2467</v>
      </c>
      <c r="F22" s="2374" t="s">
        <v>2468</v>
      </c>
      <c r="G22" s="2374" t="s">
        <v>2469</v>
      </c>
      <c r="H22" s="2366" t="s">
        <v>2470</v>
      </c>
      <c r="I22" s="2357" t="s">
        <v>2471</v>
      </c>
    </row>
    <row r="23" spans="1:9" ht="14.25" thickBot="1">
      <c r="A23" s="4023"/>
      <c r="B23" s="4024"/>
      <c r="C23" s="4025"/>
      <c r="D23" s="2375"/>
      <c r="E23" s="2375"/>
      <c r="F23" s="2375"/>
      <c r="G23" s="2376"/>
      <c r="H23" s="2377"/>
      <c r="I23" s="2378">
        <f>ROUND(E23*D23*F23*(1-G23)/10000,0)</f>
        <v>0</v>
      </c>
    </row>
    <row r="26" spans="1:9">
      <c r="A26" s="2379" t="s">
        <v>2472</v>
      </c>
      <c r="B26" s="2379"/>
      <c r="C26" s="2379"/>
      <c r="D26" s="2379"/>
      <c r="E26" s="4013">
        <f>C27-C30-C31-C32</f>
        <v>0</v>
      </c>
      <c r="F26" s="4013"/>
      <c r="G26" s="4013"/>
      <c r="H26" s="2748" t="s">
        <v>2798</v>
      </c>
    </row>
    <row r="27" spans="1:9">
      <c r="A27" s="2380">
        <v>1</v>
      </c>
      <c r="B27" s="2381" t="s">
        <v>2473</v>
      </c>
      <c r="C27" s="2381"/>
      <c r="D27" s="2381"/>
      <c r="E27" s="4014"/>
      <c r="F27" s="4014"/>
      <c r="G27" s="4014"/>
    </row>
    <row r="28" spans="1:9">
      <c r="A28" s="2382" t="s">
        <v>2474</v>
      </c>
      <c r="B28" s="2381" t="s">
        <v>2475</v>
      </c>
      <c r="C28" s="2381"/>
      <c r="D28" s="2381"/>
      <c r="E28" s="4014"/>
      <c r="F28" s="4014"/>
      <c r="G28" s="4014"/>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5"/>
      <c r="F32" s="4015"/>
      <c r="G32" s="4015"/>
    </row>
    <row r="33" spans="1:7" hidden="1">
      <c r="A33" s="4010" t="s">
        <v>2483</v>
      </c>
      <c r="B33" s="4011"/>
      <c r="C33" s="4011"/>
      <c r="D33" s="4012"/>
      <c r="E33" s="4013"/>
      <c r="F33" s="4013"/>
      <c r="G33" s="4013"/>
    </row>
    <row r="34" spans="1:7" hidden="1">
      <c r="A34" s="2384">
        <v>1</v>
      </c>
      <c r="B34" s="2381" t="s">
        <v>2484</v>
      </c>
      <c r="C34" s="2381"/>
      <c r="D34" s="2381"/>
      <c r="E34" s="4014"/>
      <c r="F34" s="4014"/>
      <c r="G34" s="4014"/>
    </row>
    <row r="35" spans="1:7" hidden="1">
      <c r="A35" s="2384">
        <v>2</v>
      </c>
      <c r="B35" s="2381" t="s">
        <v>2485</v>
      </c>
      <c r="C35" s="2381"/>
      <c r="D35" s="2381"/>
      <c r="E35" s="4014"/>
      <c r="F35" s="4014"/>
      <c r="G35" s="4014"/>
    </row>
    <row r="36" spans="1:7" hidden="1">
      <c r="A36" s="2384">
        <v>3</v>
      </c>
      <c r="B36" s="2381" t="s">
        <v>2486</v>
      </c>
      <c r="C36" s="2381"/>
      <c r="D36" s="2381"/>
      <c r="E36" s="4014"/>
      <c r="F36" s="4014"/>
      <c r="G36" s="4014"/>
    </row>
    <row r="37" spans="1:7" hidden="1">
      <c r="A37" s="2384">
        <v>4</v>
      </c>
      <c r="B37" s="2381" t="s">
        <v>2487</v>
      </c>
      <c r="C37" s="2381"/>
      <c r="D37" s="2381"/>
      <c r="E37" s="4014"/>
      <c r="F37" s="4014"/>
      <c r="G37" s="4014"/>
    </row>
    <row r="38" spans="1:7" hidden="1">
      <c r="A38" s="4010" t="s">
        <v>2488</v>
      </c>
      <c r="B38" s="4011"/>
      <c r="C38" s="4011"/>
      <c r="D38" s="4012"/>
      <c r="E38" s="4013"/>
      <c r="F38" s="4013"/>
      <c r="G38" s="4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3" t="s">
        <v>2420</v>
      </c>
      <c r="C6" s="770">
        <f ca="1">ROUND(F6*F8*F7*(1-F9)/10000,0)</f>
        <v>313</v>
      </c>
      <c r="D6" s="2346" t="s">
        <v>2419</v>
      </c>
      <c r="E6" s="771" t="s">
        <v>608</v>
      </c>
      <c r="F6" s="772">
        <f ca="1">INDIRECT("'数据-取费表'!u"&amp;$G$1)</f>
        <v>1.5</v>
      </c>
      <c r="G6" s="1941"/>
      <c r="H6" s="2353" t="s">
        <v>2425</v>
      </c>
      <c r="I6" s="3953" t="s">
        <v>2420</v>
      </c>
      <c r="J6" s="770">
        <f ca="1">ROUND(M6*M8*M7*(1-M9)/10000,0)</f>
        <v>0</v>
      </c>
      <c r="K6" s="336" t="s">
        <v>1704</v>
      </c>
      <c r="L6" s="771" t="s">
        <v>608</v>
      </c>
      <c r="M6" s="772">
        <f ca="1">INDIRECT("'数据-取费表'!z"&amp;$G$1)</f>
        <v>0</v>
      </c>
    </row>
    <row r="7" spans="1:33" ht="18" customHeight="1">
      <c r="A7" s="2349"/>
      <c r="B7" s="3954"/>
      <c r="C7" s="775"/>
      <c r="D7" s="776"/>
      <c r="E7" s="771" t="s">
        <v>1706</v>
      </c>
      <c r="F7" s="772">
        <f ca="1">IF(INDIRECT("'数据-取费表'!ah"&amp;$G$1)="",INDIRECT("'数据-取费表'!k"&amp;$G$1),INDIRECT("'数据-取费表'!ah"&amp;$G$1))</f>
        <v>6350.35</v>
      </c>
      <c r="G7" s="1941"/>
      <c r="H7" s="2338"/>
      <c r="I7" s="3954"/>
      <c r="J7" s="775"/>
      <c r="K7" s="776"/>
      <c r="L7" s="771" t="s">
        <v>1706</v>
      </c>
      <c r="M7" s="772">
        <f ca="1">F7</f>
        <v>6350.35</v>
      </c>
    </row>
    <row r="8" spans="1:33" ht="18" customHeight="1">
      <c r="A8" s="2342"/>
      <c r="B8" s="3955"/>
      <c r="C8" s="775"/>
      <c r="D8" s="776"/>
      <c r="E8" s="771" t="s">
        <v>1707</v>
      </c>
      <c r="F8" s="772">
        <f ca="1">INDIRECT("'数据-取费表'!ai"&amp;$G$1)</f>
        <v>365</v>
      </c>
      <c r="G8" s="1941"/>
      <c r="H8" s="2338"/>
      <c r="I8" s="3955"/>
      <c r="J8" s="775"/>
      <c r="K8" s="776"/>
      <c r="L8" s="771" t="s">
        <v>1707</v>
      </c>
      <c r="M8" s="772">
        <f ca="1">INDIRECT("'数据-取费表'!ai"&amp;$G$1)</f>
        <v>365</v>
      </c>
    </row>
    <row r="9" spans="1:33" ht="18" customHeight="1">
      <c r="A9" s="773"/>
      <c r="B9" s="3956"/>
      <c r="C9" s="775"/>
      <c r="D9" s="776"/>
      <c r="E9" s="771" t="s">
        <v>1708</v>
      </c>
      <c r="F9" s="781">
        <f ca="1">INDIRECT("'数据-取费表'!w"&amp;$G$1)</f>
        <v>0.1</v>
      </c>
      <c r="G9" s="1941"/>
      <c r="H9" s="2354"/>
      <c r="I9" s="3955"/>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1474.68</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1474.68</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8" t="s">
        <v>2905</v>
      </c>
      <c r="L53" s="4009"/>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1474.68</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84" t="s">
        <v>493</v>
      </c>
      <c r="D4" s="3885"/>
      <c r="E4" s="3909" t="s">
        <v>494</v>
      </c>
      <c r="F4" s="3910"/>
      <c r="G4" s="3884" t="s">
        <v>495</v>
      </c>
      <c r="H4" s="3885"/>
      <c r="I4" s="3884" t="s">
        <v>496</v>
      </c>
      <c r="J4" s="3885"/>
      <c r="K4" s="505"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92"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92"/>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92"/>
      <c r="AC6" s="3869"/>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70"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80" t="s">
        <v>511</v>
      </c>
      <c r="Q15" s="1502" t="str">
        <f t="shared" si="6"/>
        <v>商业繁华度</v>
      </c>
      <c r="R15" s="1503" t="s">
        <v>8</v>
      </c>
      <c r="S15" s="1504">
        <f t="shared" si="0"/>
        <v>100</v>
      </c>
      <c r="T15" s="1503" t="s">
        <v>8</v>
      </c>
      <c r="U15" s="1504">
        <f t="shared" si="1"/>
        <v>100</v>
      </c>
      <c r="V15" s="1503" t="s">
        <v>8</v>
      </c>
      <c r="W15" s="1504">
        <f t="shared" si="2"/>
        <v>100</v>
      </c>
      <c r="X15" s="1497"/>
      <c r="Y15" s="3880"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81"/>
      <c r="Q22" s="2425"/>
      <c r="R22" s="1503"/>
      <c r="S22" s="1504"/>
      <c r="T22" s="1503"/>
      <c r="U22" s="1504"/>
      <c r="V22" s="1503"/>
      <c r="W22" s="1504"/>
      <c r="X22" s="2427"/>
      <c r="Y22" s="3881"/>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81"/>
      <c r="Q23" s="1502" t="str">
        <f>B23</f>
        <v>自然及人文环境</v>
      </c>
      <c r="R23" s="1503" t="s">
        <v>8</v>
      </c>
      <c r="S23" s="1504">
        <f>F23</f>
        <v>100</v>
      </c>
      <c r="T23" s="1503" t="s">
        <v>8</v>
      </c>
      <c r="U23" s="1504">
        <f>H23</f>
        <v>100</v>
      </c>
      <c r="V23" s="1503" t="s">
        <v>8</v>
      </c>
      <c r="W23" s="1504">
        <f>J23</f>
        <v>100</v>
      </c>
      <c r="X23" s="1497"/>
      <c r="Y23" s="3881"/>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81"/>
      <c r="Q25" s="1502" t="str">
        <f t="shared" ref="Q25:Q46" si="11">B25</f>
        <v>临街状况</v>
      </c>
      <c r="R25" s="1503" t="s">
        <v>8</v>
      </c>
      <c r="S25" s="1504">
        <f>F25</f>
        <v>100</v>
      </c>
      <c r="T25" s="1503" t="s">
        <v>8</v>
      </c>
      <c r="U25" s="1504">
        <f>H25</f>
        <v>100</v>
      </c>
      <c r="V25" s="1503" t="s">
        <v>8</v>
      </c>
      <c r="W25" s="1504">
        <f>J25</f>
        <v>100</v>
      </c>
      <c r="X25" s="1497"/>
      <c r="Y25" s="3881"/>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81"/>
      <c r="Q26" s="1502" t="str">
        <f t="shared" si="11"/>
        <v>平面位置/可视性</v>
      </c>
      <c r="R26" s="1503" t="s">
        <v>8</v>
      </c>
      <c r="S26" s="1504">
        <f>F26</f>
        <v>100</v>
      </c>
      <c r="T26" s="1503" t="s">
        <v>8</v>
      </c>
      <c r="U26" s="1504">
        <f>H26</f>
        <v>100</v>
      </c>
      <c r="V26" s="1503" t="s">
        <v>8</v>
      </c>
      <c r="W26" s="1504">
        <f>J26</f>
        <v>100</v>
      </c>
      <c r="X26" s="1497"/>
      <c r="Y26" s="3881"/>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81"/>
      <c r="Q27" s="1131" t="str">
        <f t="shared" si="11"/>
        <v>人流量</v>
      </c>
      <c r="R27" s="1498" t="s">
        <v>8</v>
      </c>
      <c r="S27" s="1499">
        <f>F27</f>
        <v>100</v>
      </c>
      <c r="T27" s="1498" t="s">
        <v>8</v>
      </c>
      <c r="U27" s="1499">
        <f>H27</f>
        <v>100</v>
      </c>
      <c r="V27" s="1498" t="s">
        <v>8</v>
      </c>
      <c r="W27" s="1499">
        <f>J27</f>
        <v>100</v>
      </c>
      <c r="X27" s="1500"/>
      <c r="Y27" s="3881"/>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81"/>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81"/>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81"/>
      <c r="Q29" s="1502">
        <f t="shared" si="11"/>
        <v>111</v>
      </c>
      <c r="R29" s="1503" t="s">
        <v>8</v>
      </c>
      <c r="S29" s="1504">
        <f t="shared" si="12"/>
        <v>100</v>
      </c>
      <c r="T29" s="1503" t="s">
        <v>8</v>
      </c>
      <c r="U29" s="1504">
        <f t="shared" si="13"/>
        <v>100</v>
      </c>
      <c r="V29" s="1503" t="s">
        <v>8</v>
      </c>
      <c r="W29" s="1504">
        <f t="shared" si="14"/>
        <v>100</v>
      </c>
      <c r="X29" s="1497"/>
      <c r="Y29" s="3881"/>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81"/>
      <c r="Q30" s="1502">
        <f t="shared" si="11"/>
        <v>111</v>
      </c>
      <c r="R30" s="1503" t="s">
        <v>8</v>
      </c>
      <c r="S30" s="1504">
        <f t="shared" si="12"/>
        <v>100</v>
      </c>
      <c r="T30" s="1503" t="s">
        <v>8</v>
      </c>
      <c r="U30" s="1504">
        <f t="shared" si="13"/>
        <v>100</v>
      </c>
      <c r="V30" s="1503" t="s">
        <v>8</v>
      </c>
      <c r="W30" s="1504">
        <f t="shared" si="14"/>
        <v>100</v>
      </c>
      <c r="X30" s="1497"/>
      <c r="Y30" s="3881"/>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81"/>
      <c r="Q31" s="1502">
        <f t="shared" si="11"/>
        <v>111</v>
      </c>
      <c r="R31" s="1503" t="s">
        <v>8</v>
      </c>
      <c r="S31" s="1504">
        <f t="shared" si="12"/>
        <v>100</v>
      </c>
      <c r="T31" s="1503" t="s">
        <v>8</v>
      </c>
      <c r="U31" s="1504">
        <f t="shared" si="13"/>
        <v>100</v>
      </c>
      <c r="V31" s="1503" t="s">
        <v>8</v>
      </c>
      <c r="W31" s="1504">
        <f t="shared" si="14"/>
        <v>100</v>
      </c>
      <c r="X31" s="1497"/>
      <c r="Y31" s="3881"/>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82" t="s">
        <v>521</v>
      </c>
      <c r="Q32" s="1502" t="str">
        <f t="shared" si="11"/>
        <v>商业类型</v>
      </c>
      <c r="R32" s="1503" t="s">
        <v>8</v>
      </c>
      <c r="S32" s="1504">
        <f t="shared" si="12"/>
        <v>100</v>
      </c>
      <c r="T32" s="1503" t="s">
        <v>8</v>
      </c>
      <c r="U32" s="1504">
        <f t="shared" si="13"/>
        <v>100</v>
      </c>
      <c r="V32" s="1503" t="s">
        <v>8</v>
      </c>
      <c r="W32" s="1504">
        <f t="shared" si="14"/>
        <v>100</v>
      </c>
      <c r="X32" s="1497"/>
      <c r="Y32" s="3883"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883"/>
      <c r="Q33" s="1531" t="str">
        <f t="shared" si="11"/>
        <v>项目建筑规模</v>
      </c>
      <c r="R33" s="1507" t="s">
        <v>8</v>
      </c>
      <c r="S33" s="1508" t="e">
        <f t="shared" si="12"/>
        <v>#N/A</v>
      </c>
      <c r="T33" s="1507" t="s">
        <v>8</v>
      </c>
      <c r="U33" s="1508" t="e">
        <f t="shared" si="13"/>
        <v>#N/A</v>
      </c>
      <c r="V33" s="1507" t="s">
        <v>8</v>
      </c>
      <c r="W33" s="1508" t="e">
        <f t="shared" si="14"/>
        <v>#N/A</v>
      </c>
      <c r="X33" s="1509"/>
      <c r="Y33" s="3883"/>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883"/>
      <c r="Q34" s="1502" t="str">
        <f t="shared" si="11"/>
        <v>建筑结构</v>
      </c>
      <c r="R34" s="1503" t="s">
        <v>8</v>
      </c>
      <c r="S34" s="1504">
        <f t="shared" si="12"/>
        <v>100</v>
      </c>
      <c r="T34" s="1503" t="s">
        <v>8</v>
      </c>
      <c r="U34" s="1504">
        <f t="shared" si="13"/>
        <v>100</v>
      </c>
      <c r="V34" s="1503" t="s">
        <v>8</v>
      </c>
      <c r="W34" s="1504">
        <f t="shared" si="14"/>
        <v>100</v>
      </c>
      <c r="X34" s="1497"/>
      <c r="Y34" s="3883"/>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883"/>
      <c r="Q35" s="1502" t="str">
        <f t="shared" si="11"/>
        <v>公共部分装修</v>
      </c>
      <c r="R35" s="1503" t="s">
        <v>8</v>
      </c>
      <c r="S35" s="1504">
        <f t="shared" si="12"/>
        <v>100</v>
      </c>
      <c r="T35" s="1503" t="s">
        <v>8</v>
      </c>
      <c r="U35" s="1504">
        <f t="shared" si="13"/>
        <v>100</v>
      </c>
      <c r="V35" s="1503" t="s">
        <v>8</v>
      </c>
      <c r="W35" s="1504">
        <f t="shared" si="14"/>
        <v>100</v>
      </c>
      <c r="X35" s="1497"/>
      <c r="Y35" s="3883"/>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883"/>
      <c r="Q36" s="1502" t="str">
        <f t="shared" si="11"/>
        <v>成新度</v>
      </c>
      <c r="R36" s="1503" t="s">
        <v>8</v>
      </c>
      <c r="S36" s="1504" t="e">
        <f t="shared" si="12"/>
        <v>#N/A</v>
      </c>
      <c r="T36" s="1503" t="s">
        <v>8</v>
      </c>
      <c r="U36" s="1504" t="e">
        <f t="shared" si="13"/>
        <v>#N/A</v>
      </c>
      <c r="V36" s="1503" t="s">
        <v>8</v>
      </c>
      <c r="W36" s="1504" t="e">
        <f t="shared" si="14"/>
        <v>#N/A</v>
      </c>
      <c r="X36" s="1497"/>
      <c r="Y36" s="3883"/>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883"/>
      <c r="Q37" s="1131" t="str">
        <f t="shared" si="11"/>
        <v>市政基础设施</v>
      </c>
      <c r="R37" s="1498" t="s">
        <v>8</v>
      </c>
      <c r="S37" s="1499">
        <f t="shared" si="12"/>
        <v>100</v>
      </c>
      <c r="T37" s="1498" t="s">
        <v>8</v>
      </c>
      <c r="U37" s="1499">
        <f t="shared" si="13"/>
        <v>100</v>
      </c>
      <c r="V37" s="1498" t="s">
        <v>8</v>
      </c>
      <c r="W37" s="1499">
        <f t="shared" si="14"/>
        <v>100</v>
      </c>
      <c r="X37" s="1500"/>
      <c r="Y37" s="3883"/>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883" t="s">
        <v>737</v>
      </c>
      <c r="Q38" s="1502" t="str">
        <f t="shared" si="11"/>
        <v>业态</v>
      </c>
      <c r="R38" s="1503" t="s">
        <v>8</v>
      </c>
      <c r="S38" s="1504">
        <f t="shared" si="12"/>
        <v>100</v>
      </c>
      <c r="T38" s="1503" t="s">
        <v>8</v>
      </c>
      <c r="U38" s="1504">
        <f t="shared" si="13"/>
        <v>100</v>
      </c>
      <c r="V38" s="1503" t="s">
        <v>8</v>
      </c>
      <c r="W38" s="1504">
        <f t="shared" si="14"/>
        <v>100</v>
      </c>
      <c r="X38" s="1497"/>
      <c r="Y38" s="3883"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3"/>
      <c r="Q39" s="1502" t="str">
        <f t="shared" si="11"/>
        <v>层高</v>
      </c>
      <c r="R39" s="1503" t="s">
        <v>8</v>
      </c>
      <c r="S39" s="1504">
        <f t="shared" si="12"/>
        <v>100</v>
      </c>
      <c r="T39" s="1503" t="s">
        <v>8</v>
      </c>
      <c r="U39" s="1504">
        <f t="shared" si="13"/>
        <v>100</v>
      </c>
      <c r="V39" s="1503" t="s">
        <v>8</v>
      </c>
      <c r="W39" s="1504">
        <f t="shared" si="14"/>
        <v>100</v>
      </c>
      <c r="X39" s="1497"/>
      <c r="Y39" s="3883"/>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883"/>
      <c r="Q40" s="1502" t="str">
        <f t="shared" si="11"/>
        <v>单套建筑面积</v>
      </c>
      <c r="R40" s="1503" t="s">
        <v>8</v>
      </c>
      <c r="S40" s="1504">
        <f t="shared" si="12"/>
        <v>100</v>
      </c>
      <c r="T40" s="1503" t="s">
        <v>8</v>
      </c>
      <c r="U40" s="1504">
        <f t="shared" si="13"/>
        <v>100</v>
      </c>
      <c r="V40" s="1503" t="s">
        <v>8</v>
      </c>
      <c r="W40" s="1504">
        <f t="shared" si="14"/>
        <v>100</v>
      </c>
      <c r="X40" s="1497"/>
      <c r="Y40" s="3883"/>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883"/>
      <c r="Q41" s="1531" t="str">
        <f t="shared" si="11"/>
        <v>进深比</v>
      </c>
      <c r="R41" s="1507" t="s">
        <v>8</v>
      </c>
      <c r="S41" s="1508">
        <f t="shared" si="12"/>
        <v>100</v>
      </c>
      <c r="T41" s="1507" t="s">
        <v>8</v>
      </c>
      <c r="U41" s="1508">
        <f t="shared" si="13"/>
        <v>100</v>
      </c>
      <c r="V41" s="1507" t="s">
        <v>8</v>
      </c>
      <c r="W41" s="1508">
        <f t="shared" si="14"/>
        <v>100</v>
      </c>
      <c r="X41" s="1509"/>
      <c r="Y41" s="3883"/>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883"/>
      <c r="Q42" s="1502" t="str">
        <f t="shared" si="11"/>
        <v>内部装修</v>
      </c>
      <c r="R42" s="1503" t="s">
        <v>8</v>
      </c>
      <c r="S42" s="1504">
        <f t="shared" si="12"/>
        <v>100</v>
      </c>
      <c r="T42" s="1503" t="s">
        <v>8</v>
      </c>
      <c r="U42" s="1504">
        <f t="shared" si="13"/>
        <v>100</v>
      </c>
      <c r="V42" s="1503" t="s">
        <v>8</v>
      </c>
      <c r="W42" s="1504">
        <f t="shared" si="14"/>
        <v>100</v>
      </c>
      <c r="X42" s="1497"/>
      <c r="Y42" s="3883"/>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883"/>
      <c r="Q43" s="1502" t="str">
        <f t="shared" si="11"/>
        <v>内部装修维护情况</v>
      </c>
      <c r="R43" s="1503" t="s">
        <v>8</v>
      </c>
      <c r="S43" s="1504">
        <f t="shared" si="12"/>
        <v>100</v>
      </c>
      <c r="T43" s="1503" t="s">
        <v>8</v>
      </c>
      <c r="U43" s="1504">
        <f t="shared" si="13"/>
        <v>100</v>
      </c>
      <c r="V43" s="1503" t="s">
        <v>8</v>
      </c>
      <c r="W43" s="1504">
        <f t="shared" si="14"/>
        <v>100</v>
      </c>
      <c r="X43" s="1497"/>
      <c r="Y43" s="3883"/>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883"/>
      <c r="Q44" s="1131">
        <f t="shared" si="11"/>
        <v>111</v>
      </c>
      <c r="R44" s="1498" t="s">
        <v>8</v>
      </c>
      <c r="S44" s="1499">
        <f t="shared" si="12"/>
        <v>100</v>
      </c>
      <c r="T44" s="1498" t="s">
        <v>8</v>
      </c>
      <c r="U44" s="1499">
        <f t="shared" si="13"/>
        <v>100</v>
      </c>
      <c r="V44" s="1498" t="s">
        <v>8</v>
      </c>
      <c r="W44" s="1499">
        <f t="shared" si="14"/>
        <v>100</v>
      </c>
      <c r="X44" s="1500"/>
      <c r="Y44" s="3883"/>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883"/>
      <c r="Q45" s="1502">
        <f t="shared" si="11"/>
        <v>111</v>
      </c>
      <c r="R45" s="1503" t="s">
        <v>8</v>
      </c>
      <c r="S45" s="1504">
        <f t="shared" si="12"/>
        <v>100</v>
      </c>
      <c r="T45" s="1503" t="s">
        <v>8</v>
      </c>
      <c r="U45" s="1504">
        <f t="shared" si="13"/>
        <v>100</v>
      </c>
      <c r="V45" s="1503" t="s">
        <v>8</v>
      </c>
      <c r="W45" s="1504">
        <f t="shared" si="14"/>
        <v>100</v>
      </c>
      <c r="X45" s="1497"/>
      <c r="Y45" s="3883"/>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63"/>
      <c r="Q46" s="1502">
        <f t="shared" si="11"/>
        <v>111</v>
      </c>
      <c r="R46" s="1503" t="s">
        <v>8</v>
      </c>
      <c r="S46" s="1504">
        <f t="shared" si="12"/>
        <v>100</v>
      </c>
      <c r="T46" s="1503" t="s">
        <v>8</v>
      </c>
      <c r="U46" s="1504">
        <f t="shared" si="13"/>
        <v>100</v>
      </c>
      <c r="V46" s="1503" t="s">
        <v>8</v>
      </c>
      <c r="W46" s="1504">
        <f t="shared" si="14"/>
        <v>100</v>
      </c>
      <c r="X46" s="1497"/>
      <c r="Y46" s="3963"/>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78" t="str">
        <f>A47</f>
        <v>成交单价（元/平方米）</v>
      </c>
      <c r="Q47" s="3878"/>
      <c r="R47" s="3962">
        <f>E47</f>
        <v>0</v>
      </c>
      <c r="S47" s="3962"/>
      <c r="T47" s="3962">
        <f>G47</f>
        <v>0</v>
      </c>
      <c r="U47" s="3962"/>
      <c r="V47" s="3962">
        <f>I47</f>
        <v>0</v>
      </c>
      <c r="W47" s="3962"/>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78" t="str">
        <f>A48</f>
        <v>比较价格（元/平方米）</v>
      </c>
      <c r="Q48" s="3878"/>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99" t="str">
        <f>A49</f>
        <v>估价对象XX用房的比较价格（楼面单价，元/平方米）</v>
      </c>
      <c r="Q49" s="3900"/>
      <c r="R49" s="3961" t="e">
        <f>IF(F1="售价",ROUND(IF(D48="简单平均",AVERAGE(R48:V48),R48*F48+T48*H48+V48*J48),0),ROUND(IF(D48="简单平均",AVERAGE(R48:V48),R48*F48+T48*H48+V48*J48),1))</f>
        <v>#DIV/0!</v>
      </c>
      <c r="S49" s="3961"/>
      <c r="T49" s="3961"/>
      <c r="U49" s="3961"/>
      <c r="V49" s="3961"/>
      <c r="W49" s="3961"/>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84" t="s">
        <v>493</v>
      </c>
      <c r="D4" s="3885"/>
      <c r="E4" s="3909" t="s">
        <v>494</v>
      </c>
      <c r="F4" s="3910"/>
      <c r="G4" s="3884" t="s">
        <v>495</v>
      </c>
      <c r="H4" s="3885"/>
      <c r="I4" s="3884" t="s">
        <v>496</v>
      </c>
      <c r="J4" s="3885"/>
      <c r="K4" s="505" t="s">
        <v>497</v>
      </c>
      <c r="L4" s="2011"/>
      <c r="M4" s="2012"/>
      <c r="N4" s="2012"/>
      <c r="O4" s="2012"/>
      <c r="P4" s="4031" t="s">
        <v>498</v>
      </c>
      <c r="Q4" s="3887"/>
      <c r="R4" s="3872" t="s">
        <v>494</v>
      </c>
      <c r="S4" s="3873"/>
      <c r="T4" s="3872" t="s">
        <v>495</v>
      </c>
      <c r="U4" s="3873"/>
      <c r="V4" s="3892" t="s">
        <v>496</v>
      </c>
      <c r="W4" s="3892"/>
      <c r="X4" s="1497"/>
      <c r="Y4" s="3872" t="s">
        <v>498</v>
      </c>
      <c r="Z4" s="3873"/>
      <c r="AA4" s="3867" t="s">
        <v>494</v>
      </c>
      <c r="AB4" s="3867"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4032"/>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4033"/>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79"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79" t="s">
        <v>504</v>
      </c>
      <c r="Q8" s="3871"/>
      <c r="R8" s="1498" t="s">
        <v>8</v>
      </c>
      <c r="S8" s="1499">
        <f t="shared" si="0"/>
        <v>0</v>
      </c>
      <c r="T8" s="1498" t="s">
        <v>8</v>
      </c>
      <c r="U8" s="1499">
        <f t="shared" si="1"/>
        <v>0</v>
      </c>
      <c r="V8" s="1498" t="s">
        <v>8</v>
      </c>
      <c r="W8" s="1499">
        <f t="shared" si="2"/>
        <v>0</v>
      </c>
      <c r="X8" s="1500"/>
      <c r="Y8" s="3870" t="s">
        <v>504</v>
      </c>
      <c r="Z8" s="3871"/>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80" t="s">
        <v>511</v>
      </c>
      <c r="Q15" s="1502" t="str">
        <f t="shared" si="6"/>
        <v>办公集聚程度</v>
      </c>
      <c r="R15" s="1503" t="s">
        <v>8</v>
      </c>
      <c r="S15" s="1504">
        <f t="shared" si="0"/>
        <v>100</v>
      </c>
      <c r="T15" s="1503" t="s">
        <v>8</v>
      </c>
      <c r="U15" s="1504">
        <f t="shared" si="1"/>
        <v>100</v>
      </c>
      <c r="V15" s="1503" t="s">
        <v>8</v>
      </c>
      <c r="W15" s="1504">
        <f t="shared" si="2"/>
        <v>100</v>
      </c>
      <c r="X15" s="1497"/>
      <c r="Y15" s="3880"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81"/>
      <c r="Q16" s="1502"/>
      <c r="R16" s="1503"/>
      <c r="S16" s="1504"/>
      <c r="T16" s="1503"/>
      <c r="U16" s="1504"/>
      <c r="V16" s="1503"/>
      <c r="W16" s="1504"/>
      <c r="X16" s="1497"/>
      <c r="Y16" s="3881"/>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81"/>
      <c r="Q18" s="1502"/>
      <c r="R18" s="1503"/>
      <c r="S18" s="1504"/>
      <c r="T18" s="1503"/>
      <c r="U18" s="1504"/>
      <c r="V18" s="1503"/>
      <c r="W18" s="1504"/>
      <c r="X18" s="1497"/>
      <c r="Y18" s="3881"/>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81"/>
      <c r="Q20" s="1502"/>
      <c r="R20" s="1503"/>
      <c r="S20" s="1504"/>
      <c r="T20" s="1503"/>
      <c r="U20" s="1504"/>
      <c r="V20" s="1503"/>
      <c r="W20" s="1504"/>
      <c r="X20" s="1497"/>
      <c r="Y20" s="3881"/>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81"/>
      <c r="Q22" s="2425"/>
      <c r="R22" s="1503"/>
      <c r="S22" s="1504"/>
      <c r="T22" s="1503"/>
      <c r="U22" s="1504"/>
      <c r="V22" s="1503"/>
      <c r="W22" s="1504"/>
      <c r="X22" s="2427"/>
      <c r="Y22" s="3881"/>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81"/>
      <c r="Q23" s="1502" t="str">
        <f>B23</f>
        <v>环境质量</v>
      </c>
      <c r="R23" s="1503" t="s">
        <v>8</v>
      </c>
      <c r="S23" s="1504">
        <f>F23</f>
        <v>100</v>
      </c>
      <c r="T23" s="1503" t="s">
        <v>8</v>
      </c>
      <c r="U23" s="1504">
        <f>H23</f>
        <v>100</v>
      </c>
      <c r="V23" s="1503" t="s">
        <v>8</v>
      </c>
      <c r="W23" s="1504">
        <f>J23</f>
        <v>100</v>
      </c>
      <c r="X23" s="1497"/>
      <c r="Y23" s="3881"/>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81"/>
      <c r="Q24" s="1502"/>
      <c r="R24" s="1503"/>
      <c r="S24" s="1504"/>
      <c r="T24" s="1503"/>
      <c r="U24" s="1504"/>
      <c r="V24" s="1503"/>
      <c r="W24" s="1504"/>
      <c r="X24" s="1497"/>
      <c r="Y24" s="3881"/>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81"/>
      <c r="Q25" s="1502" t="str">
        <f>B25</f>
        <v>毗邻道路的类型与等级</v>
      </c>
      <c r="R25" s="1503" t="s">
        <v>8</v>
      </c>
      <c r="S25" s="1504">
        <f>F25</f>
        <v>100</v>
      </c>
      <c r="T25" s="1503" t="s">
        <v>8</v>
      </c>
      <c r="U25" s="1504">
        <f>H25</f>
        <v>100</v>
      </c>
      <c r="V25" s="1503" t="s">
        <v>8</v>
      </c>
      <c r="W25" s="1504">
        <f>J25</f>
        <v>100</v>
      </c>
      <c r="X25" s="1497"/>
      <c r="Y25" s="3881"/>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81"/>
      <c r="Q26" s="1502"/>
      <c r="R26" s="1503"/>
      <c r="S26" s="1504"/>
      <c r="T26" s="1503"/>
      <c r="U26" s="1504"/>
      <c r="V26" s="1503"/>
      <c r="W26" s="1504"/>
      <c r="X26" s="1497"/>
      <c r="Y26" s="3881"/>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81"/>
      <c r="Q27" s="1502" t="str">
        <f t="shared" ref="Q27:Q47" si="11">B27</f>
        <v>楼层</v>
      </c>
      <c r="R27" s="1503" t="s">
        <v>8</v>
      </c>
      <c r="S27" s="1504">
        <f>F27</f>
        <v>100</v>
      </c>
      <c r="T27" s="1503" t="s">
        <v>8</v>
      </c>
      <c r="U27" s="1504">
        <f>H27</f>
        <v>100</v>
      </c>
      <c r="V27" s="1503" t="s">
        <v>8</v>
      </c>
      <c r="W27" s="1504">
        <f>J27</f>
        <v>100</v>
      </c>
      <c r="X27" s="1497"/>
      <c r="Y27" s="3881"/>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81"/>
      <c r="Q28" s="1131" t="str">
        <f t="shared" si="11"/>
        <v>朝向</v>
      </c>
      <c r="R28" s="1498" t="s">
        <v>8</v>
      </c>
      <c r="S28" s="1499">
        <f>F28</f>
        <v>100</v>
      </c>
      <c r="T28" s="1498" t="s">
        <v>8</v>
      </c>
      <c r="U28" s="1499">
        <f>H28</f>
        <v>100</v>
      </c>
      <c r="V28" s="1498" t="s">
        <v>8</v>
      </c>
      <c r="W28" s="1499">
        <f>J28</f>
        <v>100</v>
      </c>
      <c r="X28" s="1500"/>
      <c r="Y28" s="3881"/>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81"/>
      <c r="Q29" s="1502">
        <f t="shared" si="11"/>
        <v>111</v>
      </c>
      <c r="R29" s="1503" t="s">
        <v>8</v>
      </c>
      <c r="S29" s="1504">
        <f t="shared" ref="S29:S47" si="12">F29</f>
        <v>100</v>
      </c>
      <c r="T29" s="1503" t="s">
        <v>8</v>
      </c>
      <c r="U29" s="1504">
        <f t="shared" ref="U29:U47" si="13">H29</f>
        <v>100</v>
      </c>
      <c r="V29" s="1503" t="s">
        <v>8</v>
      </c>
      <c r="W29" s="1504">
        <f t="shared" ref="W29:W47" si="14">J29</f>
        <v>100</v>
      </c>
      <c r="X29" s="1497"/>
      <c r="Y29" s="3881"/>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81"/>
      <c r="Q30" s="1502">
        <f t="shared" si="11"/>
        <v>111</v>
      </c>
      <c r="R30" s="1503" t="s">
        <v>8</v>
      </c>
      <c r="S30" s="1504">
        <f t="shared" si="12"/>
        <v>100</v>
      </c>
      <c r="T30" s="1503" t="s">
        <v>8</v>
      </c>
      <c r="U30" s="1504">
        <f t="shared" si="13"/>
        <v>100</v>
      </c>
      <c r="V30" s="1503" t="s">
        <v>8</v>
      </c>
      <c r="W30" s="1504">
        <f t="shared" si="14"/>
        <v>100</v>
      </c>
      <c r="X30" s="1497"/>
      <c r="Y30" s="3881"/>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81"/>
      <c r="Q31" s="1502">
        <f t="shared" si="11"/>
        <v>111</v>
      </c>
      <c r="R31" s="1503" t="s">
        <v>8</v>
      </c>
      <c r="S31" s="1504">
        <f t="shared" si="12"/>
        <v>100</v>
      </c>
      <c r="T31" s="1503" t="s">
        <v>8</v>
      </c>
      <c r="U31" s="1504">
        <f t="shared" si="13"/>
        <v>100</v>
      </c>
      <c r="V31" s="1503" t="s">
        <v>8</v>
      </c>
      <c r="W31" s="1504">
        <f t="shared" si="14"/>
        <v>100</v>
      </c>
      <c r="X31" s="1497"/>
      <c r="Y31" s="3881"/>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81"/>
      <c r="Q32" s="1502">
        <f t="shared" si="11"/>
        <v>111</v>
      </c>
      <c r="R32" s="1503" t="s">
        <v>8</v>
      </c>
      <c r="S32" s="1504">
        <f t="shared" si="12"/>
        <v>100</v>
      </c>
      <c r="T32" s="1503" t="s">
        <v>8</v>
      </c>
      <c r="U32" s="1504">
        <f t="shared" si="13"/>
        <v>100</v>
      </c>
      <c r="V32" s="1503" t="s">
        <v>8</v>
      </c>
      <c r="W32" s="1504">
        <f t="shared" si="14"/>
        <v>100</v>
      </c>
      <c r="X32" s="1497"/>
      <c r="Y32" s="3881"/>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82" t="s">
        <v>521</v>
      </c>
      <c r="Q33" s="1502" t="str">
        <f t="shared" si="11"/>
        <v>建筑类型</v>
      </c>
      <c r="R33" s="1503" t="s">
        <v>8</v>
      </c>
      <c r="S33" s="1504">
        <f t="shared" si="12"/>
        <v>100</v>
      </c>
      <c r="T33" s="1503" t="s">
        <v>8</v>
      </c>
      <c r="U33" s="1504">
        <f t="shared" si="13"/>
        <v>100</v>
      </c>
      <c r="V33" s="1503" t="s">
        <v>8</v>
      </c>
      <c r="W33" s="1504">
        <f t="shared" si="14"/>
        <v>100</v>
      </c>
      <c r="X33" s="1497"/>
      <c r="Y33" s="3883"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883"/>
      <c r="Q34" s="1531" t="str">
        <f t="shared" si="11"/>
        <v>项目建筑规模</v>
      </c>
      <c r="R34" s="1507" t="s">
        <v>8</v>
      </c>
      <c r="S34" s="1508" t="e">
        <f t="shared" si="12"/>
        <v>#N/A</v>
      </c>
      <c r="T34" s="1507" t="s">
        <v>8</v>
      </c>
      <c r="U34" s="1508" t="e">
        <f t="shared" si="13"/>
        <v>#N/A</v>
      </c>
      <c r="V34" s="1507" t="s">
        <v>8</v>
      </c>
      <c r="W34" s="1508" t="e">
        <f t="shared" si="14"/>
        <v>#N/A</v>
      </c>
      <c r="X34" s="1509"/>
      <c r="Y34" s="3883"/>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883"/>
      <c r="Q35" s="1502" t="str">
        <f t="shared" si="11"/>
        <v>建筑结构</v>
      </c>
      <c r="R35" s="1503" t="s">
        <v>8</v>
      </c>
      <c r="S35" s="1504">
        <f t="shared" si="12"/>
        <v>100</v>
      </c>
      <c r="T35" s="1503" t="s">
        <v>8</v>
      </c>
      <c r="U35" s="1504">
        <f t="shared" si="13"/>
        <v>100</v>
      </c>
      <c r="V35" s="1503" t="s">
        <v>8</v>
      </c>
      <c r="W35" s="1504">
        <f t="shared" si="14"/>
        <v>100</v>
      </c>
      <c r="X35" s="1497"/>
      <c r="Y35" s="3883"/>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883"/>
      <c r="Q36" s="1502" t="str">
        <f t="shared" si="11"/>
        <v>公共部分装修</v>
      </c>
      <c r="R36" s="1503" t="s">
        <v>8</v>
      </c>
      <c r="S36" s="1504">
        <f t="shared" si="12"/>
        <v>100</v>
      </c>
      <c r="T36" s="1503" t="s">
        <v>8</v>
      </c>
      <c r="U36" s="1504">
        <f t="shared" si="13"/>
        <v>100</v>
      </c>
      <c r="V36" s="1503" t="s">
        <v>8</v>
      </c>
      <c r="W36" s="1504">
        <f t="shared" si="14"/>
        <v>100</v>
      </c>
      <c r="X36" s="1497"/>
      <c r="Y36" s="3883"/>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883"/>
      <c r="Q37" s="1502" t="str">
        <f t="shared" si="11"/>
        <v>成新度</v>
      </c>
      <c r="R37" s="1503" t="s">
        <v>8</v>
      </c>
      <c r="S37" s="1504" t="e">
        <f t="shared" si="12"/>
        <v>#N/A</v>
      </c>
      <c r="T37" s="1503" t="s">
        <v>8</v>
      </c>
      <c r="U37" s="1504" t="e">
        <f t="shared" si="13"/>
        <v>#N/A</v>
      </c>
      <c r="V37" s="1503" t="s">
        <v>8</v>
      </c>
      <c r="W37" s="1504" t="e">
        <f t="shared" si="14"/>
        <v>#N/A</v>
      </c>
      <c r="X37" s="1497"/>
      <c r="Y37" s="3883"/>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883"/>
      <c r="Q38" s="1131" t="str">
        <f t="shared" si="11"/>
        <v>写字楼等级</v>
      </c>
      <c r="R38" s="1498" t="s">
        <v>8</v>
      </c>
      <c r="S38" s="1499">
        <f t="shared" si="12"/>
        <v>100</v>
      </c>
      <c r="T38" s="1498" t="s">
        <v>8</v>
      </c>
      <c r="U38" s="1499">
        <f t="shared" si="13"/>
        <v>100</v>
      </c>
      <c r="V38" s="1498" t="s">
        <v>8</v>
      </c>
      <c r="W38" s="1499">
        <f t="shared" si="14"/>
        <v>100</v>
      </c>
      <c r="X38" s="1500"/>
      <c r="Y38" s="3883"/>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883" t="s">
        <v>521</v>
      </c>
      <c r="Q39" s="1502" t="str">
        <f t="shared" si="11"/>
        <v>物业管理</v>
      </c>
      <c r="R39" s="1503" t="s">
        <v>8</v>
      </c>
      <c r="S39" s="1504">
        <f t="shared" si="12"/>
        <v>100</v>
      </c>
      <c r="T39" s="1503" t="s">
        <v>8</v>
      </c>
      <c r="U39" s="1504">
        <f t="shared" si="13"/>
        <v>100</v>
      </c>
      <c r="V39" s="1503" t="s">
        <v>8</v>
      </c>
      <c r="W39" s="1504">
        <f t="shared" si="14"/>
        <v>100</v>
      </c>
      <c r="X39" s="1497"/>
      <c r="Y39" s="3883"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883"/>
      <c r="Q40" s="1502" t="str">
        <f t="shared" si="11"/>
        <v>市政基础设施</v>
      </c>
      <c r="R40" s="1503" t="s">
        <v>8</v>
      </c>
      <c r="S40" s="1504">
        <f t="shared" si="12"/>
        <v>100</v>
      </c>
      <c r="T40" s="1503" t="s">
        <v>8</v>
      </c>
      <c r="U40" s="1504">
        <f t="shared" si="13"/>
        <v>100</v>
      </c>
      <c r="V40" s="1503" t="s">
        <v>8</v>
      </c>
      <c r="W40" s="1504">
        <f t="shared" si="14"/>
        <v>100</v>
      </c>
      <c r="X40" s="1497"/>
      <c r="Y40" s="3883"/>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883"/>
      <c r="Q41" s="1502" t="str">
        <f t="shared" si="11"/>
        <v>层高</v>
      </c>
      <c r="R41" s="1503" t="s">
        <v>8</v>
      </c>
      <c r="S41" s="1504">
        <f t="shared" si="12"/>
        <v>100</v>
      </c>
      <c r="T41" s="1503" t="s">
        <v>8</v>
      </c>
      <c r="U41" s="1504">
        <f t="shared" si="13"/>
        <v>100</v>
      </c>
      <c r="V41" s="1503" t="s">
        <v>8</v>
      </c>
      <c r="W41" s="1504">
        <f t="shared" si="14"/>
        <v>100</v>
      </c>
      <c r="X41" s="1497"/>
      <c r="Y41" s="3883"/>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883"/>
      <c r="Q42" s="1531" t="str">
        <f t="shared" si="11"/>
        <v>单套建筑面积</v>
      </c>
      <c r="R42" s="1507" t="s">
        <v>8</v>
      </c>
      <c r="S42" s="1508">
        <f t="shared" si="12"/>
        <v>100</v>
      </c>
      <c r="T42" s="1507" t="s">
        <v>8</v>
      </c>
      <c r="U42" s="1508">
        <f t="shared" si="13"/>
        <v>100</v>
      </c>
      <c r="V42" s="1507" t="s">
        <v>8</v>
      </c>
      <c r="W42" s="1508">
        <f t="shared" si="14"/>
        <v>100</v>
      </c>
      <c r="X42" s="1509"/>
      <c r="Y42" s="3883"/>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883"/>
      <c r="Q43" s="1502" t="str">
        <f t="shared" si="11"/>
        <v>内部装修</v>
      </c>
      <c r="R43" s="1503" t="s">
        <v>8</v>
      </c>
      <c r="S43" s="1504">
        <f t="shared" si="12"/>
        <v>100</v>
      </c>
      <c r="T43" s="1503" t="s">
        <v>8</v>
      </c>
      <c r="U43" s="1504">
        <f t="shared" si="13"/>
        <v>100</v>
      </c>
      <c r="V43" s="1503" t="s">
        <v>8</v>
      </c>
      <c r="W43" s="1504">
        <f t="shared" si="14"/>
        <v>100</v>
      </c>
      <c r="X43" s="1497"/>
      <c r="Y43" s="3883"/>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883"/>
      <c r="Q44" s="1502" t="str">
        <f t="shared" si="11"/>
        <v>内部装修维护情况</v>
      </c>
      <c r="R44" s="1503" t="s">
        <v>8</v>
      </c>
      <c r="S44" s="1504">
        <f t="shared" si="12"/>
        <v>100</v>
      </c>
      <c r="T44" s="1503" t="s">
        <v>8</v>
      </c>
      <c r="U44" s="1504">
        <f t="shared" si="13"/>
        <v>100</v>
      </c>
      <c r="V44" s="1503" t="s">
        <v>8</v>
      </c>
      <c r="W44" s="1504">
        <f t="shared" si="14"/>
        <v>100</v>
      </c>
      <c r="X44" s="1497"/>
      <c r="Y44" s="3883"/>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883"/>
      <c r="Q45" s="1131">
        <f t="shared" si="11"/>
        <v>111</v>
      </c>
      <c r="R45" s="1498" t="s">
        <v>8</v>
      </c>
      <c r="S45" s="1499">
        <f t="shared" si="12"/>
        <v>100</v>
      </c>
      <c r="T45" s="1498" t="s">
        <v>8</v>
      </c>
      <c r="U45" s="1499">
        <f t="shared" si="13"/>
        <v>100</v>
      </c>
      <c r="V45" s="1498" t="s">
        <v>8</v>
      </c>
      <c r="W45" s="1499">
        <f t="shared" si="14"/>
        <v>100</v>
      </c>
      <c r="X45" s="1500"/>
      <c r="Y45" s="3883"/>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883"/>
      <c r="Q46" s="1502">
        <f t="shared" si="11"/>
        <v>111</v>
      </c>
      <c r="R46" s="1503" t="s">
        <v>8</v>
      </c>
      <c r="S46" s="1504">
        <f t="shared" si="12"/>
        <v>100</v>
      </c>
      <c r="T46" s="1503" t="s">
        <v>8</v>
      </c>
      <c r="U46" s="1504">
        <f t="shared" si="13"/>
        <v>100</v>
      </c>
      <c r="V46" s="1503" t="s">
        <v>8</v>
      </c>
      <c r="W46" s="1504">
        <f t="shared" si="14"/>
        <v>100</v>
      </c>
      <c r="X46" s="1497"/>
      <c r="Y46" s="3883"/>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63"/>
      <c r="Q47" s="1502">
        <f t="shared" si="11"/>
        <v>111</v>
      </c>
      <c r="R47" s="1503" t="s">
        <v>8</v>
      </c>
      <c r="S47" s="1504">
        <f t="shared" si="12"/>
        <v>100</v>
      </c>
      <c r="T47" s="1503" t="s">
        <v>8</v>
      </c>
      <c r="U47" s="1504">
        <f t="shared" si="13"/>
        <v>100</v>
      </c>
      <c r="V47" s="1503" t="s">
        <v>8</v>
      </c>
      <c r="W47" s="1504">
        <f t="shared" si="14"/>
        <v>100</v>
      </c>
      <c r="X47" s="1497"/>
      <c r="Y47" s="3963"/>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900" t="str">
        <f>A48</f>
        <v>成交单价（元/平方米）</v>
      </c>
      <c r="Q48" s="3878"/>
      <c r="R48" s="3962">
        <f>E48</f>
        <v>0</v>
      </c>
      <c r="S48" s="3962"/>
      <c r="T48" s="3962">
        <f>G48</f>
        <v>0</v>
      </c>
      <c r="U48" s="3962"/>
      <c r="V48" s="3962">
        <f>I48</f>
        <v>0</v>
      </c>
      <c r="W48" s="3962"/>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900" t="str">
        <f>A49</f>
        <v>比较价格（元/平方米）</v>
      </c>
      <c r="Q49" s="3878"/>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34" t="str">
        <f>A50</f>
        <v>估价对象XX用房的比较价格（楼面单价，元/平方米）</v>
      </c>
      <c r="Q50" s="3900"/>
      <c r="R50" s="3961" t="e">
        <f>IF(F1="售价",ROUND(IF(D49="简单平均",AVERAGE(R49:V49),R49*F49+T49*H49+V49*J49),0),ROUND(IF(D49="简单平均",AVERAGE(R49:V49),R49*F49+T49*H49+V49*J49),1))</f>
        <v>#DIV/0!</v>
      </c>
      <c r="S50" s="3961"/>
      <c r="T50" s="3961"/>
      <c r="U50" s="3961"/>
      <c r="V50" s="3961"/>
      <c r="W50" s="3961"/>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84" t="s">
        <v>493</v>
      </c>
      <c r="D4" s="3885"/>
      <c r="E4" s="3909" t="s">
        <v>494</v>
      </c>
      <c r="F4" s="3910"/>
      <c r="G4" s="3884" t="s">
        <v>495</v>
      </c>
      <c r="H4" s="3885"/>
      <c r="I4" s="3884" t="s">
        <v>496</v>
      </c>
      <c r="J4" s="3885"/>
      <c r="K4" s="505"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68"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70"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80" t="s">
        <v>511</v>
      </c>
      <c r="Q15" s="1502" t="str">
        <f t="shared" si="6"/>
        <v>产业集聚程度</v>
      </c>
      <c r="R15" s="1503" t="s">
        <v>8</v>
      </c>
      <c r="S15" s="1504">
        <f t="shared" si="0"/>
        <v>100</v>
      </c>
      <c r="T15" s="1503" t="s">
        <v>8</v>
      </c>
      <c r="U15" s="1504">
        <f t="shared" si="1"/>
        <v>100</v>
      </c>
      <c r="V15" s="1503" t="s">
        <v>8</v>
      </c>
      <c r="W15" s="1504">
        <f t="shared" si="2"/>
        <v>100</v>
      </c>
      <c r="X15" s="1497"/>
      <c r="Y15" s="3880"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81"/>
      <c r="Q22" s="2425"/>
      <c r="R22" s="1503"/>
      <c r="S22" s="1504"/>
      <c r="T22" s="1503"/>
      <c r="U22" s="1504"/>
      <c r="V22" s="1503"/>
      <c r="W22" s="1504"/>
      <c r="X22" s="2427"/>
      <c r="Y22" s="3881"/>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81"/>
      <c r="Q23" s="1502" t="str">
        <f>B23</f>
        <v>环境质量</v>
      </c>
      <c r="R23" s="1503" t="s">
        <v>8</v>
      </c>
      <c r="S23" s="1504">
        <f>F23</f>
        <v>100</v>
      </c>
      <c r="T23" s="1503" t="s">
        <v>8</v>
      </c>
      <c r="U23" s="1504">
        <f>H23</f>
        <v>100</v>
      </c>
      <c r="V23" s="1503" t="s">
        <v>8</v>
      </c>
      <c r="W23" s="1504">
        <f>J23</f>
        <v>100</v>
      </c>
      <c r="X23" s="1497"/>
      <c r="Y23" s="3881"/>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81"/>
      <c r="Q25" s="1502">
        <f>B25</f>
        <v>111</v>
      </c>
      <c r="R25" s="1503" t="s">
        <v>8</v>
      </c>
      <c r="S25" s="1504">
        <f>F25</f>
        <v>100</v>
      </c>
      <c r="T25" s="1503" t="s">
        <v>8</v>
      </c>
      <c r="U25" s="1504">
        <f>H25</f>
        <v>100</v>
      </c>
      <c r="V25" s="1503" t="s">
        <v>8</v>
      </c>
      <c r="W25" s="1504">
        <f>J25</f>
        <v>100</v>
      </c>
      <c r="X25" s="1497"/>
      <c r="Y25" s="3881"/>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81"/>
      <c r="Q26" s="1502">
        <f t="shared" ref="Q26:Q40" si="11">B26</f>
        <v>111</v>
      </c>
      <c r="R26" s="1503" t="s">
        <v>8</v>
      </c>
      <c r="S26" s="1504">
        <f>F26</f>
        <v>100</v>
      </c>
      <c r="T26" s="1503" t="s">
        <v>8</v>
      </c>
      <c r="U26" s="1504">
        <f>H26</f>
        <v>100</v>
      </c>
      <c r="V26" s="1503" t="s">
        <v>8</v>
      </c>
      <c r="W26" s="1504">
        <f>J26</f>
        <v>100</v>
      </c>
      <c r="X26" s="1497"/>
      <c r="Y26" s="3881"/>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81"/>
      <c r="Q27" s="1131">
        <f t="shared" si="11"/>
        <v>111</v>
      </c>
      <c r="R27" s="1498" t="s">
        <v>8</v>
      </c>
      <c r="S27" s="1499">
        <f>F27</f>
        <v>100</v>
      </c>
      <c r="T27" s="1498" t="s">
        <v>8</v>
      </c>
      <c r="U27" s="1499">
        <f>H27</f>
        <v>100</v>
      </c>
      <c r="V27" s="1498" t="s">
        <v>8</v>
      </c>
      <c r="W27" s="1499">
        <f>J27</f>
        <v>100</v>
      </c>
      <c r="X27" s="1500"/>
      <c r="Y27" s="3881"/>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81"/>
      <c r="Q28" s="1502">
        <f t="shared" si="11"/>
        <v>111</v>
      </c>
      <c r="R28" s="1503" t="s">
        <v>8</v>
      </c>
      <c r="S28" s="1504">
        <f t="shared" ref="S28:S40" si="12">F28</f>
        <v>100</v>
      </c>
      <c r="T28" s="1503" t="s">
        <v>8</v>
      </c>
      <c r="U28" s="1504">
        <f t="shared" ref="U28:U40" si="13">H28</f>
        <v>100</v>
      </c>
      <c r="V28" s="1503" t="s">
        <v>8</v>
      </c>
      <c r="W28" s="1504">
        <f t="shared" ref="W28:W40" si="14">J28</f>
        <v>100</v>
      </c>
      <c r="X28" s="1497"/>
      <c r="Y28" s="3881"/>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82" t="s">
        <v>521</v>
      </c>
      <c r="Q29" s="1502" t="str">
        <f t="shared" si="11"/>
        <v>建筑类型</v>
      </c>
      <c r="R29" s="1503" t="s">
        <v>8</v>
      </c>
      <c r="S29" s="1504">
        <f t="shared" si="12"/>
        <v>100</v>
      </c>
      <c r="T29" s="1503" t="s">
        <v>8</v>
      </c>
      <c r="U29" s="1504">
        <f t="shared" si="13"/>
        <v>100</v>
      </c>
      <c r="V29" s="1503" t="s">
        <v>8</v>
      </c>
      <c r="W29" s="1504">
        <f t="shared" si="14"/>
        <v>100</v>
      </c>
      <c r="X29" s="1497"/>
      <c r="Y29" s="3883"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883"/>
      <c r="Q30" s="1531" t="str">
        <f t="shared" si="11"/>
        <v>项目建筑规模</v>
      </c>
      <c r="R30" s="1507" t="s">
        <v>8</v>
      </c>
      <c r="S30" s="1508" t="e">
        <f t="shared" si="12"/>
        <v>#N/A</v>
      </c>
      <c r="T30" s="1507" t="s">
        <v>8</v>
      </c>
      <c r="U30" s="1508" t="e">
        <f t="shared" si="13"/>
        <v>#N/A</v>
      </c>
      <c r="V30" s="1507" t="s">
        <v>8</v>
      </c>
      <c r="W30" s="1508" t="e">
        <f t="shared" si="14"/>
        <v>#N/A</v>
      </c>
      <c r="X30" s="1509"/>
      <c r="Y30" s="3883"/>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883"/>
      <c r="Q31" s="1502" t="str">
        <f t="shared" si="11"/>
        <v>建筑结构</v>
      </c>
      <c r="R31" s="1503" t="s">
        <v>8</v>
      </c>
      <c r="S31" s="1504">
        <f t="shared" si="12"/>
        <v>100</v>
      </c>
      <c r="T31" s="1503" t="s">
        <v>8</v>
      </c>
      <c r="U31" s="1504">
        <f t="shared" si="13"/>
        <v>100</v>
      </c>
      <c r="V31" s="1503" t="s">
        <v>8</v>
      </c>
      <c r="W31" s="1504">
        <f t="shared" si="14"/>
        <v>100</v>
      </c>
      <c r="X31" s="1497"/>
      <c r="Y31" s="3883"/>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883"/>
      <c r="Q32" s="1502" t="str">
        <f t="shared" si="11"/>
        <v>公共部分装修</v>
      </c>
      <c r="R32" s="1503" t="s">
        <v>8</v>
      </c>
      <c r="S32" s="1504">
        <f t="shared" si="12"/>
        <v>100</v>
      </c>
      <c r="T32" s="1503" t="s">
        <v>8</v>
      </c>
      <c r="U32" s="1504">
        <f t="shared" si="13"/>
        <v>100</v>
      </c>
      <c r="V32" s="1503" t="s">
        <v>8</v>
      </c>
      <c r="W32" s="1504">
        <f t="shared" si="14"/>
        <v>100</v>
      </c>
      <c r="X32" s="1497"/>
      <c r="Y32" s="3883"/>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883"/>
      <c r="Q33" s="1502" t="str">
        <f t="shared" si="11"/>
        <v>成新度</v>
      </c>
      <c r="R33" s="1503" t="s">
        <v>8</v>
      </c>
      <c r="S33" s="1504" t="e">
        <f t="shared" si="12"/>
        <v>#N/A</v>
      </c>
      <c r="T33" s="1503" t="s">
        <v>8</v>
      </c>
      <c r="U33" s="1504" t="e">
        <f t="shared" si="13"/>
        <v>#N/A</v>
      </c>
      <c r="V33" s="1503" t="s">
        <v>8</v>
      </c>
      <c r="W33" s="1504" t="e">
        <f t="shared" si="14"/>
        <v>#N/A</v>
      </c>
      <c r="X33" s="1497"/>
      <c r="Y33" s="3883"/>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883"/>
      <c r="Q34" s="1131" t="str">
        <f t="shared" si="11"/>
        <v>物业管理</v>
      </c>
      <c r="R34" s="1498" t="s">
        <v>8</v>
      </c>
      <c r="S34" s="1499">
        <f t="shared" si="12"/>
        <v>100</v>
      </c>
      <c r="T34" s="1498" t="s">
        <v>8</v>
      </c>
      <c r="U34" s="1499">
        <f t="shared" si="13"/>
        <v>100</v>
      </c>
      <c r="V34" s="1498" t="s">
        <v>8</v>
      </c>
      <c r="W34" s="1499">
        <f t="shared" si="14"/>
        <v>100</v>
      </c>
      <c r="X34" s="1500"/>
      <c r="Y34" s="3883"/>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883" t="s">
        <v>521</v>
      </c>
      <c r="Q35" s="1502" t="str">
        <f t="shared" si="11"/>
        <v>市政基础设施</v>
      </c>
      <c r="R35" s="1503" t="s">
        <v>8</v>
      </c>
      <c r="S35" s="1504">
        <f t="shared" si="12"/>
        <v>100</v>
      </c>
      <c r="T35" s="1503" t="s">
        <v>8</v>
      </c>
      <c r="U35" s="1504">
        <f t="shared" si="13"/>
        <v>100</v>
      </c>
      <c r="V35" s="1503" t="s">
        <v>8</v>
      </c>
      <c r="W35" s="1504">
        <f t="shared" si="14"/>
        <v>100</v>
      </c>
      <c r="X35" s="1497"/>
      <c r="Y35" s="3883"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883"/>
      <c r="Q36" s="1502" t="str">
        <f t="shared" si="11"/>
        <v>内部装修</v>
      </c>
      <c r="R36" s="1503" t="s">
        <v>8</v>
      </c>
      <c r="S36" s="1504">
        <f t="shared" si="12"/>
        <v>100</v>
      </c>
      <c r="T36" s="1503" t="s">
        <v>8</v>
      </c>
      <c r="U36" s="1504">
        <f t="shared" si="13"/>
        <v>100</v>
      </c>
      <c r="V36" s="1503" t="s">
        <v>8</v>
      </c>
      <c r="W36" s="1504">
        <f t="shared" si="14"/>
        <v>100</v>
      </c>
      <c r="X36" s="1497"/>
      <c r="Y36" s="3883"/>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883"/>
      <c r="Q37" s="1502" t="str">
        <f t="shared" si="11"/>
        <v>内部装修状况</v>
      </c>
      <c r="R37" s="1503" t="s">
        <v>8</v>
      </c>
      <c r="S37" s="1504">
        <f t="shared" si="12"/>
        <v>100</v>
      </c>
      <c r="T37" s="1503" t="s">
        <v>8</v>
      </c>
      <c r="U37" s="1504">
        <f t="shared" si="13"/>
        <v>100</v>
      </c>
      <c r="V37" s="1503" t="s">
        <v>8</v>
      </c>
      <c r="W37" s="1504">
        <f t="shared" si="14"/>
        <v>100</v>
      </c>
      <c r="X37" s="1497"/>
      <c r="Y37" s="3883"/>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883"/>
      <c r="Q38" s="1531">
        <f t="shared" si="11"/>
        <v>111</v>
      </c>
      <c r="R38" s="1507" t="s">
        <v>8</v>
      </c>
      <c r="S38" s="1508">
        <f t="shared" si="12"/>
        <v>100</v>
      </c>
      <c r="T38" s="1507" t="s">
        <v>8</v>
      </c>
      <c r="U38" s="1508">
        <f t="shared" si="13"/>
        <v>100</v>
      </c>
      <c r="V38" s="1507" t="s">
        <v>8</v>
      </c>
      <c r="W38" s="1508">
        <f t="shared" si="14"/>
        <v>100</v>
      </c>
      <c r="X38" s="1509"/>
      <c r="Y38" s="3883"/>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883"/>
      <c r="Q39" s="1502">
        <f t="shared" si="11"/>
        <v>111</v>
      </c>
      <c r="R39" s="1503" t="s">
        <v>8</v>
      </c>
      <c r="S39" s="1504">
        <f t="shared" si="12"/>
        <v>100</v>
      </c>
      <c r="T39" s="1503" t="s">
        <v>8</v>
      </c>
      <c r="U39" s="1504">
        <f t="shared" si="13"/>
        <v>100</v>
      </c>
      <c r="V39" s="1503" t="s">
        <v>8</v>
      </c>
      <c r="W39" s="1504">
        <f t="shared" si="14"/>
        <v>100</v>
      </c>
      <c r="X39" s="1497"/>
      <c r="Y39" s="3883"/>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63"/>
      <c r="Q40" s="1502">
        <f t="shared" si="11"/>
        <v>111</v>
      </c>
      <c r="R40" s="1503" t="s">
        <v>8</v>
      </c>
      <c r="S40" s="1504">
        <f t="shared" si="12"/>
        <v>100</v>
      </c>
      <c r="T40" s="1503" t="s">
        <v>8</v>
      </c>
      <c r="U40" s="1504">
        <f t="shared" si="13"/>
        <v>100</v>
      </c>
      <c r="V40" s="1503" t="s">
        <v>8</v>
      </c>
      <c r="W40" s="1504">
        <f t="shared" si="14"/>
        <v>100</v>
      </c>
      <c r="X40" s="1497"/>
      <c r="Y40" s="3963"/>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78" t="str">
        <f>A41</f>
        <v>成交单价（元/平方米）</v>
      </c>
      <c r="Q41" s="3878"/>
      <c r="R41" s="3962">
        <f>E41</f>
        <v>0</v>
      </c>
      <c r="S41" s="3962"/>
      <c r="T41" s="3962">
        <f>G41</f>
        <v>0</v>
      </c>
      <c r="U41" s="3962"/>
      <c r="V41" s="3962">
        <f>I41</f>
        <v>0</v>
      </c>
      <c r="W41" s="3962"/>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78" t="str">
        <f>A42</f>
        <v>比较价格（元/平方米）</v>
      </c>
      <c r="Q42" s="3878"/>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99" t="str">
        <f>A43</f>
        <v>估价对象XX用房的比较价格（楼面单价，元/平方米）</v>
      </c>
      <c r="Q43" s="3900"/>
      <c r="R43" s="3961" t="e">
        <f>IF(F1="售价",ROUND(IF(D42="简单平均",AVERAGE(R42:V42),R42*F42+T42*H42+V42*J42),0),ROUND(IF(D42="简单平均",AVERAGE(R42:V42),R42*F42+T42*H42+V42*J42),1))</f>
        <v>#DIV/0!</v>
      </c>
      <c r="S43" s="3961"/>
      <c r="T43" s="3961"/>
      <c r="U43" s="3961"/>
      <c r="V43" s="3961"/>
      <c r="W43" s="3961"/>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4" t="s">
        <v>769</v>
      </c>
      <c r="D4" s="3885"/>
      <c r="E4" s="3884" t="s">
        <v>770</v>
      </c>
      <c r="F4" s="3885"/>
      <c r="G4" s="3884" t="s">
        <v>771</v>
      </c>
      <c r="H4" s="3885"/>
      <c r="I4" s="3884" t="s">
        <v>772</v>
      </c>
      <c r="J4" s="3885"/>
      <c r="K4" s="505" t="s">
        <v>773</v>
      </c>
      <c r="L4" s="2011"/>
      <c r="M4" s="2012"/>
      <c r="N4" s="2012"/>
      <c r="O4" s="2012"/>
      <c r="P4" s="3886" t="s">
        <v>774</v>
      </c>
      <c r="Q4" s="3887"/>
      <c r="R4" s="3872" t="s">
        <v>770</v>
      </c>
      <c r="S4" s="3873"/>
      <c r="T4" s="3872" t="s">
        <v>771</v>
      </c>
      <c r="U4" s="3873"/>
      <c r="V4" s="3892" t="s">
        <v>772</v>
      </c>
      <c r="W4" s="3892"/>
      <c r="X4" s="1497"/>
      <c r="Y4" s="3872" t="s">
        <v>774</v>
      </c>
      <c r="Z4" s="3873"/>
      <c r="AA4" s="3867" t="s">
        <v>770</v>
      </c>
      <c r="AB4" s="3868" t="s">
        <v>771</v>
      </c>
      <c r="AC4" s="3867" t="s">
        <v>772</v>
      </c>
    </row>
    <row r="5" spans="1:29" ht="15">
      <c r="A5" s="506"/>
      <c r="B5" s="507"/>
      <c r="C5" s="3895" t="s">
        <v>2871</v>
      </c>
      <c r="D5" s="3896"/>
      <c r="E5" s="3895" t="s">
        <v>2872</v>
      </c>
      <c r="F5" s="3896"/>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897" t="s">
        <v>2875</v>
      </c>
      <c r="F6" s="3898"/>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70" t="s">
        <v>501</v>
      </c>
      <c r="Q7" s="3879"/>
      <c r="R7" s="1498" t="s">
        <v>8</v>
      </c>
      <c r="S7" s="1499">
        <f t="shared" ref="S7:S14" si="0">F7</f>
        <v>0</v>
      </c>
      <c r="T7" s="1498" t="s">
        <v>8</v>
      </c>
      <c r="U7" s="1499">
        <f t="shared" ref="U7:U14" si="1">H7</f>
        <v>0</v>
      </c>
      <c r="V7" s="1498" t="s">
        <v>8</v>
      </c>
      <c r="W7" s="1499">
        <f t="shared" ref="W7:W14"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78" t="s">
        <v>506</v>
      </c>
      <c r="Q9" s="1131" t="str">
        <f t="shared" ref="Q9:Q14" si="6">B9</f>
        <v>用途</v>
      </c>
      <c r="R9" s="1498" t="s">
        <v>8</v>
      </c>
      <c r="S9" s="1499">
        <f t="shared" si="0"/>
        <v>100</v>
      </c>
      <c r="T9" s="1498" t="s">
        <v>8</v>
      </c>
      <c r="U9" s="1499">
        <f t="shared" si="1"/>
        <v>100</v>
      </c>
      <c r="V9" s="1498" t="s">
        <v>8</v>
      </c>
      <c r="W9" s="1499">
        <f t="shared" si="2"/>
        <v>100</v>
      </c>
      <c r="X9" s="1500"/>
      <c r="Y9" s="382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78"/>
      <c r="Q11" s="1131">
        <f t="shared" si="6"/>
        <v>111</v>
      </c>
      <c r="R11" s="1498" t="s">
        <v>8</v>
      </c>
      <c r="S11" s="1499">
        <f t="shared" si="0"/>
        <v>100</v>
      </c>
      <c r="T11" s="1498" t="s">
        <v>8</v>
      </c>
      <c r="U11" s="1499">
        <f t="shared" si="1"/>
        <v>100</v>
      </c>
      <c r="V11" s="1498" t="s">
        <v>8</v>
      </c>
      <c r="W11" s="1499">
        <f t="shared" si="2"/>
        <v>100</v>
      </c>
      <c r="X11" s="1500"/>
      <c r="Y11" s="3829"/>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80" t="s">
        <v>511</v>
      </c>
      <c r="Q14" s="1502" t="str">
        <f t="shared" si="6"/>
        <v>交通便捷度</v>
      </c>
      <c r="R14" s="1503" t="s">
        <v>8</v>
      </c>
      <c r="S14" s="1504">
        <f t="shared" si="0"/>
        <v>100</v>
      </c>
      <c r="T14" s="1503" t="s">
        <v>8</v>
      </c>
      <c r="U14" s="1504">
        <f t="shared" si="1"/>
        <v>100</v>
      </c>
      <c r="V14" s="1503" t="s">
        <v>8</v>
      </c>
      <c r="W14" s="1504">
        <f t="shared" si="2"/>
        <v>100</v>
      </c>
      <c r="X14" s="1497"/>
      <c r="Y14" s="3880"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81"/>
      <c r="Q15" s="1502"/>
      <c r="R15" s="1503"/>
      <c r="S15" s="1504"/>
      <c r="T15" s="1503"/>
      <c r="U15" s="1504"/>
      <c r="V15" s="1503"/>
      <c r="W15" s="1504"/>
      <c r="X15" s="1497"/>
      <c r="Y15" s="3881"/>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81"/>
      <c r="Q16" s="1502" t="str">
        <f>B16</f>
        <v>公共配套设施</v>
      </c>
      <c r="R16" s="1503" t="s">
        <v>8</v>
      </c>
      <c r="S16" s="1504">
        <f>F16</f>
        <v>100</v>
      </c>
      <c r="T16" s="1503" t="s">
        <v>8</v>
      </c>
      <c r="U16" s="1504">
        <f>H16</f>
        <v>100</v>
      </c>
      <c r="V16" s="1503" t="s">
        <v>8</v>
      </c>
      <c r="W16" s="1504">
        <f>J16</f>
        <v>100</v>
      </c>
      <c r="X16" s="1497"/>
      <c r="Y16" s="3881"/>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81"/>
      <c r="Q17" s="1502"/>
      <c r="R17" s="1503"/>
      <c r="S17" s="1504"/>
      <c r="T17" s="1503"/>
      <c r="U17" s="1504"/>
      <c r="V17" s="1503"/>
      <c r="W17" s="1504"/>
      <c r="X17" s="1497"/>
      <c r="Y17" s="3881"/>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81"/>
      <c r="Q18" s="2425" t="str">
        <f>B18</f>
        <v>基础设施水平</v>
      </c>
      <c r="R18" s="1503" t="s">
        <v>8</v>
      </c>
      <c r="S18" s="1504">
        <f>F18</f>
        <v>100</v>
      </c>
      <c r="T18" s="1503" t="s">
        <v>8</v>
      </c>
      <c r="U18" s="1504">
        <f>H18</f>
        <v>100</v>
      </c>
      <c r="V18" s="1503" t="s">
        <v>8</v>
      </c>
      <c r="W18" s="1504">
        <f>J18</f>
        <v>100</v>
      </c>
      <c r="X18" s="2427"/>
      <c r="Y18" s="3881"/>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81"/>
      <c r="Q19" s="2425"/>
      <c r="R19" s="1503"/>
      <c r="S19" s="1504"/>
      <c r="T19" s="1503"/>
      <c r="U19" s="1504"/>
      <c r="V19" s="1503"/>
      <c r="W19" s="1504"/>
      <c r="X19" s="2427"/>
      <c r="Y19" s="3881"/>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81"/>
      <c r="Q20" s="1502" t="str">
        <f>B20</f>
        <v>自然及人文环境</v>
      </c>
      <c r="R20" s="1503" t="s">
        <v>8</v>
      </c>
      <c r="S20" s="1504">
        <f>F20</f>
        <v>100</v>
      </c>
      <c r="T20" s="1503" t="s">
        <v>8</v>
      </c>
      <c r="U20" s="1504">
        <f>H20</f>
        <v>100</v>
      </c>
      <c r="V20" s="1503" t="s">
        <v>8</v>
      </c>
      <c r="W20" s="1504">
        <f>J20</f>
        <v>100</v>
      </c>
      <c r="X20" s="1497"/>
      <c r="Y20" s="3881"/>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81"/>
      <c r="Q21" s="1502"/>
      <c r="R21" s="1503"/>
      <c r="S21" s="1504"/>
      <c r="T21" s="1503"/>
      <c r="U21" s="1504"/>
      <c r="V21" s="1503"/>
      <c r="W21" s="1504"/>
      <c r="X21" s="1497"/>
      <c r="Y21" s="3881"/>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81"/>
      <c r="Q22" s="1502" t="str">
        <f>B22</f>
        <v>楼层</v>
      </c>
      <c r="R22" s="1503" t="s">
        <v>8</v>
      </c>
      <c r="S22" s="1504">
        <f>F22</f>
        <v>100</v>
      </c>
      <c r="T22" s="1503" t="s">
        <v>8</v>
      </c>
      <c r="U22" s="1504">
        <f>H22</f>
        <v>100</v>
      </c>
      <c r="V22" s="1503" t="s">
        <v>8</v>
      </c>
      <c r="W22" s="1504">
        <f>J22</f>
        <v>100</v>
      </c>
      <c r="X22" s="1497"/>
      <c r="Y22" s="3881"/>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81"/>
      <c r="Q23" s="1502">
        <f>B23</f>
        <v>111</v>
      </c>
      <c r="R23" s="1503" t="s">
        <v>8</v>
      </c>
      <c r="S23" s="1504">
        <f>F23</f>
        <v>100</v>
      </c>
      <c r="T23" s="1503" t="s">
        <v>8</v>
      </c>
      <c r="U23" s="1504">
        <f>H23</f>
        <v>100</v>
      </c>
      <c r="V23" s="1503" t="s">
        <v>8</v>
      </c>
      <c r="W23" s="1504">
        <f>J23</f>
        <v>100</v>
      </c>
      <c r="X23" s="1497"/>
      <c r="Y23" s="3881"/>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81"/>
      <c r="Q24" s="1502">
        <f t="shared" ref="Q24:Q36" si="11">B24</f>
        <v>111</v>
      </c>
      <c r="R24" s="1503" t="s">
        <v>8</v>
      </c>
      <c r="S24" s="1504">
        <f>F24</f>
        <v>100</v>
      </c>
      <c r="T24" s="1503" t="s">
        <v>8</v>
      </c>
      <c r="U24" s="1504">
        <f>H24</f>
        <v>100</v>
      </c>
      <c r="V24" s="1503" t="s">
        <v>8</v>
      </c>
      <c r="W24" s="1504">
        <f>J24</f>
        <v>100</v>
      </c>
      <c r="X24" s="1497"/>
      <c r="Y24" s="3881"/>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81"/>
      <c r="Q25" s="1131">
        <f t="shared" si="11"/>
        <v>111</v>
      </c>
      <c r="R25" s="1498" t="s">
        <v>8</v>
      </c>
      <c r="S25" s="1499">
        <f>F25</f>
        <v>100</v>
      </c>
      <c r="T25" s="1498" t="s">
        <v>8</v>
      </c>
      <c r="U25" s="1499">
        <f>H25</f>
        <v>100</v>
      </c>
      <c r="V25" s="1498" t="s">
        <v>8</v>
      </c>
      <c r="W25" s="1499">
        <f>J25</f>
        <v>100</v>
      </c>
      <c r="X25" s="1500"/>
      <c r="Y25" s="3881"/>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82"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883"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883"/>
      <c r="Q27" s="1531" t="str">
        <f t="shared" si="11"/>
        <v>项目停车位配比</v>
      </c>
      <c r="R27" s="1507" t="s">
        <v>8</v>
      </c>
      <c r="S27" s="1508">
        <f t="shared" si="12"/>
        <v>100</v>
      </c>
      <c r="T27" s="1507" t="s">
        <v>8</v>
      </c>
      <c r="U27" s="1508">
        <f t="shared" si="13"/>
        <v>100</v>
      </c>
      <c r="V27" s="1507" t="s">
        <v>8</v>
      </c>
      <c r="W27" s="1508">
        <f t="shared" si="14"/>
        <v>100</v>
      </c>
      <c r="X27" s="1509"/>
      <c r="Y27" s="3883"/>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883"/>
      <c r="Q28" s="1502" t="str">
        <f t="shared" si="11"/>
        <v>公共部分装修</v>
      </c>
      <c r="R28" s="1503" t="s">
        <v>8</v>
      </c>
      <c r="S28" s="1504">
        <f t="shared" si="12"/>
        <v>100</v>
      </c>
      <c r="T28" s="1503" t="s">
        <v>8</v>
      </c>
      <c r="U28" s="1504">
        <f t="shared" si="13"/>
        <v>100</v>
      </c>
      <c r="V28" s="1503" t="s">
        <v>8</v>
      </c>
      <c r="W28" s="1504">
        <f t="shared" si="14"/>
        <v>100</v>
      </c>
      <c r="X28" s="1497"/>
      <c r="Y28" s="3883"/>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883"/>
      <c r="Q29" s="1502" t="str">
        <f t="shared" si="11"/>
        <v>成新率</v>
      </c>
      <c r="R29" s="1503" t="s">
        <v>8</v>
      </c>
      <c r="S29" s="1504" t="e">
        <f t="shared" si="12"/>
        <v>#N/A</v>
      </c>
      <c r="T29" s="1503" t="s">
        <v>8</v>
      </c>
      <c r="U29" s="1504" t="e">
        <f t="shared" si="13"/>
        <v>#N/A</v>
      </c>
      <c r="V29" s="1503" t="s">
        <v>8</v>
      </c>
      <c r="W29" s="1504" t="e">
        <f t="shared" si="14"/>
        <v>#N/A</v>
      </c>
      <c r="X29" s="1497"/>
      <c r="Y29" s="3883"/>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883"/>
      <c r="Q30" s="1502" t="str">
        <f t="shared" si="11"/>
        <v>物业等级</v>
      </c>
      <c r="R30" s="1503" t="s">
        <v>8</v>
      </c>
      <c r="S30" s="1504">
        <f t="shared" si="12"/>
        <v>100</v>
      </c>
      <c r="T30" s="1503" t="s">
        <v>8</v>
      </c>
      <c r="U30" s="1504">
        <f t="shared" si="13"/>
        <v>100</v>
      </c>
      <c r="V30" s="1503" t="s">
        <v>8</v>
      </c>
      <c r="W30" s="1504">
        <f t="shared" si="14"/>
        <v>100</v>
      </c>
      <c r="X30" s="1497"/>
      <c r="Y30" s="3883"/>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883"/>
      <c r="Q31" s="1131" t="str">
        <f t="shared" si="11"/>
        <v>停车位面积</v>
      </c>
      <c r="R31" s="1498" t="s">
        <v>8</v>
      </c>
      <c r="S31" s="1499" t="e">
        <f t="shared" si="12"/>
        <v>#N/A</v>
      </c>
      <c r="T31" s="1498" t="s">
        <v>8</v>
      </c>
      <c r="U31" s="1499" t="e">
        <f t="shared" si="13"/>
        <v>#N/A</v>
      </c>
      <c r="V31" s="1498" t="s">
        <v>8</v>
      </c>
      <c r="W31" s="1499" t="e">
        <f t="shared" si="14"/>
        <v>#N/A</v>
      </c>
      <c r="X31" s="1500"/>
      <c r="Y31" s="3883"/>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883" t="s">
        <v>521</v>
      </c>
      <c r="Q32" s="1502" t="str">
        <f t="shared" si="11"/>
        <v>车位类型</v>
      </c>
      <c r="R32" s="1503" t="s">
        <v>8</v>
      </c>
      <c r="S32" s="1504">
        <f t="shared" si="12"/>
        <v>100</v>
      </c>
      <c r="T32" s="1503" t="s">
        <v>8</v>
      </c>
      <c r="U32" s="1504">
        <f t="shared" si="13"/>
        <v>100</v>
      </c>
      <c r="V32" s="1503" t="s">
        <v>8</v>
      </c>
      <c r="W32" s="1504">
        <f t="shared" si="14"/>
        <v>100</v>
      </c>
      <c r="X32" s="1497"/>
      <c r="Y32" s="3883"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883"/>
      <c r="Q33" s="1502" t="str">
        <f t="shared" si="11"/>
        <v>是否直接入户</v>
      </c>
      <c r="R33" s="1503" t="s">
        <v>8</v>
      </c>
      <c r="S33" s="1504">
        <f t="shared" si="12"/>
        <v>100</v>
      </c>
      <c r="T33" s="1503" t="s">
        <v>8</v>
      </c>
      <c r="U33" s="1504">
        <f t="shared" si="13"/>
        <v>100</v>
      </c>
      <c r="V33" s="1503" t="s">
        <v>8</v>
      </c>
      <c r="W33" s="1504">
        <f t="shared" si="14"/>
        <v>100</v>
      </c>
      <c r="X33" s="1497"/>
      <c r="Y33" s="3883"/>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883"/>
      <c r="Q34" s="1502">
        <f t="shared" si="11"/>
        <v>111</v>
      </c>
      <c r="R34" s="1503" t="s">
        <v>8</v>
      </c>
      <c r="S34" s="1504">
        <f t="shared" si="12"/>
        <v>100</v>
      </c>
      <c r="T34" s="1503" t="s">
        <v>8</v>
      </c>
      <c r="U34" s="1504">
        <f t="shared" si="13"/>
        <v>100</v>
      </c>
      <c r="V34" s="1503" t="s">
        <v>8</v>
      </c>
      <c r="W34" s="1504">
        <f t="shared" si="14"/>
        <v>100</v>
      </c>
      <c r="X34" s="1497"/>
      <c r="Y34" s="3883"/>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883"/>
      <c r="Q35" s="1531">
        <f t="shared" si="11"/>
        <v>111</v>
      </c>
      <c r="R35" s="1507" t="s">
        <v>8</v>
      </c>
      <c r="S35" s="1508">
        <f t="shared" si="12"/>
        <v>100</v>
      </c>
      <c r="T35" s="1507" t="s">
        <v>8</v>
      </c>
      <c r="U35" s="1508">
        <f t="shared" si="13"/>
        <v>100</v>
      </c>
      <c r="V35" s="1507" t="s">
        <v>8</v>
      </c>
      <c r="W35" s="1508">
        <f t="shared" si="14"/>
        <v>100</v>
      </c>
      <c r="X35" s="1509"/>
      <c r="Y35" s="3883"/>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883"/>
      <c r="Q36" s="1502">
        <f t="shared" si="11"/>
        <v>111</v>
      </c>
      <c r="R36" s="1503" t="s">
        <v>8</v>
      </c>
      <c r="S36" s="1504">
        <f t="shared" si="12"/>
        <v>100</v>
      </c>
      <c r="T36" s="1503" t="s">
        <v>8</v>
      </c>
      <c r="U36" s="1504">
        <f t="shared" si="13"/>
        <v>100</v>
      </c>
      <c r="V36" s="1503" t="s">
        <v>8</v>
      </c>
      <c r="W36" s="1504">
        <f t="shared" si="14"/>
        <v>100</v>
      </c>
      <c r="X36" s="1497"/>
      <c r="Y36" s="3883"/>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78" t="str">
        <f>A37</f>
        <v>成交单价</v>
      </c>
      <c r="Q37" s="3878"/>
      <c r="R37" s="3962">
        <f>E37</f>
        <v>0</v>
      </c>
      <c r="S37" s="3962"/>
      <c r="T37" s="3962">
        <f>G37</f>
        <v>0</v>
      </c>
      <c r="U37" s="3962"/>
      <c r="V37" s="3962">
        <f>I37</f>
        <v>0</v>
      </c>
      <c r="W37" s="3962"/>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78" t="str">
        <f>A38</f>
        <v>比较价格（元/平方米）</v>
      </c>
      <c r="Q38" s="3878"/>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99" t="str">
        <f>A39</f>
        <v>估价对象XX用房的比较价格（楼面单价，元/平方米）</v>
      </c>
      <c r="Q39" s="3900"/>
      <c r="R39" s="3961" t="e">
        <f>IF(F1="售价",ROUND(IF(D38="简单平均",AVERAGE(R38:W38),R38*F38+T38*H38+V38*J38),0),ROUND(IF(D38="简单平均",AVERAGE(R38:V38),R38*F38+T38*H38+V38*J38),1))</f>
        <v>#DIV/0!</v>
      </c>
      <c r="S39" s="3961"/>
      <c r="T39" s="3961"/>
      <c r="U39" s="3961"/>
      <c r="V39" s="3961"/>
      <c r="W39" s="3961"/>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4" t="s">
        <v>769</v>
      </c>
      <c r="D4" s="3885"/>
      <c r="E4" s="3909" t="s">
        <v>770</v>
      </c>
      <c r="F4" s="3910"/>
      <c r="G4" s="3884" t="s">
        <v>771</v>
      </c>
      <c r="H4" s="3885"/>
      <c r="I4" s="3884" t="s">
        <v>772</v>
      </c>
      <c r="J4" s="3885"/>
      <c r="K4" s="505" t="s">
        <v>773</v>
      </c>
      <c r="L4" s="2011"/>
      <c r="M4" s="2012"/>
      <c r="N4" s="2012"/>
      <c r="O4" s="2012"/>
      <c r="P4" s="3886" t="s">
        <v>774</v>
      </c>
      <c r="Q4" s="3887"/>
      <c r="R4" s="3872" t="s">
        <v>770</v>
      </c>
      <c r="S4" s="3873"/>
      <c r="T4" s="3872" t="s">
        <v>771</v>
      </c>
      <c r="U4" s="3873"/>
      <c r="V4" s="3892" t="s">
        <v>772</v>
      </c>
      <c r="W4" s="3892"/>
      <c r="X4" s="1497"/>
      <c r="Y4" s="3872" t="s">
        <v>774</v>
      </c>
      <c r="Z4" s="3873"/>
      <c r="AA4" s="3867" t="s">
        <v>770</v>
      </c>
      <c r="AB4" s="3868" t="s">
        <v>771</v>
      </c>
      <c r="AC4" s="3867" t="s">
        <v>772</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70" t="s">
        <v>501</v>
      </c>
      <c r="Q7" s="3879"/>
      <c r="R7" s="1498" t="s">
        <v>8</v>
      </c>
      <c r="S7" s="1499">
        <f t="shared" ref="S7:S14" si="0">F7</f>
        <v>0</v>
      </c>
      <c r="T7" s="1498" t="s">
        <v>8</v>
      </c>
      <c r="U7" s="1499">
        <f t="shared" ref="U7:U14" si="1">H7</f>
        <v>0</v>
      </c>
      <c r="V7" s="1498" t="s">
        <v>8</v>
      </c>
      <c r="W7" s="1499">
        <f t="shared" ref="W7:W14"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78" t="s">
        <v>506</v>
      </c>
      <c r="Q9" s="1131" t="str">
        <f t="shared" ref="Q9:Q14" si="6">B9</f>
        <v>用途</v>
      </c>
      <c r="R9" s="1498" t="s">
        <v>8</v>
      </c>
      <c r="S9" s="1499">
        <f t="shared" si="0"/>
        <v>100</v>
      </c>
      <c r="T9" s="1498" t="s">
        <v>8</v>
      </c>
      <c r="U9" s="1499">
        <f t="shared" si="1"/>
        <v>100</v>
      </c>
      <c r="V9" s="1498" t="s">
        <v>8</v>
      </c>
      <c r="W9" s="1499">
        <f t="shared" si="2"/>
        <v>100</v>
      </c>
      <c r="X9" s="1500"/>
      <c r="Y9" s="382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78"/>
      <c r="Q11" s="1131">
        <f t="shared" si="6"/>
        <v>111</v>
      </c>
      <c r="R11" s="1498" t="s">
        <v>8</v>
      </c>
      <c r="S11" s="1499">
        <f t="shared" si="0"/>
        <v>100</v>
      </c>
      <c r="T11" s="1498" t="s">
        <v>8</v>
      </c>
      <c r="U11" s="1499">
        <f t="shared" si="1"/>
        <v>100</v>
      </c>
      <c r="V11" s="1498" t="s">
        <v>8</v>
      </c>
      <c r="W11" s="1499">
        <f t="shared" si="2"/>
        <v>100</v>
      </c>
      <c r="X11" s="1500"/>
      <c r="Y11" s="3829"/>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80" t="s">
        <v>511</v>
      </c>
      <c r="Q14" s="1502" t="str">
        <f t="shared" si="6"/>
        <v>交通便捷度</v>
      </c>
      <c r="R14" s="1503" t="s">
        <v>8</v>
      </c>
      <c r="S14" s="1504">
        <f t="shared" si="0"/>
        <v>100</v>
      </c>
      <c r="T14" s="1503" t="s">
        <v>8</v>
      </c>
      <c r="U14" s="1504">
        <f t="shared" si="1"/>
        <v>100</v>
      </c>
      <c r="V14" s="1503" t="s">
        <v>8</v>
      </c>
      <c r="W14" s="1504">
        <f t="shared" si="2"/>
        <v>100</v>
      </c>
      <c r="X14" s="1497"/>
      <c r="Y14" s="3880"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81"/>
      <c r="Q15" s="1502"/>
      <c r="R15" s="1503"/>
      <c r="S15" s="1504"/>
      <c r="T15" s="1503"/>
      <c r="U15" s="1504"/>
      <c r="V15" s="1503"/>
      <c r="W15" s="1504"/>
      <c r="X15" s="1497"/>
      <c r="Y15" s="3881"/>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81"/>
      <c r="Q16" s="1502" t="str">
        <f>B16</f>
        <v>公共配套设施</v>
      </c>
      <c r="R16" s="1503" t="s">
        <v>8</v>
      </c>
      <c r="S16" s="1504">
        <f>F16</f>
        <v>100</v>
      </c>
      <c r="T16" s="1503" t="s">
        <v>8</v>
      </c>
      <c r="U16" s="1504">
        <f>H16</f>
        <v>100</v>
      </c>
      <c r="V16" s="1503" t="s">
        <v>8</v>
      </c>
      <c r="W16" s="1504">
        <f>J16</f>
        <v>100</v>
      </c>
      <c r="X16" s="1497"/>
      <c r="Y16" s="3881"/>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81"/>
      <c r="Q17" s="1502"/>
      <c r="R17" s="1503"/>
      <c r="S17" s="1504"/>
      <c r="T17" s="1503"/>
      <c r="U17" s="1504"/>
      <c r="V17" s="1503"/>
      <c r="W17" s="1504"/>
      <c r="X17" s="1497"/>
      <c r="Y17" s="3881"/>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81"/>
      <c r="Q18" s="2425" t="str">
        <f>B18</f>
        <v>基础设施水平</v>
      </c>
      <c r="R18" s="1503" t="s">
        <v>8</v>
      </c>
      <c r="S18" s="1504">
        <f>F18</f>
        <v>100</v>
      </c>
      <c r="T18" s="1503" t="s">
        <v>8</v>
      </c>
      <c r="U18" s="1504">
        <f>H18</f>
        <v>100</v>
      </c>
      <c r="V18" s="1503" t="s">
        <v>8</v>
      </c>
      <c r="W18" s="1504">
        <f>J18</f>
        <v>100</v>
      </c>
      <c r="X18" s="2427"/>
      <c r="Y18" s="3881"/>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81"/>
      <c r="Q19" s="2425"/>
      <c r="R19" s="1503"/>
      <c r="S19" s="1504"/>
      <c r="T19" s="1503"/>
      <c r="U19" s="1504"/>
      <c r="V19" s="1503"/>
      <c r="W19" s="1504"/>
      <c r="X19" s="2427"/>
      <c r="Y19" s="3881"/>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81"/>
      <c r="Q20" s="1502" t="str">
        <f>B20</f>
        <v>自然及人文环境</v>
      </c>
      <c r="R20" s="1503" t="s">
        <v>8</v>
      </c>
      <c r="S20" s="1504">
        <f>F20</f>
        <v>100</v>
      </c>
      <c r="T20" s="1503" t="s">
        <v>8</v>
      </c>
      <c r="U20" s="1504">
        <f>H20</f>
        <v>100</v>
      </c>
      <c r="V20" s="1503" t="s">
        <v>8</v>
      </c>
      <c r="W20" s="1504">
        <f>J20</f>
        <v>100</v>
      </c>
      <c r="X20" s="1497"/>
      <c r="Y20" s="3881"/>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81"/>
      <c r="Q21" s="1502"/>
      <c r="R21" s="1503"/>
      <c r="S21" s="1504"/>
      <c r="T21" s="1503"/>
      <c r="U21" s="1504"/>
      <c r="V21" s="1503"/>
      <c r="W21" s="1504"/>
      <c r="X21" s="1497"/>
      <c r="Y21" s="3881"/>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81"/>
      <c r="Q22" s="1502" t="str">
        <f>B22</f>
        <v>楼层</v>
      </c>
      <c r="R22" s="1503" t="s">
        <v>8</v>
      </c>
      <c r="S22" s="1504">
        <f>F22</f>
        <v>100</v>
      </c>
      <c r="T22" s="1503" t="s">
        <v>8</v>
      </c>
      <c r="U22" s="1504">
        <f>H22</f>
        <v>100</v>
      </c>
      <c r="V22" s="1503" t="s">
        <v>8</v>
      </c>
      <c r="W22" s="1504">
        <f>J22</f>
        <v>100</v>
      </c>
      <c r="X22" s="1497"/>
      <c r="Y22" s="3881"/>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81"/>
      <c r="Q23" s="1502">
        <f>B23</f>
        <v>111</v>
      </c>
      <c r="R23" s="1503" t="s">
        <v>8</v>
      </c>
      <c r="S23" s="1504">
        <f>F23</f>
        <v>100</v>
      </c>
      <c r="T23" s="1503" t="s">
        <v>8</v>
      </c>
      <c r="U23" s="1504">
        <f>H23</f>
        <v>100</v>
      </c>
      <c r="V23" s="1503" t="s">
        <v>8</v>
      </c>
      <c r="W23" s="1504">
        <f>J23</f>
        <v>100</v>
      </c>
      <c r="X23" s="1497"/>
      <c r="Y23" s="3881"/>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81"/>
      <c r="Q24" s="1502">
        <f t="shared" ref="Q24:Q34" si="11">B24</f>
        <v>111</v>
      </c>
      <c r="R24" s="1503" t="s">
        <v>8</v>
      </c>
      <c r="S24" s="1504">
        <f>F24</f>
        <v>100</v>
      </c>
      <c r="T24" s="1503" t="s">
        <v>8</v>
      </c>
      <c r="U24" s="1504">
        <f>H24</f>
        <v>100</v>
      </c>
      <c r="V24" s="1503" t="s">
        <v>8</v>
      </c>
      <c r="W24" s="1504">
        <f>J24</f>
        <v>100</v>
      </c>
      <c r="X24" s="1497"/>
      <c r="Y24" s="3881"/>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81"/>
      <c r="Q25" s="1131">
        <f t="shared" si="11"/>
        <v>111</v>
      </c>
      <c r="R25" s="1498" t="s">
        <v>8</v>
      </c>
      <c r="S25" s="1499">
        <f>F25</f>
        <v>100</v>
      </c>
      <c r="T25" s="1498" t="s">
        <v>8</v>
      </c>
      <c r="U25" s="1499">
        <f>H25</f>
        <v>100</v>
      </c>
      <c r="V25" s="1498" t="s">
        <v>8</v>
      </c>
      <c r="W25" s="1499">
        <f>J25</f>
        <v>100</v>
      </c>
      <c r="X25" s="1500"/>
      <c r="Y25" s="3881"/>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82"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883"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883"/>
      <c r="Q27" s="1531" t="str">
        <f t="shared" si="11"/>
        <v>成新率</v>
      </c>
      <c r="R27" s="1507" t="s">
        <v>8</v>
      </c>
      <c r="S27" s="1508" t="e">
        <f t="shared" si="12"/>
        <v>#N/A</v>
      </c>
      <c r="T27" s="1507" t="s">
        <v>8</v>
      </c>
      <c r="U27" s="1508" t="e">
        <f t="shared" si="13"/>
        <v>#N/A</v>
      </c>
      <c r="V27" s="1507" t="s">
        <v>8</v>
      </c>
      <c r="W27" s="1508" t="e">
        <f t="shared" si="14"/>
        <v>#N/A</v>
      </c>
      <c r="X27" s="1509"/>
      <c r="Y27" s="3883"/>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883"/>
      <c r="Q28" s="1502" t="str">
        <f t="shared" si="11"/>
        <v>物业等级</v>
      </c>
      <c r="R28" s="1503" t="s">
        <v>8</v>
      </c>
      <c r="S28" s="1504">
        <f t="shared" si="12"/>
        <v>100</v>
      </c>
      <c r="T28" s="1503" t="s">
        <v>8</v>
      </c>
      <c r="U28" s="1504">
        <f t="shared" si="13"/>
        <v>100</v>
      </c>
      <c r="V28" s="1503" t="s">
        <v>8</v>
      </c>
      <c r="W28" s="1504">
        <f t="shared" si="14"/>
        <v>100</v>
      </c>
      <c r="X28" s="1497"/>
      <c r="Y28" s="3883"/>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883"/>
      <c r="Q29" s="1502" t="str">
        <f t="shared" si="11"/>
        <v>有无电梯</v>
      </c>
      <c r="R29" s="1503" t="s">
        <v>8</v>
      </c>
      <c r="S29" s="1504">
        <f t="shared" si="12"/>
        <v>100</v>
      </c>
      <c r="T29" s="1503" t="s">
        <v>8</v>
      </c>
      <c r="U29" s="1504">
        <f t="shared" si="13"/>
        <v>100</v>
      </c>
      <c r="V29" s="1503" t="s">
        <v>8</v>
      </c>
      <c r="W29" s="1504">
        <f t="shared" si="14"/>
        <v>100</v>
      </c>
      <c r="X29" s="1497"/>
      <c r="Y29" s="3883"/>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883"/>
      <c r="Q30" s="1502" t="str">
        <f t="shared" si="11"/>
        <v>建筑面积</v>
      </c>
      <c r="R30" s="1503" t="s">
        <v>8</v>
      </c>
      <c r="S30" s="1504" t="e">
        <f t="shared" si="12"/>
        <v>#N/A</v>
      </c>
      <c r="T30" s="1503" t="s">
        <v>8</v>
      </c>
      <c r="U30" s="1504" t="e">
        <f t="shared" si="13"/>
        <v>#N/A</v>
      </c>
      <c r="V30" s="1503" t="s">
        <v>8</v>
      </c>
      <c r="W30" s="1504" t="e">
        <f t="shared" si="14"/>
        <v>#N/A</v>
      </c>
      <c r="X30" s="1497"/>
      <c r="Y30" s="3883"/>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883"/>
      <c r="Q31" s="1131" t="str">
        <f t="shared" si="11"/>
        <v>是否封闭</v>
      </c>
      <c r="R31" s="1498" t="s">
        <v>8</v>
      </c>
      <c r="S31" s="1499">
        <f t="shared" si="12"/>
        <v>100</v>
      </c>
      <c r="T31" s="1498" t="s">
        <v>8</v>
      </c>
      <c r="U31" s="1499">
        <f t="shared" si="13"/>
        <v>100</v>
      </c>
      <c r="V31" s="1498" t="s">
        <v>8</v>
      </c>
      <c r="W31" s="1499">
        <f t="shared" si="14"/>
        <v>100</v>
      </c>
      <c r="X31" s="1500"/>
      <c r="Y31" s="3883"/>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883" t="s">
        <v>521</v>
      </c>
      <c r="Q32" s="1502">
        <f t="shared" si="11"/>
        <v>111</v>
      </c>
      <c r="R32" s="1503" t="s">
        <v>8</v>
      </c>
      <c r="S32" s="1504">
        <f t="shared" si="12"/>
        <v>100</v>
      </c>
      <c r="T32" s="1503" t="s">
        <v>8</v>
      </c>
      <c r="U32" s="1504">
        <f t="shared" si="13"/>
        <v>100</v>
      </c>
      <c r="V32" s="1503" t="s">
        <v>8</v>
      </c>
      <c r="W32" s="1504">
        <f t="shared" si="14"/>
        <v>100</v>
      </c>
      <c r="X32" s="1497"/>
      <c r="Y32" s="3883"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883"/>
      <c r="Q33" s="1502">
        <f t="shared" si="11"/>
        <v>111</v>
      </c>
      <c r="R33" s="1503" t="s">
        <v>8</v>
      </c>
      <c r="S33" s="1504">
        <f t="shared" si="12"/>
        <v>100</v>
      </c>
      <c r="T33" s="1503" t="s">
        <v>8</v>
      </c>
      <c r="U33" s="1504">
        <f t="shared" si="13"/>
        <v>100</v>
      </c>
      <c r="V33" s="1503" t="s">
        <v>8</v>
      </c>
      <c r="W33" s="1504">
        <f t="shared" si="14"/>
        <v>100</v>
      </c>
      <c r="X33" s="1497"/>
      <c r="Y33" s="3883"/>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883"/>
      <c r="Q34" s="1502">
        <f t="shared" si="11"/>
        <v>111</v>
      </c>
      <c r="R34" s="1503" t="s">
        <v>8</v>
      </c>
      <c r="S34" s="1504">
        <f t="shared" si="12"/>
        <v>100</v>
      </c>
      <c r="T34" s="1503" t="s">
        <v>8</v>
      </c>
      <c r="U34" s="1504">
        <f t="shared" si="13"/>
        <v>100</v>
      </c>
      <c r="V34" s="1503" t="s">
        <v>8</v>
      </c>
      <c r="W34" s="1504">
        <f t="shared" si="14"/>
        <v>100</v>
      </c>
      <c r="X34" s="1497"/>
      <c r="Y34" s="3883"/>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78" t="str">
        <f>A35</f>
        <v>成交单价（元/平方米）</v>
      </c>
      <c r="Q35" s="3878"/>
      <c r="R35" s="3962">
        <f>E35</f>
        <v>0</v>
      </c>
      <c r="S35" s="3962"/>
      <c r="T35" s="3962">
        <f>G35</f>
        <v>0</v>
      </c>
      <c r="U35" s="3962"/>
      <c r="V35" s="3962">
        <f>I35</f>
        <v>0</v>
      </c>
      <c r="W35" s="3962"/>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78" t="str">
        <f>A36</f>
        <v>比较价格（元/平方米）</v>
      </c>
      <c r="Q36" s="3878"/>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99" t="str">
        <f>A37</f>
        <v>估价对象XX用房的比较价格（楼面单价，元/平方米）</v>
      </c>
      <c r="Q37" s="3900"/>
      <c r="R37" s="3961" t="e">
        <f>IF(F1="售价",ROUND(IF(D36="简单平均",AVERAGE(R36:W36),R36*F36+T36*H36+V36*J36),0),ROUND(IF(D36="简单平均",AVERAGE(R36:V36),R36*F36+T36*H36+V36*J36),1))</f>
        <v>#DIV/0!</v>
      </c>
      <c r="S37" s="3961"/>
      <c r="T37" s="3961"/>
      <c r="U37" s="3961"/>
      <c r="V37" s="3961"/>
      <c r="W37" s="3961"/>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8" t="s">
        <v>2268</v>
      </c>
      <c r="D1" s="4039"/>
      <c r="E1" s="4039"/>
      <c r="F1" s="4039"/>
      <c r="G1" s="4039"/>
      <c r="H1" s="4039"/>
      <c r="I1" s="4039"/>
      <c r="J1" s="4039"/>
      <c r="K1" s="4039"/>
      <c r="L1" s="4039"/>
      <c r="M1" s="4039"/>
      <c r="N1" s="4039"/>
      <c r="O1" s="4039"/>
      <c r="P1" s="4039"/>
      <c r="Q1" s="4039"/>
      <c r="R1" s="4039"/>
      <c r="S1" s="4040"/>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5" t="s">
        <v>19</v>
      </c>
      <c r="D22" s="4036"/>
      <c r="E22" s="4036"/>
      <c r="F22" s="4036"/>
      <c r="G22" s="4036"/>
      <c r="H22" s="4036"/>
      <c r="I22" s="4036"/>
      <c r="J22" s="4036"/>
      <c r="K22" s="4036"/>
      <c r="L22" s="4036"/>
      <c r="M22" s="4036"/>
      <c r="N22" s="4036"/>
      <c r="O22" s="4036"/>
      <c r="P22" s="4036"/>
      <c r="Q22" s="4037"/>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2003</v>
      </c>
      <c r="B1" s="3691"/>
      <c r="C1" s="3691"/>
      <c r="D1" s="3691"/>
      <c r="E1" s="3691"/>
      <c r="F1" s="3691"/>
      <c r="G1" s="3691"/>
      <c r="H1" s="3691"/>
      <c r="I1" s="3691"/>
      <c r="J1" s="3691"/>
      <c r="K1" s="3691"/>
      <c r="L1" s="3691"/>
      <c r="M1" s="3691"/>
      <c r="N1" s="3691"/>
      <c r="O1" s="3691"/>
      <c r="P1" s="3691"/>
      <c r="Q1" s="3691"/>
      <c r="R1" s="3691"/>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92" t="s">
        <v>1994</v>
      </c>
      <c r="B3" s="3692" t="s">
        <v>2687</v>
      </c>
      <c r="C3" s="3693" t="s">
        <v>1995</v>
      </c>
      <c r="D3" s="3692" t="s">
        <v>2691</v>
      </c>
      <c r="E3" s="3687" t="s">
        <v>1996</v>
      </c>
      <c r="F3" s="3687"/>
      <c r="G3" s="3687"/>
      <c r="H3" s="3687" t="s">
        <v>1997</v>
      </c>
      <c r="I3" s="3687"/>
      <c r="J3" s="3687"/>
      <c r="K3" s="3693" t="s">
        <v>1998</v>
      </c>
      <c r="L3" s="3693" t="s">
        <v>1999</v>
      </c>
      <c r="M3" s="3692" t="s">
        <v>2688</v>
      </c>
      <c r="N3" s="3694" t="str">
        <f>"（分摊）"&amp;项目基本情况!B16&amp;"国有建设用地使用权面积/㎡"</f>
        <v>（分摊）出让国有建设用地使用权面积/㎡</v>
      </c>
      <c r="O3" s="3692" t="s">
        <v>2028</v>
      </c>
      <c r="P3" s="3693" t="s">
        <v>2008</v>
      </c>
      <c r="Q3" s="3693" t="s">
        <v>2029</v>
      </c>
      <c r="R3" s="3693" t="s">
        <v>2000</v>
      </c>
    </row>
    <row r="4" spans="1:18" ht="36.75" customHeight="1">
      <c r="A4" s="3692"/>
      <c r="B4" s="3692"/>
      <c r="C4" s="3693"/>
      <c r="D4" s="3692"/>
      <c r="E4" s="2487" t="s">
        <v>2007</v>
      </c>
      <c r="F4" s="2487" t="s">
        <v>2700</v>
      </c>
      <c r="G4" s="2487" t="s">
        <v>2001</v>
      </c>
      <c r="H4" s="2487" t="s">
        <v>2002</v>
      </c>
      <c r="I4" s="2487" t="s">
        <v>2701</v>
      </c>
      <c r="J4" s="2487" t="s">
        <v>2001</v>
      </c>
      <c r="K4" s="3693"/>
      <c r="L4" s="3693"/>
      <c r="M4" s="3692"/>
      <c r="N4" s="3694"/>
      <c r="O4" s="3692"/>
      <c r="P4" s="3693"/>
      <c r="Q4" s="3693"/>
      <c r="R4" s="3693"/>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19077.810000000001</v>
      </c>
      <c r="O5" s="1721">
        <f>项目基本情况!C21</f>
        <v>82153.719999999972</v>
      </c>
      <c r="P5" s="1721">
        <f ca="1">结果表!E42</f>
        <v>122277</v>
      </c>
      <c r="Q5" s="1721">
        <f ca="1">结果表!D42</f>
        <v>28395</v>
      </c>
      <c r="R5" s="1722">
        <f ca="1">结果表!C42</f>
        <v>233278</v>
      </c>
    </row>
    <row r="6" spans="1:18">
      <c r="A6" s="3688" t="str">
        <f>IF(项目基本情况!B9="市场价格","——","抵押价格")</f>
        <v>抵押价格</v>
      </c>
      <c r="B6" s="3689"/>
      <c r="C6" s="3689"/>
      <c r="D6" s="3689"/>
      <c r="E6" s="3689"/>
      <c r="F6" s="3689"/>
      <c r="G6" s="3689"/>
      <c r="H6" s="3689"/>
      <c r="I6" s="3689"/>
      <c r="J6" s="3689"/>
      <c r="K6" s="3689"/>
      <c r="L6" s="3689"/>
      <c r="M6" s="3689"/>
      <c r="N6" s="3689"/>
      <c r="O6" s="3689"/>
      <c r="P6" s="3689"/>
      <c r="Q6" s="3690"/>
      <c r="R6" s="1723">
        <f ca="1">结果表!O39</f>
        <v>233278</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723" t="str">
        <f>结果表!O40</f>
        <v>——</v>
      </c>
    </row>
    <row r="8" spans="1:18">
      <c r="A8" s="3688" t="str">
        <f>IF(项目基本情况!B9="市场价格","——",项目基本情况!E9)</f>
        <v>抵押净值</v>
      </c>
      <c r="B8" s="3689"/>
      <c r="C8" s="3689"/>
      <c r="D8" s="3689"/>
      <c r="E8" s="3689"/>
      <c r="F8" s="3689"/>
      <c r="G8" s="3689"/>
      <c r="H8" s="3689"/>
      <c r="I8" s="3689"/>
      <c r="J8" s="3689"/>
      <c r="K8" s="3689"/>
      <c r="L8" s="3689"/>
      <c r="M8" s="3689"/>
      <c r="N8" s="3689"/>
      <c r="O8" s="3689"/>
      <c r="P8" s="3689"/>
      <c r="Q8" s="3690"/>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5" t="s">
        <v>2030</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2031</v>
      </c>
      <c r="B5" s="3698"/>
      <c r="C5" s="3698"/>
      <c r="D5" s="3698"/>
    </row>
    <row r="6" spans="1:4">
      <c r="A6" s="3695" t="s">
        <v>2009</v>
      </c>
      <c r="B6" s="3695"/>
      <c r="C6" s="3695"/>
      <c r="D6" s="3695"/>
    </row>
    <row r="7" spans="1:4" ht="33" customHeight="1">
      <c r="A7" s="3695" t="s">
        <v>2531</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5"/>
      <c r="C8" s="3695"/>
      <c r="D8" s="3695"/>
    </row>
    <row r="9" spans="1:4" ht="33.75" customHeight="1">
      <c r="A9" s="36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5"/>
      <c r="C9" s="3695"/>
      <c r="D9" s="3695"/>
    </row>
    <row r="10" spans="1:4">
      <c r="A10" s="3695" t="str">
        <f>IF(项目基本情况!B8="抵押","4.估价师所知悉的法定优先受偿款情况为：","——")</f>
        <v>4.估价师所知悉的法定优先受偿款情况为：</v>
      </c>
      <c r="B10" s="3695"/>
      <c r="C10" s="3695"/>
      <c r="D10" s="3695"/>
    </row>
    <row r="11" spans="1:4" ht="37.5" customHeight="1">
      <c r="A11" s="3697" t="str">
        <f>IF(项目基本情况!B8="抵押","（1）"&amp;CONCATENATE(项目基本情况!L24,项目基本情况!L25,项目基本情况!L26),"——")</f>
        <v>（1）根据估价对象《不动产权证书》原件、《国有土地使用权》复印件，截至估价期日，估价对象抵押权未见登记。</v>
      </c>
      <c r="B11" s="3697"/>
      <c r="C11" s="3697"/>
      <c r="D11" s="3697"/>
    </row>
    <row r="12" spans="1:4" ht="168" customHeight="1">
      <c r="A12" s="3698" t="s">
        <v>2033</v>
      </c>
      <c r="B12" s="3698"/>
      <c r="C12" s="3698"/>
      <c r="D12" s="3698"/>
    </row>
    <row r="13" spans="1:4">
      <c r="A13" s="3696" t="s">
        <v>2702</v>
      </c>
      <c r="B13" s="3696"/>
      <c r="C13" s="3696"/>
      <c r="D13" s="3696"/>
    </row>
    <row r="14" spans="1:4">
      <c r="A14" s="3697" t="str">
        <f>IF(项目基本情况!B8="抵押","综上，"&amp;结果表!K47,"——")</f>
        <v>综上，本次评估不存在估价师知悉的法定优先受偿款</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2658</v>
      </c>
      <c r="B17" s="3695"/>
      <c r="C17" s="3695"/>
      <c r="D17" s="3695"/>
    </row>
    <row r="18" spans="1:4">
      <c r="A18" s="3695" t="s">
        <v>2650</v>
      </c>
      <c r="B18" s="3695"/>
      <c r="C18" s="3695"/>
      <c r="D18" s="3695"/>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5" t="s">
        <v>2655</v>
      </c>
      <c r="B23" s="3695"/>
      <c r="C23" s="3695"/>
      <c r="D23" s="3695"/>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7" t="s">
        <v>52</v>
      </c>
      <c r="B15" s="3708" t="s">
        <v>815</v>
      </c>
      <c r="C15" s="3704"/>
    </row>
    <row r="16" spans="1:7" ht="14.25">
      <c r="A16" s="3707"/>
      <c r="B16" s="3705" t="s">
        <v>53</v>
      </c>
      <c r="C16" s="1152" t="s">
        <v>52</v>
      </c>
    </row>
    <row r="17" spans="1:3" ht="14.25">
      <c r="A17" s="3707"/>
      <c r="B17" s="3705"/>
      <c r="C17" s="1152" t="s">
        <v>54</v>
      </c>
    </row>
    <row r="18" spans="1:3" ht="14.25">
      <c r="A18" s="3707"/>
      <c r="B18" s="3705"/>
      <c r="C18" s="1152" t="s">
        <v>55</v>
      </c>
    </row>
    <row r="19" spans="1:3" ht="14.25">
      <c r="A19" s="3707"/>
      <c r="B19" s="3703" t="s">
        <v>56</v>
      </c>
      <c r="C19" s="3704"/>
    </row>
    <row r="20" spans="1:3" ht="14.25">
      <c r="A20" s="1153" t="s">
        <v>57</v>
      </c>
      <c r="B20" s="1154"/>
      <c r="C20" s="1155"/>
    </row>
    <row r="21" spans="1:3" ht="14.25">
      <c r="A21" s="3706" t="s">
        <v>58</v>
      </c>
      <c r="B21" s="3703" t="s">
        <v>59</v>
      </c>
      <c r="C21" s="3704"/>
    </row>
    <row r="22" spans="1:3" ht="14.25">
      <c r="A22" s="3706"/>
      <c r="B22" s="3703" t="s">
        <v>60</v>
      </c>
      <c r="C22" s="3704"/>
    </row>
    <row r="23" spans="1:3" ht="14.25">
      <c r="A23" s="3706"/>
      <c r="B23" s="3703" t="s">
        <v>61</v>
      </c>
      <c r="C23" s="3704"/>
    </row>
    <row r="24" spans="1:3" ht="14.25">
      <c r="A24" s="3706"/>
      <c r="B24" s="3709" t="s">
        <v>62</v>
      </c>
      <c r="C24" s="1156" t="s">
        <v>806</v>
      </c>
    </row>
    <row r="25" spans="1:3" ht="14.25">
      <c r="A25" s="3706"/>
      <c r="B25" s="3710"/>
      <c r="C25" s="1156" t="s">
        <v>807</v>
      </c>
    </row>
    <row r="26" spans="1:3" ht="14.25">
      <c r="A26" s="3706"/>
      <c r="B26" s="3710"/>
      <c r="C26" s="1156" t="s">
        <v>808</v>
      </c>
    </row>
    <row r="27" spans="1:3" ht="14.25">
      <c r="A27" s="3706"/>
      <c r="B27" s="3710"/>
      <c r="C27" s="1156" t="s">
        <v>809</v>
      </c>
    </row>
    <row r="28" spans="1:3" ht="14.25">
      <c r="A28" s="3706"/>
      <c r="B28" s="3710"/>
      <c r="C28" s="1156" t="s">
        <v>810</v>
      </c>
    </row>
    <row r="29" spans="1:3" ht="14.25">
      <c r="A29" s="3706"/>
      <c r="B29" s="3710"/>
      <c r="C29" s="1156" t="s">
        <v>811</v>
      </c>
    </row>
    <row r="30" spans="1:3" ht="14.25">
      <c r="A30" s="3706"/>
      <c r="B30" s="3710"/>
      <c r="C30" s="1156" t="s">
        <v>812</v>
      </c>
    </row>
    <row r="31" spans="1:3" ht="14.25">
      <c r="A31" s="3706"/>
      <c r="B31" s="3710"/>
      <c r="C31" s="1156" t="s">
        <v>813</v>
      </c>
    </row>
    <row r="32" spans="1:3" ht="14.25">
      <c r="A32" s="3706"/>
      <c r="B32" s="3710"/>
      <c r="C32" s="1156" t="s">
        <v>1614</v>
      </c>
    </row>
    <row r="33" spans="1:3" ht="14.25">
      <c r="A33" s="3706"/>
      <c r="B33" s="3700" t="s">
        <v>1620</v>
      </c>
      <c r="C33" s="1156" t="s">
        <v>1615</v>
      </c>
    </row>
    <row r="34" spans="1:3" ht="14.25">
      <c r="A34" s="3706"/>
      <c r="B34" s="3701"/>
      <c r="C34" s="1161" t="s">
        <v>1616</v>
      </c>
    </row>
    <row r="35" spans="1:3" ht="14.25">
      <c r="A35" s="3706"/>
      <c r="B35" s="3701"/>
      <c r="C35" s="1162" t="s">
        <v>1617</v>
      </c>
    </row>
    <row r="36" spans="1:3" ht="14.25">
      <c r="A36" s="3706"/>
      <c r="B36" s="3701"/>
      <c r="C36" s="1162" t="s">
        <v>1618</v>
      </c>
    </row>
    <row r="37" spans="1:3" ht="14.25">
      <c r="A37" s="3706"/>
      <c r="B37" s="3702"/>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44939</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t="str">
        <f ca="1">IF(C4&lt;B2,"已过期",1119970066)</f>
        <v>已过期</v>
      </c>
      <c r="C4" s="3025">
        <v>44876</v>
      </c>
      <c r="D4" s="3033" t="s">
        <v>1881</v>
      </c>
      <c r="E4" s="3022">
        <f ca="1">IF(F4&lt;B2,"已过期",96010014)</f>
        <v>96010014</v>
      </c>
      <c r="F4" s="3024">
        <v>47118</v>
      </c>
      <c r="G4" s="3017"/>
    </row>
    <row r="5" spans="1:7" ht="20.25" customHeight="1">
      <c r="A5" s="3022" t="s">
        <v>1882</v>
      </c>
      <c r="B5" s="3022" t="str">
        <f ca="1">IF(C5&lt;B2,"已过期",1119970111)</f>
        <v>已过期</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t="str">
        <f ca="1">IF(C7&lt;B2,"已过期",1120000080)</f>
        <v>已过期</v>
      </c>
      <c r="C7" s="3025">
        <v>44876</v>
      </c>
      <c r="D7" s="3033" t="s">
        <v>1884</v>
      </c>
      <c r="E7" s="3022">
        <f ca="1">IF(F7&lt;B2,"已过期",2000110082)</f>
        <v>2000110082</v>
      </c>
      <c r="F7" s="3024">
        <v>46387</v>
      </c>
      <c r="G7" s="3017"/>
    </row>
    <row r="8" spans="1:7" ht="20.25" customHeight="1">
      <c r="A8" s="3022" t="s">
        <v>1885</v>
      </c>
      <c r="B8" s="3022" t="str">
        <f ca="1">IF(C8&lt;B2,"已过期",1419970001)</f>
        <v>已过期</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t="str">
        <f ca="1">IF(C10&lt;B2,"已过期",1120100036)</f>
        <v>已过期</v>
      </c>
      <c r="C10" s="3025">
        <v>44675</v>
      </c>
      <c r="D10" s="3033" t="s">
        <v>1887</v>
      </c>
      <c r="E10" s="3022">
        <f ca="1">IF(F10&lt;B2,"已过期",2010110070)</f>
        <v>2010110070</v>
      </c>
      <c r="F10" s="3024">
        <v>47907</v>
      </c>
      <c r="G10" s="3017"/>
    </row>
    <row r="11" spans="1:7" ht="20.25" customHeight="1">
      <c r="A11" s="3022" t="s">
        <v>1888</v>
      </c>
      <c r="B11" s="3022" t="str">
        <f ca="1">IF(C11&lt;B2,"已过期",1120070131)</f>
        <v>已过期</v>
      </c>
      <c r="C11" s="3025">
        <v>44849</v>
      </c>
      <c r="D11" s="3033" t="s">
        <v>1888</v>
      </c>
      <c r="E11" s="3022">
        <f ca="1">IF(F11&lt;B2,"已过期",2014110011)</f>
        <v>2014110011</v>
      </c>
      <c r="F11" s="3024">
        <v>49302</v>
      </c>
      <c r="G11" s="3017"/>
    </row>
    <row r="12" spans="1:7" ht="20.25" customHeight="1">
      <c r="A12" s="3022" t="s">
        <v>2919</v>
      </c>
      <c r="B12" s="3022" t="str">
        <f ca="1">IF(C12&lt;B2,"已过期",1120040230)</f>
        <v>已过期</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4" t="s">
        <v>1891</v>
      </c>
      <c r="B17" s="3715"/>
      <c r="C17" s="3715"/>
      <c r="D17" s="3715"/>
      <c r="E17" s="3715"/>
      <c r="F17" s="3715"/>
      <c r="G17" s="3026"/>
    </row>
    <row r="18" spans="1:7" ht="20.25" customHeight="1">
      <c r="A18" s="3711" t="s">
        <v>1892</v>
      </c>
      <c r="B18" s="3711"/>
      <c r="C18" s="3712"/>
      <c r="D18" s="3713" t="s">
        <v>1893</v>
      </c>
      <c r="E18" s="3711"/>
      <c r="F18" s="3711"/>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6"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6"/>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6"/>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6"/>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6"/>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2023-01-13T06:29:40Z</dcterms:modified>
</cp:coreProperties>
</file>