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490" windowHeight="8865" tabRatio="876"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2" sheetId="72" r:id="rId32"/>
    <sheet name="不动产比较法-车位2" sheetId="73" r:id="rId33"/>
    <sheet name="不动产收益法" sheetId="15"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'不动产比较法-仓储2'!$A$1:$L$37</definedName>
    <definedName name="_xlnm._FilterDatabase" localSheetId="40" hidden="1">'不动产比较法-车位'!$A$1:$L$39</definedName>
    <definedName name="_xlnm._FilterDatabase" localSheetId="32" hidden="1">'不动产比较法-车位2'!$A$1:$L$39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'不动产比较法-仓储2'!$A$1:$K$42,'不动产比较法-仓储2'!$A$45:$M$96</definedName>
    <definedName name="_xlnm.Print_Area" localSheetId="40">'不动产比较法-车位'!$A$1:$K$44,'不动产比较法-车位'!$A$47:$M$102</definedName>
    <definedName name="_xlnm.Print_Area" localSheetId="32">'不动产比较法-车位2'!$A$1:$K$44,'不动产比较法-车位2'!$A$47:$M$102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06" i="9" l="1"/>
  <c r="N105" i="9"/>
  <c r="N102" i="9"/>
  <c r="N103" i="9"/>
  <c r="N104" i="9"/>
  <c r="N101" i="9"/>
  <c r="M104" i="9"/>
  <c r="M103" i="9"/>
  <c r="M102" i="9"/>
  <c r="M101" i="9"/>
  <c r="L104" i="9"/>
  <c r="L103" i="9"/>
  <c r="L102" i="9"/>
  <c r="C12" i="70" l="1"/>
  <c r="B12" i="70"/>
  <c r="B13" i="70"/>
  <c r="F13" i="70"/>
  <c r="F12" i="70"/>
  <c r="I12" i="70"/>
  <c r="E59" i="39" l="1"/>
  <c r="Y10" i="1" l="1"/>
  <c r="W10" i="1"/>
  <c r="N10" i="1"/>
  <c r="L10" i="1"/>
  <c r="G23" i="6"/>
  <c r="C31" i="73" l="1"/>
  <c r="P17" i="70" l="1"/>
  <c r="P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N21" i="3" l="1"/>
  <c r="G22" i="70" l="1"/>
  <c r="G19" i="70"/>
  <c r="G20" i="70"/>
  <c r="G21" i="70"/>
  <c r="G18" i="70"/>
  <c r="I5" i="70" l="1"/>
  <c r="J5" i="70"/>
  <c r="I6" i="70"/>
  <c r="J6" i="70"/>
  <c r="I7" i="70"/>
  <c r="J7" i="70"/>
  <c r="I8" i="70"/>
  <c r="I9" i="70"/>
  <c r="J9" i="70"/>
  <c r="I10" i="70"/>
  <c r="J10" i="70"/>
  <c r="I11" i="70"/>
  <c r="J11" i="70"/>
  <c r="J4" i="70"/>
  <c r="I4" i="70"/>
  <c r="G5" i="70"/>
  <c r="G6" i="70"/>
  <c r="G7" i="70"/>
  <c r="G8" i="70"/>
  <c r="G9" i="70"/>
  <c r="G10" i="70"/>
  <c r="G11" i="70"/>
  <c r="G12" i="70"/>
  <c r="G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J12" i="70"/>
  <c r="J8" i="70"/>
  <c r="E13" i="70"/>
  <c r="G13" i="70"/>
  <c r="H11" i="70"/>
  <c r="C11" i="70"/>
  <c r="H10" i="70"/>
  <c r="C10" i="70"/>
  <c r="H9" i="70"/>
  <c r="C9" i="70"/>
  <c r="H8" i="70"/>
  <c r="C8" i="70"/>
  <c r="C7" i="70"/>
  <c r="H6" i="70"/>
  <c r="C6" i="70"/>
  <c r="H5" i="70"/>
  <c r="C5" i="70"/>
  <c r="H4" i="70"/>
  <c r="H12" i="70" l="1"/>
  <c r="I13" i="70"/>
  <c r="D23" i="71"/>
  <c r="B8" i="70"/>
  <c r="B9" i="70"/>
  <c r="B10" i="70"/>
  <c r="B6" i="70"/>
  <c r="B11" i="70"/>
  <c r="D22" i="71"/>
  <c r="B5" i="70"/>
  <c r="P62" i="71"/>
  <c r="J13" i="70"/>
  <c r="H7" i="70"/>
  <c r="H13" i="70" l="1"/>
  <c r="B7" i="70"/>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N16" i="4" s="1"/>
  <c r="K16" i="4"/>
  <c r="D6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8" i="1"/>
  <c r="I20" i="46"/>
  <c r="B46" i="50"/>
  <c r="B4" i="63" s="1"/>
  <c r="H10" i="48"/>
  <c r="K10" i="1"/>
  <c r="S11" i="1"/>
  <c r="R11" i="1"/>
  <c r="S13" i="1"/>
  <c r="R13" i="1"/>
  <c r="B6" i="1"/>
  <c r="E6" i="1" s="1"/>
  <c r="B10" i="1"/>
  <c r="E10" i="1" s="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B10" i="67"/>
  <c r="J5" i="65"/>
  <c r="N6" i="65"/>
  <c r="E12" i="67"/>
  <c r="F9" i="67"/>
  <c r="N5" i="65"/>
  <c r="I6" i="65"/>
  <c r="F13" i="67"/>
  <c r="F14" i="67"/>
  <c r="B9" i="67"/>
  <c r="E9" i="67"/>
  <c r="F12" i="67"/>
  <c r="J17" i="44"/>
  <c r="B12" i="67"/>
  <c r="E10" i="67"/>
  <c r="F8" i="67"/>
  <c r="J6" i="65"/>
  <c r="N4" i="65"/>
  <c r="I7" i="65"/>
  <c r="N7" i="65"/>
  <c r="F15" i="44"/>
  <c r="M11" i="44"/>
  <c r="M31" i="44"/>
  <c r="B14" i="67"/>
  <c r="F10" i="44"/>
  <c r="I4" i="65"/>
  <c r="M29" i="44"/>
  <c r="F8" i="15"/>
  <c r="J7" i="65"/>
  <c r="E8" i="67"/>
  <c r="E14" i="67"/>
  <c r="B11" i="67"/>
  <c r="J4" i="65"/>
  <c r="F9" i="44"/>
  <c r="F10" i="67"/>
  <c r="I3" i="65"/>
  <c r="F11" i="67"/>
  <c r="B8" i="67"/>
  <c r="E13" i="67"/>
  <c r="B13" i="67"/>
  <c r="E11" i="67"/>
  <c r="N3" i="65"/>
  <c r="M10" i="1" l="1"/>
  <c r="AH10" i="1"/>
  <c r="L16" i="4"/>
  <c r="K17" i="4" s="1"/>
  <c r="A22" i="51" s="1"/>
  <c r="B16" i="63" s="1"/>
  <c r="J19" i="2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M23" i="71"/>
  <c r="M9" i="71"/>
  <c r="M9" i="15"/>
  <c r="F38" i="44"/>
  <c r="F38" i="71"/>
  <c r="F28" i="44"/>
  <c r="F36" i="71"/>
  <c r="F7" i="15"/>
  <c r="M28" i="71"/>
  <c r="F16" i="71"/>
  <c r="F6" i="71"/>
  <c r="M22" i="15"/>
  <c r="F9" i="71"/>
  <c r="F42" i="15"/>
  <c r="M27" i="15"/>
  <c r="F39" i="44"/>
  <c r="L48" i="15"/>
  <c r="F40" i="71"/>
  <c r="F13" i="15"/>
  <c r="F13" i="71"/>
  <c r="F38" i="15"/>
  <c r="J36" i="15"/>
  <c r="J3" i="65"/>
  <c r="F9" i="15"/>
  <c r="F45" i="44"/>
  <c r="F18" i="44"/>
  <c r="I5" i="65"/>
  <c r="F40" i="44"/>
  <c r="M6" i="71"/>
  <c r="M24" i="71"/>
  <c r="F42" i="71"/>
  <c r="M24" i="15"/>
  <c r="L49" i="44"/>
  <c r="F16" i="15"/>
  <c r="F37" i="15"/>
  <c r="M6" i="15"/>
  <c r="M22" i="71"/>
  <c r="L47" i="15"/>
  <c r="J15" i="71"/>
  <c r="F36" i="15"/>
  <c r="M26" i="15"/>
  <c r="M10" i="44"/>
  <c r="L48" i="44"/>
  <c r="M8" i="71"/>
  <c r="M26" i="71"/>
  <c r="M27" i="71"/>
  <c r="F8" i="71"/>
  <c r="M23" i="15"/>
  <c r="F8" i="44"/>
  <c r="M30" i="44"/>
  <c r="M26" i="44"/>
  <c r="M8" i="44"/>
  <c r="F26" i="71"/>
  <c r="M28" i="44"/>
  <c r="M28" i="15"/>
  <c r="J15" i="15"/>
  <c r="J36" i="71"/>
  <c r="F43" i="44"/>
  <c r="F40" i="15"/>
  <c r="F26" i="15"/>
  <c r="M24" i="44"/>
  <c r="F6" i="15"/>
  <c r="M8" i="15"/>
  <c r="M25" i="44"/>
  <c r="F11" i="44"/>
  <c r="F37" i="71"/>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E2" i="65"/>
  <c r="M29" i="71"/>
  <c r="F43" i="15"/>
  <c r="L47" i="71"/>
  <c r="E3" i="65"/>
  <c r="L48" i="71"/>
  <c r="C18" i="44"/>
  <c r="M29" i="15"/>
  <c r="F43" i="71"/>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F46" i="44"/>
  <c r="AE8" i="1"/>
  <c r="AE10" i="1"/>
  <c r="C16" i="15"/>
  <c r="F7" i="71"/>
  <c r="C16" i="7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C19" i="44"/>
  <c r="AE9" i="1"/>
  <c r="F7" i="67"/>
  <c r="F41" i="15"/>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F41" i="71"/>
  <c r="M23" i="44"/>
  <c r="E7" i="67"/>
  <c r="F37" i="44"/>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E11" i="6"/>
  <c r="E13" i="6"/>
  <c r="E15" i="6"/>
  <c r="E5" i="6"/>
  <c r="E14" i="6"/>
  <c r="E12" i="6"/>
  <c r="E8" i="6"/>
  <c r="F27" i="6" s="1"/>
  <c r="F31" i="6" s="1"/>
  <c r="E10" i="6"/>
  <c r="AD6" i="3"/>
  <c r="E406" i="3"/>
  <c r="E172" i="3"/>
  <c r="E561" i="3"/>
  <c r="E362" i="3"/>
  <c r="E46" i="3"/>
  <c r="E571" i="3"/>
  <c r="E96"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265" i="3" l="1"/>
  <c r="E532" i="3"/>
  <c r="E153" i="3"/>
  <c r="Q6" i="3"/>
  <c r="E522" i="3"/>
  <c r="E466" i="3"/>
  <c r="E399" i="3"/>
  <c r="E382" i="3"/>
  <c r="E13" i="3"/>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C14" i="71"/>
  <c r="C16" i="44"/>
  <c r="M21" i="71"/>
  <c r="F35" i="71"/>
  <c r="C14" i="15"/>
  <c r="R25" i="6" l="1"/>
  <c r="R26" i="6"/>
  <c r="D16" i="6"/>
  <c r="R21" i="6"/>
  <c r="R8" i="1" s="1"/>
  <c r="R23" i="6"/>
  <c r="R10" i="1" s="1"/>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F35" i="15"/>
  <c r="M21"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15"/>
  <c r="L51" i="71"/>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G8" i="12" s="1"/>
  <c r="G10" i="12" s="1"/>
  <c r="Q66" i="15"/>
  <c r="Q76" i="15" s="1"/>
  <c r="Q48" i="15"/>
  <c r="Q54" i="15" s="1"/>
  <c r="J42" i="15"/>
  <c r="J43" i="15" s="1"/>
  <c r="B2" i="71"/>
  <c r="Q48" i="71"/>
  <c r="Q54" i="71" s="1"/>
  <c r="Q57" i="71"/>
  <c r="Q63" i="71" s="1"/>
  <c r="C43" i="71"/>
  <c r="Q66" i="71"/>
  <c r="Q76" i="71" s="1"/>
  <c r="J42" i="71"/>
  <c r="J43" i="71" s="1"/>
  <c r="C46" i="15"/>
  <c r="C46" i="71"/>
  <c r="Q69" i="44"/>
  <c r="L58" i="44"/>
  <c r="L61" i="44" s="1"/>
  <c r="C20" i="9"/>
  <c r="C21"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M19" i="9" s="1"/>
  <c r="D22" i="9"/>
  <c r="B4" i="12"/>
  <c r="B5" i="12"/>
  <c r="B3" i="12"/>
  <c r="D21" i="9"/>
  <c r="D20" i="9"/>
  <c r="G20" i="9" l="1"/>
  <c r="G21" i="9"/>
  <c r="G22" i="9"/>
  <c r="N43" i="9"/>
  <c r="C32" i="9"/>
  <c r="E39" i="9"/>
  <c r="O43" i="9" l="1"/>
  <c r="C33" i="9"/>
  <c r="O38" i="9"/>
  <c r="Q38" i="9" s="1"/>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l="1"/>
  <c r="I14" i="66" s="1"/>
  <c r="B8" i="66" s="1"/>
  <c r="O81" i="9"/>
  <c r="O41" i="9" l="1"/>
  <c r="R8" i="54" s="1"/>
  <c r="B54" i="63" s="1"/>
  <c r="D46" i="9"/>
  <c r="F46" i="9"/>
  <c r="K33" i="9"/>
  <c r="E46" i="9"/>
  <c r="K34" i="9"/>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<sst xmlns="http://schemas.openxmlformats.org/spreadsheetml/2006/main" count="8518" uniqueCount="3455">
  <si>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</si>
  <si>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</si>
  <si>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</si>
  <si>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</si>
  <si>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</si>
  <si>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</si>
  <si>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</si>
  <si>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</si>
  <si>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</si>
  <si>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</si>
  <si>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</si>
  <si>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</si>
  <si>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</si>
  <si>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</si>
  <si>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</si>
  <si>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</si>
  <si>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</si>
  <si>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</si>
  <si>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</si>
  <si>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</si>
  <si>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</si>
  <si>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</si>
  <si>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</si>
  <si>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</si>
  <si>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</si>
  <si>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</si>
  <si>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</si>
  <si>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</si>
  <si>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</si>
  <si>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</si>
  <si>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</si>
  <si>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</si>
  <si>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</si>
  <si>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</si>
  <si>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</si>
  <si>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</si>
  <si>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</si>
  <si>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</si>
  <si>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</si>
  <si>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</si>
  <si>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</si>
  <si>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</si>
  <si>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</si>
  <si>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</si>
  <si>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</si>
  <si>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</si>
  <si>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</si>
  <si>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</si>
  <si>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</si>
  <si>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</si>
  <si>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</si>
  <si>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</si>
  <si>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</si>
  <si>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</si>
  <si>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</si>
  <si>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</si>
  <si>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</si>
  <si>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</si>
  <si>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</si>
  <si>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</si>
  <si>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</si>
  <si>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</si>
  <si>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</si>
  <si>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</si>
  <si>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</si>
  <si>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</si>
  <si>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</si>
  <si>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</si>
  <si>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</si>
  <si>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</si>
  <si>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</si>
  <si>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</si>
  <si>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</si>
  <si>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</si>
  <si>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</si>
  <si>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</si>
  <si>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</si>
  <si>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</si>
  <si>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</si>
  <si>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</si>
  <si>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</si>
  <si>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</si>
  <si>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</si>
  <si>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</si>
  <si>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</si>
  <si>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</si>
  <si>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</si>
  <si>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</si>
  <si>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</si>
  <si>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</si>
  <si>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</si>
  <si>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</si>
  <si>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</si>
  <si>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</si>
  <si>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</si>
  <si>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</si>
  <si>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</si>
  <si>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</si>
  <si>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</si>
  <si>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</si>
  <si>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</si>
  <si>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</si>
  <si>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</si>
  <si>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</si>
  <si>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</si>
  <si>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</si>
  <si>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</si>
  <si>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</si>
  <si>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</si>
  <si>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</si>
  <si>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</si>
  <si>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</si>
  <si>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</si>
  <si>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</si>
  <si>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</si>
  <si>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</si>
  <si>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</si>
  <si>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</si>
  <si>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</si>
  <si>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</si>
  <si>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</si>
  <si>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</si>
  <si>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</si>
  <si>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</si>
  <si>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</si>
  <si>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</si>
  <si>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</si>
  <si>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</si>
  <si>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</si>
  <si>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</si>
  <si>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</si>
  <si>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</si>
  <si>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</si>
  <si>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</si>
  <si>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</si>
  <si>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</si>
  <si>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</si>
  <si>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</si>
  <si>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</si>
  <si>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</si>
  <si>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</si>
  <si>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</si>
  <si>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</si>
  <si>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</si>
  <si>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</si>
  <si>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</si>
  <si>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</si>
  <si>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</si>
  <si>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</si>
  <si>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</si>
  <si>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</si>
  <si>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</si>
  <si>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</si>
  <si>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</si>
  <si>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</si>
  <si>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</si>
  <si>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</si>
  <si>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</si>
  <si>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</si>
  <si>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</si>
  <si>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</si>
  <si>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</si>
  <si>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</si>
  <si>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</si>
  <si>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</si>
  <si>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</si>
  <si>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</si>
  <si>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</si>
  <si>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</si>
  <si>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</si>
  <si>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</si>
  <si>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</si>
  <si>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</si>
  <si>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</si>
  <si>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</si>
  <si>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</si>
  <si>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</si>
  <si>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</si>
  <si>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</si>
  <si>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</si>
  <si>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</si>
  <si>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</si>
  <si>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</si>
  <si>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</si>
  <si>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</si>
  <si>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</si>
  <si>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</si>
  <si>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</si>
  <si>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</si>
  <si>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</si>
  <si>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</si>
  <si>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</si>
  <si>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</si>
  <si>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</si>
  <si>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</si>
  <si>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</si>
  <si>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</si>
  <si>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</si>
  <si>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</si>
  <si>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</si>
  <si>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</si>
  <si>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</si>
  <si>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</si>
  <si>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</si>
  <si>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</si>
  <si>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</si>
  <si>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</si>
  <si>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</si>
  <si>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</si>
  <si>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</si>
  <si>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</si>
  <si>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</si>
  <si>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</si>
  <si>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</si>
  <si>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</si>
  <si>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</si>
  <si>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</si>
  <si>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</si>
  <si>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</si>
  <si>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</si>
  <si>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</si>
  <si>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</si>
  <si>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</si>
  <si>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</si>
  <si>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</si>
  <si>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</si>
  <si>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</si>
  <si>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</si>
  <si>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</si>
  <si>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</si>
  <si>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</si>
  <si>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</si>
  <si>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</si>
  <si>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</si>
  <si>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</si>
  <si>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</si>
  <si>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</si>
  <si>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</si>
  <si>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</si>
  <si>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</si>
  <si>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</si>
  <si>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</si>
  <si>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</si>
  <si>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</si>
  <si>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</si>
  <si>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</si>
  <si>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</si>
  <si>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</si>
  <si>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</si>
  <si>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</si>
  <si>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</si>
  <si>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</si>
  <si>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</si>
  <si>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</si>
  <si>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</si>
  <si>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</si>
  <si>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</si>
  <si>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</si>
  <si>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</si>
  <si>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</si>
  <si>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</si>
  <si>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</si>
  <si>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</si>
  <si>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</si>
  <si>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</si>
  <si>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</si>
  <si>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</si>
  <si>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</si>
  <si>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</si>
  <si>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</si>
  <si>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</si>
  <si>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</si>
  <si>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</si>
  <si>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</si>
  <si>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</si>
  <si>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</si>
  <si>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</si>
  <si>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</si>
  <si>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</si>
  <si>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</si>
  <si>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</si>
  <si>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</si>
  <si>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</si>
  <si>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</si>
  <si>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</si>
  <si>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</si>
  <si>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</si>
  <si>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</si>
  <si>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</si>
  <si>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</si>
  <si>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</si>
  <si>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</si>
  <si>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</si>
  <si>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</si>
  <si>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</si>
  <si>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</si>
  <si>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</si>
  <si>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</si>
  <si>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</si>
  <si>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</si>
  <si>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</si>
  <si>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</si>
  <si>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</si>
  <si>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</si>
  <si>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</si>
  <si>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</si>
  <si>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</si>
  <si>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</si>
  <si>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</si>
  <si>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</si>
  <si>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</si>
  <si>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</si>
  <si>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</si>
  <si>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</si>
  <si>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</si>
  <si>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</si>
  <si>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</si>
  <si>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</si>
  <si>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</si>
  <si>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</si>
  <si>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</si>
  <si>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</si>
  <si>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</si>
  <si>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</si>
  <si>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</si>
  <si>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</si>
  <si>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</si>
  <si>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</si>
  <si>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</si>
  <si>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</si>
  <si>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</si>
  <si>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</si>
  <si>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</si>
  <si>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</si>
  <si>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</si>
  <si>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</si>
  <si>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</si>
  <si>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</si>
  <si>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</si>
  <si>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</si>
  <si>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</si>
  <si>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</si>
  <si>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</si>
  <si>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</si>
  <si>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</si>
  <si>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</si>
  <si>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</si>
  <si>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</si>
  <si>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</si>
  <si>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</si>
  <si>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</si>
  <si>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</si>
  <si>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</si>
  <si>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</si>
  <si>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</si>
  <si>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</si>
  <si>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</si>
  <si>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</si>
  <si>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</si>
  <si>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</si>
  <si>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</si>
  <si>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</si>
  <si>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</si>
  <si>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</si>
  <si>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</si>
  <si>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</si>
  <si>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</si>
  <si>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</si>
  <si>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</si>
  <si>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</si>
  <si>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</si>
  <si>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</si>
  <si>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</si>
  <si>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</si>
  <si>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</si>
  <si>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</si>
  <si>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</si>
  <si>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</si>
  <si>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</si>
  <si>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</si>
  <si>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</si>
  <si>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</si>
  <si>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</si>
  <si>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</si>
  <si>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</si>
  <si>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</si>
  <si>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</si>
  <si>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</si>
  <si>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</si>
  <si>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</si>
  <si>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</si>
  <si>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</si>
  <si>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</si>
  <si>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</si>
  <si>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</si>
  <si>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</si>
  <si>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</si>
  <si>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</si>
  <si>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</si>
  <si>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</si>
  <si>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</si>
  <si>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</si>
  <si>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</si>
  <si>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</si>
  <si>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</si>
  <si>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</si>
  <si>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</si>
  <si>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</si>
  <si>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</si>
  <si>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</si>
  <si>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</si>
  <si>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</si>
  <si>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</si>
  <si>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</si>
  <si>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</si>
  <si>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</si>
  <si>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</si>
  <si>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</si>
  <si>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</si>
  <si>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</si>
  <si>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</si>
  <si>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</si>
  <si>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</si>
  <si>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</si>
  <si>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</si>
  <si>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</si>
  <si>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</si>
  <si>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</si>
  <si>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</si>
  <si>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</si>
  <si>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</si>
  <si>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</si>
  <si>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</si>
  <si>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</si>
  <si>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</si>
  <si>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</si>
  <si>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</si>
  <si>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</si>
  <si>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</si>
  <si>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</si>
  <si>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</si>
  <si>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</si>
  <si>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</si>
  <si>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</si>
  <si>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</si>
  <si>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</si>
  <si>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</si>
  <si>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</si>
  <si>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</si>
  <si>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</si>
  <si>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</si>
  <si>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</si>
  <si>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</si>
  <si>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</si>
  <si>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</si>
  <si>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</si>
  <si>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</si>
  <si>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</si>
  <si>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</si>
  <si>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</si>
  <si>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</si>
  <si>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</si>
  <si>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</si>
  <si>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</si>
  <si>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</si>
  <si>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</si>
  <si>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</si>
  <si>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</si>
  <si>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</si>
  <si>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</si>
  <si>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</si>
  <si>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</si>
  <si>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</si>
  <si>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</si>
  <si>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</si>
  <si>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</si>
  <si>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</si>
  <si>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</si>
  <si>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</si>
  <si>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</si>
  <si>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</si>
  <si>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</si>
  <si>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</si>
  <si>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</si>
  <si>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</si>
  <si>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</si>
  <si>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</si>
  <si>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</si>
  <si>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</si>
  <si>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</si>
  <si>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</si>
  <si>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</si>
  <si>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</si>
  <si>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</si>
  <si>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</si>
  <si>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</si>
  <si>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</si>
  <si>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</si>
  <si>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</si>
  <si>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</si>
  <si>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</si>
  <si>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</si>
  <si>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</si>
  <si>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</si>
  <si>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</si>
  <si>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</si>
  <si>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</si>
  <si>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</si>
  <si>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</si>
  <si>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</si>
  <si>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</si>
  <si>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</si>
  <si>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</si>
  <si>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</si>
  <si>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</si>
  <si>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</si>
  <si>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</si>
  <si>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</si>
  <si>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</si>
  <si>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</si>
  <si>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</si>
  <si>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</si>
  <si>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</si>
  <si>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</si>
  <si>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</si>
  <si>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</si>
  <si>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</si>
  <si>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</si>
  <si>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</si>
  <si>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</si>
  <si>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</si>
  <si>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</si>
  <si>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</si>
  <si>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</si>
  <si>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</si>
  <si>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</si>
  <si>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</si>
  <si>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</si>
  <si>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</si>
  <si>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</si>
  <si>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</si>
  <si>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</si>
  <si>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</si>
  <si>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</si>
  <si>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</si>
  <si>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</si>
  <si>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</si>
  <si>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</si>
  <si>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</si>
  <si>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</si>
  <si>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</si>
  <si>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</si>
  <si>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</si>
  <si>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</si>
  <si>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</si>
  <si>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</si>
  <si>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</si>
  <si>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</si>
  <si>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</si>
  <si>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</si>
  <si>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</si>
  <si>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</si>
  <si>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</si>
  <si>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</si>
  <si>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</si>
  <si>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</si>
  <si>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</si>
  <si>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</si>
  <si>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</si>
  <si>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</si>
  <si>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</si>
  <si>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</si>
  <si>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</si>
  <si>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</si>
  <si>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</si>
  <si>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</si>
  <si>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</si>
  <si>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</si>
  <si>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</si>
  <si>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</si>
  <si>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</si>
  <si>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</si>
  <si>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</si>
  <si>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</si>
  <si>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</si>
  <si>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</si>
  <si>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</si>
  <si>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</si>
  <si>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</si>
  <si>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</si>
  <si>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</si>
  <si>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</si>
  <si>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</si>
  <si>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</si>
  <si>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</si>
  <si>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</si>
  <si>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</si>
  <si>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</si>
  <si>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</si>
  <si>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</si>
  <si>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</si>
  <si>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</si>
  <si>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</si>
  <si>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</si>
  <si>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</si>
  <si>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</si>
  <si>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</si>
  <si>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</si>
  <si>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</si>
  <si>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</si>
  <si>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</si>
  <si>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</si>
  <si>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</si>
  <si>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</si>
  <si>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</si>
  <si>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</si>
  <si>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</si>
  <si>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</si>
  <si>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</si>
  <si>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</si>
  <si>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</si>
  <si>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</si>
  <si>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</si>
  <si>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</si>
  <si>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</si>
  <si>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</si>
  <si>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</si>
  <si>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</si>
  <si>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</si>
  <si>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</si>
  <si>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</si>
  <si>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</si>
  <si>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</si>
  <si>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</si>
  <si>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</si>
  <si>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</si>
  <si>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</si>
  <si>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</si>
  <si>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</si>
  <si>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</si>
  <si>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</si>
  <si>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</si>
  <si>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</si>
  <si>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</si>
  <si>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</si>
  <si>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</si>
  <si>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</si>
  <si>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</si>
  <si>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</si>
  <si>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</si>
  <si>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</si>
  <si>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</si>
  <si>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</si>
  <si>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</si>
  <si>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</si>
  <si>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</si>
  <si>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</si>
  <si>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</si>
  <si>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</si>
  <si>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</si>
  <si>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</si>
  <si>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</si>
  <si>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</si>
  <si>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</si>
  <si>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</si>
  <si>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</si>
  <si>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</si>
  <si>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</si>
  <si>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</si>
  <si>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</si>
  <si>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</si>
  <si>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</si>
  <si>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</si>
  <si>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</si>
  <si>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</si>
  <si>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</si>
  <si>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</si>
  <si>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</si>
  <si>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</si>
  <si>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</si>
  <si>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</si>
  <si>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</si>
  <si>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</si>
  <si>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</si>
  <si>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</si>
  <si>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</si>
  <si>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</si>
  <si>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</si>
  <si>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</si>
  <si>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</si>
  <si>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</si>
  <si>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</si>
  <si>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</si>
  <si>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</si>
  <si>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</si>
  <si>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</si>
  <si>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</si>
  <si>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</si>
  <si>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</si>
  <si>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</si>
  <si>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</si>
  <si>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</si>
  <si>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</si>
  <si>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</si>
  <si>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</si>
  <si>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</si>
  <si>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</si>
  <si>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</si>
  <si>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</si>
  <si>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</si>
  <si>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</si>
  <si>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</si>
  <si>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</si>
  <si>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</si>
  <si>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</si>
  <si>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</si>
  <si>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</si>
  <si>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</si>
  <si>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</si>
  <si>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</si>
  <si>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</si>
  <si>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</si>
  <si>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</si>
  <si>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</si>
  <si>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</si>
  <si>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</si>
  <si>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</si>
  <si>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</si>
  <si>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</si>
  <si>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</si>
  <si>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</si>
  <si>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</si>
  <si>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</si>
  <si>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</si>
  <si>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</si>
  <si>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</si>
  <si>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</si>
  <si>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</si>
  <si>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</si>
  <si>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</si>
  <si>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</si>
  <si>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</si>
  <si>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</si>
  <si>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</si>
  <si>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</si>
  <si>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</si>
  <si>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</si>
  <si>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</si>
  <si>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</si>
  <si>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</si>
  <si>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</si>
  <si>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</si>
  <si>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</si>
  <si>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</si>
  <si>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</si>
  <si>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</si>
  <si>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</si>
  <si>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</si>
  <si>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</si>
  <si>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</si>
  <si>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</si>
  <si>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</si>
  <si>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</si>
  <si>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</si>
  <si>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</si>
  <si>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</si>
  <si>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</si>
  <si>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</si>
  <si>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</si>
  <si>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</si>
  <si>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</si>
  <si>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</si>
  <si>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</si>
  <si>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</si>
  <si>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</si>
  <si>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</si>
  <si>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</si>
  <si>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</si>
  <si>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</si>
  <si>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</si>
  <si>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</si>
  <si>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</si>
  <si>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</si>
  <si>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</si>
  <si>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</si>
  <si>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</si>
  <si>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</si>
  <si>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</si>
  <si>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</si>
  <si>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</si>
  <si>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</si>
  <si>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</si>
  <si>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</si>
  <si>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</si>
  <si>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</si>
  <si>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</si>
  <si>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</si>
  <si>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</si>
  <si>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</si>
  <si>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</si>
  <si>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</si>
  <si>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</si>
  <si>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</si>
  <si>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</si>
  <si>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</si>
  <si>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</si>
  <si>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</si>
  <si>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</si>
  <si>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</si>
  <si>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</si>
  <si>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</si>
  <si>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</si>
  <si>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</si>
  <si>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</si>
  <si>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</si>
  <si>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</si>
  <si>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</si>
  <si>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</si>
  <si>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</si>
  <si>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</si>
  <si>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</si>
  <si>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</si>
  <si>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</si>
  <si>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</si>
  <si>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</si>
  <si>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</si>
  <si>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</si>
  <si>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</si>
  <si>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</si>
  <si>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</si>
  <si>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</si>
  <si>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</si>
  <si>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</si>
  <si>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</si>
  <si>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</si>
  <si>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</si>
  <si>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</si>
  <si>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</si>
  <si>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</si>
  <si>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</si>
  <si>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</si>
  <si>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</si>
  <si>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</si>
  <si>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</si>
  <si>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</si>
  <si>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</si>
  <si>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</si>
  <si>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</si>
  <si>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</si>
  <si>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</si>
  <si>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</si>
  <si>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</si>
  <si>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</si>
  <si>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</si>
  <si>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</si>
  <si>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</si>
  <si>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</si>
  <si>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</si>
  <si>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</si>
  <si>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</si>
  <si>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</si>
  <si>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</si>
  <si>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</si>
  <si>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</si>
  <si>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</si>
  <si>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</si>
  <si>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</si>
  <si>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</si>
  <si>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</si>
  <si>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</si>
  <si>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</si>
  <si>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</si>
  <si>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</si>
  <si>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</si>
  <si>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</si>
  <si>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</si>
  <si>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</si>
  <si>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</si>
  <si>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</si>
  <si>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</si>
  <si>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</si>
  <si>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</si>
  <si>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</si>
  <si>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</si>
  <si>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</si>
  <si>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</si>
  <si>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</si>
  <si>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</si>
  <si>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</si>
  <si>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</si>
  <si>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</si>
  <si>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</si>
  <si>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</si>
  <si>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</si>
  <si>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</si>
  <si>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</si>
  <si>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</si>
  <si>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</si>
  <si>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</si>
  <si>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</si>
  <si>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</si>
  <si>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</si>
  <si>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</si>
  <si>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</si>
  <si>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</si>
  <si>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</si>
  <si>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</si>
  <si>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</si>
  <si>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</si>
  <si>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</si>
  <si>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</si>
  <si>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</si>
  <si>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</si>
  <si>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</si>
  <si>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</si>
  <si>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</si>
  <si>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</si>
  <si>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</si>
  <si>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</si>
  <si>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</si>
  <si>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</si>
  <si>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</si>
  <si>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</si>
  <si>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</si>
  <si>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</si>
  <si>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</si>
  <si>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</si>
  <si>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</si>
  <si>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</si>
  <si>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</si>
  <si>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</si>
  <si>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</si>
  <si>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</si>
  <si>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</si>
  <si>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</si>
  <si>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</si>
  <si>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</si>
  <si>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</si>
  <si>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</si>
  <si>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</si>
  <si>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</si>
  <si>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</si>
  <si>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</si>
  <si>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</si>
  <si>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</si>
  <si>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</si>
  <si>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</si>
  <si>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</si>
  <si>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</si>
  <si>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</si>
  <si>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</si>
  <si>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</si>
  <si>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</si>
  <si>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</si>
  <si>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</si>
  <si>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</si>
  <si>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</si>
  <si>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</si>
  <si>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</si>
  <si>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</si>
  <si>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</si>
  <si>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</si>
  <si>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</si>
  <si>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</si>
  <si>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</si>
  <si>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</si>
  <si>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</si>
  <si>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</si>
  <si>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</si>
  <si>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</si>
  <si>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</si>
  <si>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</si>
  <si>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</si>
  <si>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</si>
  <si>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</si>
  <si>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</si>
  <si>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</si>
  <si>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</si>
  <si>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</si>
  <si>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</si>
  <si>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</si>
  <si>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</si>
  <si>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</si>
  <si>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</si>
  <si>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</si>
  <si>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</si>
  <si>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</si>
  <si>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</si>
  <si>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</si>
  <si>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</si>
  <si>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</si>
  <si>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</si>
  <si>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</si>
  <si>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</si>
  <si>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</si>
  <si>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</si>
  <si>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</si>
  <si>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</si>
  <si>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</si>
  <si>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</si>
  <si>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</si>
  <si>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</si>
  <si>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</si>
  <si>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</si>
  <si>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</si>
  <si>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</si>
  <si>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</si>
  <si>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</si>
  <si>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</si>
  <si>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</si>
  <si>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</si>
  <si>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</si>
  <si>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</si>
  <si>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</si>
  <si>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</si>
  <si>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</si>
  <si>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</si>
  <si>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</si>
  <si>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</si>
  <si>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</si>
  <si>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</si>
  <si>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</si>
  <si>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</si>
  <si>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</si>
  <si>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</si>
  <si>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</si>
  <si>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</si>
  <si>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</si>
  <si>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</si>
  <si>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</si>
  <si>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</si>
  <si>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</si>
  <si>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</si>
  <si>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</si>
  <si>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</si>
  <si>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</si>
  <si>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</si>
  <si>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</si>
  <si>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</si>
  <si>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</si>
  <si>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</si>
  <si>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</si>
  <si>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</si>
  <si>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</si>
  <si>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</si>
  <si>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</si>
  <si>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</si>
  <si>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</si>
  <si>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</si>
  <si>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</si>
  <si>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</si>
  <si>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</si>
  <si>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</si>
  <si>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</si>
  <si>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</si>
  <si>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</si>
  <si>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</si>
  <si>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</si>
  <si>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</si>
  <si>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</si>
  <si>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</si>
  <si>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</si>
  <si>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</si>
  <si>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</si>
  <si>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</si>
  <si>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</si>
  <si>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</si>
  <si>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</si>
  <si>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</si>
  <si>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</si>
  <si>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</si>
  <si>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</si>
  <si>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</si>
  <si>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</si>
  <si>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</si>
  <si>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</si>
  <si>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</si>
  <si>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</si>
  <si>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</si>
  <si>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</si>
  <si>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</si>
  <si>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</si>
  <si>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</si>
  <si>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</si>
  <si>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</si>
  <si>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</si>
  <si>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</si>
  <si>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</si>
  <si>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</si>
  <si>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</si>
  <si>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</si>
  <si>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</si>
  <si>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</si>
  <si>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</si>
  <si>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</si>
  <si>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</si>
  <si>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</si>
  <si>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</si>
  <si>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</si>
  <si>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</si>
  <si>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</si>
  <si>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</si>
  <si>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</si>
  <si>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</si>
  <si>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</si>
  <si>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</si>
  <si>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</si>
  <si>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</si>
  <si>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</si>
  <si>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</si>
  <si>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</si>
  <si>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</si>
  <si>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</si>
  <si>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</si>
  <si>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</si>
  <si>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</si>
  <si>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</si>
  <si>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</si>
  <si>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</si>
  <si>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</si>
  <si>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</si>
  <si>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</si>
  <si>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</si>
  <si>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</si>
  <si>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</si>
  <si>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</si>
  <si>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</si>
  <si>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</si>
  <si>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</si>
  <si>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</si>
  <si>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</si>
  <si>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</si>
  <si>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</si>
  <si>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</si>
  <si>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</si>
  <si>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</si>
  <si>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</si>
  <si>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</si>
  <si>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</si>
  <si>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</si>
  <si>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</si>
  <si>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</si>
  <si>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</si>
  <si>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</si>
  <si>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</si>
  <si>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</si>
  <si>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</si>
  <si>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</si>
  <si>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</si>
  <si>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</si>
  <si>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</si>
  <si>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</si>
  <si>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</si>
  <si>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</si>
  <si>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</si>
  <si>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</si>
  <si>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</si>
  <si>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</si>
  <si>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</si>
  <si>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</si>
  <si>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</si>
  <si>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</si>
  <si>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</si>
  <si>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</si>
  <si>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</si>
  <si>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</si>
  <si>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</si>
  <si>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</si>
  <si>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</si>
  <si>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</si>
  <si>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</si>
  <si>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</si>
  <si>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</si>
  <si>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</si>
  <si>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</si>
  <si>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</si>
  <si>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</si>
  <si>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</si>
  <si>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</si>
  <si>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</si>
  <si>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</si>
  <si>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</si>
  <si>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</si>
  <si>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</si>
  <si>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</si>
  <si>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</si>
  <si>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</si>
  <si>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</si>
  <si>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</si>
  <si>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</si>
  <si>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</si>
  <si>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</si>
  <si>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</si>
  <si>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</si>
  <si>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</si>
  <si>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</si>
  <si>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</si>
  <si>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</si>
  <si>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</si>
  <si>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</si>
  <si>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</si>
  <si>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</si>
  <si>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</si>
  <si>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</si>
  <si>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</si>
  <si>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</si>
  <si>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</si>
  <si>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</si>
  <si>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</si>
  <si>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</si>
  <si>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</si>
  <si>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</si>
  <si>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</si>
  <si>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</si>
  <si>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</si>
  <si>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</si>
  <si>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</si>
  <si>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</si>
  <si>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</si>
  <si>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</si>
  <si>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</si>
  <si>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</si>
  <si>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</si>
  <si>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</si>
  <si>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</si>
  <si>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</si>
  <si>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</si>
  <si>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</si>
  <si>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</si>
  <si>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</si>
  <si>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</si>
  <si>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</si>
  <si>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</si>
  <si>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</si>
  <si>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</si>
  <si>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</si>
  <si>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</si>
  <si>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</si>
  <si>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</si>
  <si>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</si>
  <si>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</si>
  <si>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</si>
  <si>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</si>
  <si>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</si>
  <si>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</si>
  <si>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</si>
  <si>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</si>
  <si>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</si>
  <si>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</si>
  <si>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</si>
  <si>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</si>
  <si>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</si>
  <si>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</si>
  <si>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</si>
  <si>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</si>
  <si>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</si>
  <si>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</si>
  <si>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</si>
  <si>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</si>
  <si>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</si>
  <si>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</si>
  <si>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</si>
  <si>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</si>
  <si>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</si>
  <si>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</si>
  <si>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</si>
  <si>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</si>
  <si>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</si>
  <si>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</si>
  <si>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</si>
  <si>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</si>
  <si>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</si>
  <si>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</si>
  <si>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</si>
  <si>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</si>
  <si>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</si>
  <si>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</si>
  <si>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</si>
  <si>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</si>
  <si>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</si>
  <si>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</si>
  <si>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</si>
  <si>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</si>
  <si>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</si>
  <si>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</si>
  <si>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</si>
  <si>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</si>
  <si>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</si>
  <si>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</si>
  <si>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</si>
  <si>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</si>
  <si>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</si>
  <si>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</si>
  <si>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</si>
  <si>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</si>
  <si>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</si>
  <si>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</si>
  <si>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</si>
  <si>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</si>
  <si>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</si>
  <si>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</si>
  <si>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</si>
  <si>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</si>
  <si>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</si>
  <si>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</si>
  <si>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</si>
  <si>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</si>
  <si>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</si>
  <si>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</si>
  <si>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</si>
  <si>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</si>
  <si>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</si>
  <si>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</si>
  <si>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</si>
  <si>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</si>
  <si>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</si>
  <si>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</si>
  <si>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</si>
  <si>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</si>
  <si>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</si>
  <si>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</si>
  <si>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</si>
  <si>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</si>
  <si>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</si>
  <si>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</si>
  <si>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</si>
  <si>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</si>
  <si>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</si>
  <si>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</si>
  <si>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</si>
  <si>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</si>
  <si>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</si>
  <si>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</si>
  <si>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</si>
  <si>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</si>
  <si>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</si>
  <si>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</si>
  <si>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</si>
  <si>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</si>
  <si>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</si>
  <si>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</si>
  <si>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</si>
  <si>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</si>
  <si>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</si>
  <si>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</si>
  <si>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</si>
  <si>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</si>
  <si>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</si>
  <si>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</si>
  <si>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</si>
  <si>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</si>
  <si>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</si>
  <si>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</si>
  <si>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</si>
  <si>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</si>
  <si>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</si>
  <si>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</si>
  <si>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</si>
  <si>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</si>
  <si>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</si>
  <si>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</si>
  <si>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</si>
  <si>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</si>
  <si>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</si>
  <si>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</si>
  <si>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</si>
  <si>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</si>
  <si>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</si>
  <si>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</si>
  <si>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</si>
  <si>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</si>
  <si>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</si>
  <si>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</si>
  <si>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</si>
  <si>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</si>
  <si>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</si>
  <si>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</si>
  <si>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</si>
  <si>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</si>
  <si>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</si>
  <si>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</si>
  <si>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</si>
  <si>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</si>
  <si>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</si>
  <si>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</si>
  <si>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</si>
  <si>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</si>
  <si>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</si>
  <si>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</si>
  <si>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</si>
  <si>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</si>
  <si>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</si>
  <si>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</si>
  <si>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</si>
  <si>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</si>
  <si>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</si>
  <si>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</si>
  <si>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</si>
  <si>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</si>
  <si>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</si>
  <si>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</si>
  <si>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</si>
  <si>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</si>
  <si>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</si>
  <si>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</si>
  <si>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</si>
  <si>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</si>
  <si>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</si>
  <si>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</si>
  <si>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</si>
  <si>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</si>
  <si>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</si>
  <si>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</si>
  <si>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</si>
  <si>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</si>
  <si>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</si>
  <si>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</si>
  <si>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</si>
  <si>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</si>
  <si>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</si>
  <si>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</si>
  <si>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</si>
  <si>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</si>
  <si>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</si>
  <si>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</si>
  <si>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</si>
  <si>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</si>
  <si>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</si>
  <si>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</si>
  <si>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</si>
  <si>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</si>
  <si>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</si>
  <si>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</si>
  <si>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</si>
  <si>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</si>
  <si>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</si>
  <si>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</si>
  <si>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</si>
  <si>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</si>
  <si>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</si>
  <si>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</si>
  <si>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</si>
  <si>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</si>
  <si>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</si>
  <si>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</si>
  <si>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</si>
  <si>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</si>
  <si>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</si>
  <si>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</si>
  <si>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</si>
  <si>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</si>
  <si>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</si>
  <si>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</si>
  <si>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</si>
  <si>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</si>
  <si>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</si>
  <si>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</si>
  <si>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</si>
  <si>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</si>
  <si>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</si>
  <si>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</si>
  <si>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</si>
  <si>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</si>
  <si>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</si>
  <si>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</si>
  <si>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</si>
  <si>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</si>
  <si>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</si>
  <si>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</si>
  <si>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</si>
  <si>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</si>
  <si>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</si>
  <si>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</si>
  <si>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</si>
  <si>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</si>
  <si>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</si>
  <si>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</si>
  <si>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</si>
  <si>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</si>
  <si>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</si>
  <si>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</si>
  <si>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</si>
  <si>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</si>
  <si>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</si>
  <si>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</si>
  <si>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</si>
  <si>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</si>
  <si>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</si>
  <si>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</si>
  <si>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</si>
  <si>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</si>
  <si>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</si>
  <si>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</si>
  <si>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</si>
  <si>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</si>
  <si>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</si>
  <si>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</si>
  <si>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</si>
  <si>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</si>
  <si>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</si>
  <si>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</si>
  <si>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</si>
  <si>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</si>
  <si>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</si>
  <si>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</si>
  <si>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</si>
  <si>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</si>
  <si>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</si>
  <si>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</si>
  <si>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</si>
  <si>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</si>
  <si>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</si>
  <si>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</si>
  <si>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</si>
  <si>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</si>
  <si>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</si>
  <si>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</si>
  <si>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</si>
  <si>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</si>
  <si>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</si>
  <si>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</si>
  <si>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</si>
  <si>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</si>
  <si>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</si>
  <si>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</si>
  <si>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</si>
  <si>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</si>
  <si>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</si>
  <si>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</si>
  <si>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</si>
  <si>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</si>
  <si>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</si>
  <si>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</si>
  <si>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</si>
  <si>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</si>
  <si>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</si>
  <si>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</si>
  <si>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</si>
  <si>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</si>
  <si>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</si>
  <si>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</si>
  <si>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</si>
  <si>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</si>
  <si>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</si>
  <si>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</si>
  <si>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</si>
  <si>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</si>
  <si>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</si>
  <si>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</si>
  <si>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</si>
  <si>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</si>
  <si>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</si>
  <si>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</si>
  <si>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</si>
  <si>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</si>
  <si>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</si>
  <si>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</si>
  <si>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</si>
  <si>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</si>
  <si>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</si>
  <si>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</si>
  <si>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</si>
  <si>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</si>
  <si>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</si>
  <si>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</si>
  <si>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</si>
  <si>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</si>
  <si>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</si>
  <si>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</si>
  <si>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</si>
  <si>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</si>
  <si>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</si>
  <si>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</si>
  <si>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</si>
  <si>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</si>
  <si>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</si>
  <si>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</si>
  <si>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</si>
  <si>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</si>
  <si>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</si>
  <si>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</si>
  <si>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</si>
  <si>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</si>
  <si>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</si>
  <si>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</si>
  <si>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</si>
  <si>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</si>
  <si>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</si>
  <si>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</si>
  <si>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</si>
  <si>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</si>
  <si>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</si>
  <si>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</si>
  <si>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</si>
  <si>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</si>
  <si>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</si>
  <si>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</si>
  <si>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</si>
  <si>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</si>
  <si>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</si>
  <si>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</si>
  <si>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</si>
  <si>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</si>
  <si>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</si>
  <si>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</si>
  <si>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</si>
  <si>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</si>
  <si>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</si>
  <si>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</si>
  <si>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</si>
  <si>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</si>
  <si>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</si>
  <si>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</si>
  <si>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</si>
  <si>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</si>
  <si>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</si>
  <si>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</si>
  <si>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</si>
  <si>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</si>
  <si>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</si>
  <si>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</si>
  <si>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</si>
  <si>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</si>
  <si>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</si>
  <si>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</si>
  <si>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</si>
  <si>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</si>
  <si>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</si>
  <si>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</si>
  <si>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</si>
  <si>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</si>
  <si>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</si>
  <si>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</si>
  <si>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</si>
  <si>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</si>
  <si>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</si>
  <si>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</si>
  <si>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</si>
  <si>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</si>
  <si>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</si>
  <si>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</si>
  <si>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</si>
  <si>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</si>
  <si>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</si>
  <si>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</si>
  <si>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</si>
  <si>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</si>
  <si>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</si>
  <si>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</si>
  <si>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</si>
  <si>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</si>
  <si>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</si>
  <si>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</si>
  <si>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</si>
  <si>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</si>
  <si>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</si>
  <si>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</si>
  <si>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</si>
  <si>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</si>
  <si>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</si>
  <si>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</si>
  <si>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</si>
  <si>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</si>
  <si>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</si>
  <si>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</si>
  <si>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</si>
  <si>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</si>
  <si>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</si>
  <si>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</si>
  <si>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</si>
  <si>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</si>
  <si>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</si>
  <si>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</si>
  <si>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</si>
  <si>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</si>
  <si>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</si>
  <si>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</si>
  <si>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</si>
  <si>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</si>
  <si>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</si>
  <si>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</si>
  <si>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</si>
  <si>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</si>
  <si>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</si>
  <si>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</si>
  <si>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</si>
  <si>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</si>
  <si>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</si>
  <si>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</si>
  <si>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</si>
  <si>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</si>
  <si>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</si>
  <si>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</si>
  <si>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</si>
  <si>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</si>
  <si>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</si>
  <si>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</si>
  <si>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</si>
  <si>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</si>
  <si>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</si>
  <si>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</si>
  <si>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</si>
  <si>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</si>
  <si>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</si>
  <si>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</si>
  <si>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</si>
  <si>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</si>
  <si>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</si>
  <si>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</si>
  <si>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</si>
  <si>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</si>
  <si>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</si>
  <si>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</si>
  <si>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</si>
  <si>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</si>
  <si>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</si>
  <si>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</si>
  <si>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</si>
  <si>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</si>
  <si>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</si>
  <si>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</si>
  <si>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</si>
  <si>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</si>
  <si>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</si>
  <si>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</si>
  <si>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</si>
  <si>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</si>
  <si>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</si>
  <si>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</si>
  <si>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</si>
  <si>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</si>
  <si>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</si>
  <si>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</si>
  <si>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</si>
  <si>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</si>
  <si>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</si>
  <si>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</si>
  <si>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</si>
  <si>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</si>
  <si>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</si>
  <si>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</si>
  <si>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</si>
  <si>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</si>
  <si>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</si>
  <si>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</si>
  <si>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</si>
  <si>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</si>
  <si>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</si>
  <si>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</si>
  <si>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</si>
  <si>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</si>
  <si>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</si>
  <si>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</si>
  <si>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</si>
  <si>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</si>
  <si>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</si>
  <si>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</si>
  <si>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</si>
  <si>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</si>
  <si>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</si>
  <si>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</si>
  <si>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</si>
  <si>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</si>
  <si>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</si>
  <si>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</si>
  <si>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</si>
  <si>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</si>
  <si>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</si>
  <si>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</si>
  <si>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</si>
  <si>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</si>
  <si>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</si>
  <si>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</si>
  <si>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</si>
  <si>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</si>
  <si>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</si>
  <si>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</si>
  <si>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</si>
  <si>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</si>
  <si>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</si>
  <si>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</si>
  <si>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</si>
  <si>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</si>
  <si>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</si>
  <si>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</si>
  <si>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</si>
  <si>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</si>
  <si>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</si>
  <si>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</si>
  <si>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</si>
  <si>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</si>
  <si>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</si>
  <si>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</si>
  <si>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</si>
  <si>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</si>
  <si>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</si>
  <si>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</si>
  <si>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</si>
  <si>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</si>
  <si>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</si>
  <si>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</si>
  <si>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</si>
  <si>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</si>
  <si>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</si>
  <si>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</si>
  <si>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</si>
  <si>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</si>
  <si>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</si>
  <si>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</si>
  <si>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</si>
  <si>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</si>
  <si>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</si>
  <si>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</si>
  <si>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</si>
  <si>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</si>
  <si>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</si>
  <si>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</si>
  <si>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</si>
  <si>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</si>
  <si>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</si>
  <si>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</si>
  <si>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</si>
  <si>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</si>
  <si>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</si>
  <si>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</si>
  <si>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</si>
  <si>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</si>
  <si>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</si>
  <si>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</si>
  <si>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</si>
  <si>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</si>
  <si>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</si>
  <si>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</si>
  <si>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</si>
  <si>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</si>
  <si>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</si>
  <si>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</si>
  <si>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</si>
  <si>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</si>
  <si>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</si>
  <si>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</si>
  <si>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</si>
  <si>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</si>
  <si>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</si>
  <si>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</si>
  <si>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</si>
  <si>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</si>
  <si>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</si>
  <si>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</si>
  <si>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</si>
  <si>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</si>
  <si>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</si>
  <si>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</si>
  <si>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</si>
  <si>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</si>
  <si>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</si>
  <si>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</si>
  <si>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</si>
  <si>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</si>
  <si>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</si>
  <si>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</si>
  <si>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</si>
  <si>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</si>
  <si>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</si>
  <si>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</si>
  <si>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</si>
  <si>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</si>
  <si>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</si>
  <si>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</si>
  <si>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</si>
  <si>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</si>
  <si>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</si>
  <si>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</si>
  <si>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</si>
  <si>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</si>
  <si>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</si>
  <si>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</si>
  <si>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</si>
  <si>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</si>
  <si>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</si>
  <si>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</si>
  <si>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</si>
  <si>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</si>
  <si>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</si>
  <si>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</si>
  <si>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</si>
  <si>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</si>
  <si>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</si>
  <si>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</si>
  <si>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</si>
  <si>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</si>
  <si>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</si>
  <si>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</si>
  <si>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</si>
  <si>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</si>
  <si>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</si>
  <si>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</si>
  <si>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</si>
  <si>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</si>
  <si>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</si>
  <si>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</si>
  <si>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</si>
  <si>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</si>
  <si>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</si>
  <si>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</si>
  <si>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</si>
  <si>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</si>
  <si>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</si>
  <si>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</si>
  <si>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</si>
  <si>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</si>
  <si>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</si>
  <si>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</si>
  <si>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</si>
  <si>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</si>
  <si>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</si>
  <si>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</si>
  <si>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</si>
  <si>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</si>
  <si>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</si>
  <si>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</si>
  <si>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</si>
  <si>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</si>
  <si>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</si>
  <si>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</si>
  <si>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</si>
  <si>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</si>
  <si>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</si>
  <si>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</si>
  <si>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</si>
  <si>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</si>
  <si>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</si>
  <si>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</si>
  <si>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</si>
  <si>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</si>
  <si>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</si>
  <si>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</si>
  <si>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</si>
  <si>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</si>
  <si>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</si>
  <si>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</si>
  <si>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</si>
  <si>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</si>
  <si>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</si>
  <si>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</si>
  <si>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</si>
  <si>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</si>
  <si>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</si>
  <si>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</si>
  <si>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</si>
  <si>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</si>
  <si>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</si>
  <si>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</si>
  <si>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</si>
  <si>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</si>
  <si>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</si>
  <si>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</si>
  <si>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</si>
  <si>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</si>
  <si>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</si>
  <si>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</si>
  <si>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</si>
  <si>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</si>
  <si>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</si>
  <si>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</si>
  <si>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</si>
  <si>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</si>
  <si>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</si>
  <si>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</si>
  <si>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</si>
  <si>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</si>
  <si>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</si>
  <si>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</si>
  <si>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</si>
  <si>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</si>
  <si>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</si>
  <si>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</si>
  <si>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</si>
  <si>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</si>
  <si>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</si>
  <si>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</si>
  <si>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</si>
  <si>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</si>
  <si>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</si>
  <si>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</si>
  <si>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</si>
  <si>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</si>
  <si>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</si>
  <si>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</si>
  <si>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</si>
  <si>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</si>
  <si>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</si>
  <si>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</si>
  <si>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</si>
  <si>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</si>
  <si>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</si>
  <si>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</si>
  <si>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</si>
  <si>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</si>
  <si>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</si>
  <si>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</si>
  <si>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</si>
  <si>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</si>
  <si>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</si>
  <si>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</si>
  <si>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</si>
  <si>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</si>
  <si>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</si>
  <si>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</si>
  <si>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</si>
  <si>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</si>
  <si>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</si>
  <si>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</si>
  <si>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</si>
  <si>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</si>
  <si>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</si>
  <si>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</si>
  <si>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</si>
  <si>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</si>
  <si>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</si>
  <si>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</si>
  <si>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</si>
  <si>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</si>
  <si>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</si>
  <si>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</si>
  <si>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</si>
  <si>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</si>
  <si>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</si>
  <si>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</si>
  <si>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</si>
  <si>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</si>
  <si>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</si>
  <si>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</si>
  <si>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</si>
  <si>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</si>
  <si>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</si>
  <si>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</si>
  <si>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</si>
  <si>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</si>
  <si>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</si>
  <si>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</si>
  <si>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</si>
  <si>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</si>
  <si>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</si>
  <si>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</si>
  <si>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</si>
  <si>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</si>
  <si>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</si>
  <si>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</si>
  <si>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</si>
  <si>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</si>
  <si>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</si>
  <si>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</si>
  <si>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</si>
  <si>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</si>
  <si>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</si>
  <si>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</si>
  <si>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</si>
  <si>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</si>
  <si>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</si>
  <si>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</si>
  <si>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</si>
  <si>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</si>
  <si>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</si>
  <si>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</si>
  <si>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</si>
  <si>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</si>
  <si>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</si>
  <si>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</si>
  <si>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</si>
  <si>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</si>
  <si>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</si>
  <si>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</si>
  <si>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</si>
  <si>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</si>
  <si>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</si>
  <si>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</si>
  <si>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</si>
  <si>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</si>
  <si>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</si>
  <si>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</si>
  <si>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</si>
  <si>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</si>
  <si>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</si>
  <si>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</si>
  <si>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</si>
  <si>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</si>
  <si>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</si>
  <si>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</si>
  <si>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</si>
  <si>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</si>
  <si>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</si>
  <si>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</si>
  <si>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</si>
  <si>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</si>
  <si>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</si>
  <si>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</si>
  <si>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</si>
  <si>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</si>
  <si>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</si>
  <si>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</si>
  <si>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</si>
  <si>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</si>
  <si>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</si>
  <si>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</si>
  <si>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</si>
  <si>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</si>
  <si>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</si>
  <si>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</si>
  <si>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</si>
  <si>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</si>
  <si>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</si>
  <si>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</si>
  <si>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</si>
  <si>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</si>
  <si>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</si>
  <si>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</si>
  <si>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</si>
  <si>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</si>
  <si>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</si>
  <si>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</si>
  <si>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</si>
  <si>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</si>
  <si>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</si>
  <si>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</si>
  <si>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</si>
  <si>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</si>
  <si>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</si>
  <si>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</si>
  <si>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</si>
  <si>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</si>
  <si>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</si>
  <si>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</si>
  <si>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</si>
  <si>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</si>
  <si>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</si>
  <si>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</si>
  <si>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</si>
  <si>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</si>
  <si>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</si>
  <si>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</si>
  <si>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</si>
  <si>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</si>
  <si>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</si>
  <si>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</si>
  <si>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</si>
  <si>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</si>
  <si>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</si>
  <si>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</si>
  <si>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</si>
  <si>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</si>
  <si>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</si>
  <si>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</si>
  <si>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</si>
  <si>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</si>
  <si>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</si>
  <si>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</si>
  <si>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</si>
  <si>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</si>
  <si>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</si>
  <si>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</si>
  <si>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</si>
  <si>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</si>
  <si>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</si>
  <si>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</si>
  <si>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</si>
  <si>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</si>
  <si>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</si>
  <si>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</si>
  <si>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</si>
  <si>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</si>
  <si>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</si>
  <si>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</si>
  <si>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</si>
  <si>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</si>
  <si>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</si>
  <si>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</si>
  <si>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</si>
  <si>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</si>
  <si>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</si>
  <si>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</si>
  <si>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</si>
  <si>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</si>
  <si>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</si>
  <si>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</si>
  <si>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</si>
  <si>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</si>
  <si>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</si>
  <si>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</si>
  <si>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</si>
  <si>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</si>
  <si>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</si>
  <si>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</si>
  <si>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</si>
  <si>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</si>
  <si>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</si>
  <si>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</si>
  <si>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</si>
  <si>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</si>
  <si>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</si>
  <si>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</si>
  <si>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</si>
  <si>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</si>
  <si>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</si>
  <si>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</si>
  <si>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</si>
  <si>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</si>
  <si>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</si>
  <si>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</si>
  <si>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</si>
  <si>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</si>
  <si>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</si>
  <si>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</si>
  <si>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</si>
  <si>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</si>
  <si>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</si>
  <si>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</si>
  <si>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</si>
  <si>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</si>
  <si>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</si>
  <si>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</si>
  <si>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</si>
  <si>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</si>
  <si>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</si>
  <si>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</si>
  <si>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</si>
  <si>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</si>
  <si>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</si>
  <si>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</si>
  <si>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</si>
  <si>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</si>
  <si>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</si>
  <si>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</si>
  <si>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</si>
  <si>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</si>
  <si>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</si>
  <si>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</si>
  <si>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</si>
  <si>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</si>
  <si>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</si>
  <si>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</si>
  <si>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</si>
  <si>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</si>
  <si>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</si>
  <si>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</si>
  <si>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</si>
  <si>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</si>
  <si>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</si>
  <si>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</si>
  <si>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</si>
  <si>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</si>
  <si>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</si>
  <si>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</si>
  <si>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</si>
  <si>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</si>
  <si>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</si>
  <si>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</si>
  <si>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</si>
  <si>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</si>
  <si>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</si>
  <si>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</si>
  <si>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</si>
  <si>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</si>
  <si>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</si>
  <si>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</si>
  <si>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</si>
  <si>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</si>
  <si>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</si>
  <si>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</si>
  <si>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</si>
  <si>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</si>
  <si>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</si>
  <si>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</si>
  <si>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</si>
  <si>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</si>
  <si>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</si>
  <si>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</si>
  <si>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</si>
  <si>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</si>
  <si>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</si>
  <si>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</si>
  <si>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</si>
  <si>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</si>
  <si>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</si>
  <si>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</si>
  <si>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</si>
  <si>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</si>
  <si>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</si>
  <si>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</si>
  <si>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</si>
  <si>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</si>
  <si>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</si>
  <si>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</si>
  <si>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</si>
  <si>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</si>
  <si>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</si>
  <si>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</si>
  <si>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</si>
  <si>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</si>
  <si>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</si>
  <si>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</si>
  <si>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</si>
  <si>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</si>
  <si>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</si>
  <si>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</si>
  <si>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</si>
  <si>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</si>
  <si>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</si>
  <si>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</si>
  <si>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</si>
  <si>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</si>
  <si>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</si>
  <si>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</si>
  <si>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</si>
  <si>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</si>
  <si>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</si>
  <si>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</si>
  <si>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</si>
  <si>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</si>
  <si>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</si>
  <si>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</si>
  <si>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</si>
  <si>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</si>
  <si>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</si>
  <si>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</si>
  <si>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</si>
  <si>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</si>
  <si>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</si>
  <si>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</si>
  <si>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</si>
  <si>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</si>
  <si>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</si>
  <si>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</si>
  <si>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</si>
  <si>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</si>
  <si>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</si>
  <si>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</si>
  <si>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</si>
  <si>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</si>
  <si>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</si>
  <si>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</si>
  <si>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</si>
  <si>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</si>
  <si>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</si>
  <si>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</si>
  <si>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</si>
  <si>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</si>
  <si>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</si>
  <si>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</si>
  <si>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</si>
  <si>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</si>
  <si>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</si>
  <si>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</si>
  <si>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</si>
  <si>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</si>
  <si>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</si>
  <si>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</si>
  <si>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</si>
  <si>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</si>
  <si>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</si>
  <si>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</si>
  <si>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</si>
  <si>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</si>
  <si>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</si>
  <si>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</si>
  <si>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</si>
  <si>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</si>
  <si>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</si>
  <si>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</si>
  <si>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</si>
  <si>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</si>
  <si>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</si>
  <si>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</si>
  <si>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</si>
  <si>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</si>
  <si>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</si>
  <si>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</si>
  <si>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</si>
  <si>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</si>
  <si>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</si>
  <si>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</si>
  <si>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</si>
  <si>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</si>
  <si>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</si>
  <si>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</si>
  <si>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</si>
  <si>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</si>
  <si>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</si>
  <si>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</si>
  <si>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</si>
  <si>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</si>
  <si>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</si>
  <si>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</si>
  <si>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</si>
  <si>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</si>
  <si>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</si>
  <si>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</si>
  <si>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</si>
  <si>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</si>
  <si>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</si>
  <si>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</si>
  <si>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</si>
  <si>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</si>
  <si>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</si>
  <si>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</si>
  <si>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</si>
  <si>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</si>
  <si>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</si>
  <si>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</si>
  <si>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</si>
  <si>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</si>
  <si>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</si>
  <si>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</si>
  <si>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</si>
  <si>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</si>
  <si>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</si>
  <si>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</si>
  <si>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</si>
  <si>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</si>
  <si>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</si>
  <si>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</si>
  <si>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</si>
  <si>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</si>
  <si>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</si>
  <si>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</si>
  <si>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</si>
  <si>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</si>
  <si>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</si>
  <si>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</si>
  <si>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</si>
  <si>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</si>
  <si>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</si>
  <si>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</si>
  <si>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</si>
  <si>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</si>
  <si>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</si>
  <si>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</si>
  <si>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</si>
  <si>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</si>
  <si>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</si>
  <si>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</si>
  <si>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</si>
  <si>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</si>
  <si>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</si>
  <si>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</si>
  <si>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</si>
  <si>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</si>
  <si>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</si>
  <si>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</si>
  <si>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</si>
  <si>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</si>
  <si>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</si>
  <si>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</si>
  <si>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</si>
  <si>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</si>
  <si>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</si>
  <si>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</si>
  <si>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</si>
  <si>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</si>
  <si>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</si>
  <si>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</si>
  <si>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</si>
  <si>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</si>
  <si>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</si>
  <si>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</si>
  <si>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</si>
  <si>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</si>
  <si>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</si>
  <si>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</si>
  <si>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</si>
  <si>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</si>
  <si>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</si>
  <si>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</si>
  <si>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</si>
  <si>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</si>
  <si>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</si>
  <si>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</si>
  <si>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</si>
  <si>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</si>
  <si>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</si>
  <si>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</si>
  <si>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</si>
  <si>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</si>
  <si>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</si>
  <si>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</si>
  <si>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</si>
  <si>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</si>
  <si>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</si>
  <si>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</si>
  <si>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</si>
  <si>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</si>
  <si>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</si>
  <si>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</si>
  <si>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</si>
  <si>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</si>
  <si>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</si>
  <si>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</si>
  <si>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</si>
  <si>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</si>
  <si>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</si>
  <si>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</si>
  <si>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</si>
  <si>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</si>
  <si>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</si>
  <si>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</si>
  <si>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</si>
  <si>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</si>
  <si>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</si>
  <si>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</si>
  <si>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</si>
  <si>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</si>
  <si>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</si>
  <si>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</si>
  <si>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</si>
  <si>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</si>
  <si>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</si>
  <si>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</si>
  <si>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</si>
  <si>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</si>
  <si>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</si>
  <si>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</si>
  <si>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</si>
  <si>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</si>
  <si>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</si>
  <si>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</si>
  <si>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</si>
  <si>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</si>
  <si>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</si>
  <si>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</si>
  <si>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</si>
  <si>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</si>
  <si>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</si>
  <si>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</si>
  <si>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</si>
  <si>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</si>
  <si>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</si>
  <si>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</si>
  <si>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</si>
  <si>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</si>
  <si>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</si>
  <si>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</si>
  <si>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</si>
  <si>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</si>
  <si>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</si>
  <si>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</si>
  <si>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</si>
  <si>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</si>
  <si>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</si>
  <si>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</si>
  <si>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</si>
  <si>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</si>
  <si>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</si>
  <si>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</si>
  <si>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</si>
  <si>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</si>
  <si>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</si>
  <si>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</si>
  <si>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</si>
  <si>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</si>
  <si>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</si>
  <si>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</si>
  <si>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</si>
  <si>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</si>
  <si>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</si>
  <si>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</si>
  <si>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</si>
  <si>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</si>
  <si>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</si>
  <si>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</si>
  <si>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</si>
  <si>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</si>
  <si>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</si>
  <si>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</si>
  <si>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</si>
  <si>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</si>
  <si>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</si>
  <si>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</si>
  <si>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</si>
  <si>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</si>
  <si>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</si>
  <si>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</si>
  <si>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</si>
  <si>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</si>
  <si>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</si>
  <si>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</si>
  <si>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</si>
  <si>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</si>
  <si>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</si>
  <si>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</si>
  <si>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</si>
  <si>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</si>
  <si>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</si>
  <si>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</si>
  <si>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</si>
  <si>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</si>
  <si>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</si>
  <si>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</si>
  <si>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</si>
  <si>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</si>
  <si>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</si>
  <si>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</si>
  <si>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</si>
  <si>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</si>
  <si>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</si>
  <si>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</si>
  <si>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</si>
  <si>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</si>
  <si>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</si>
  <si>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</si>
  <si>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</si>
  <si>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</si>
  <si>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</si>
  <si>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</si>
  <si>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</si>
  <si>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</si>
  <si>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</si>
  <si>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</si>
  <si>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</si>
  <si>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</si>
  <si>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</si>
  <si>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</si>
  <si>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</si>
  <si>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</si>
  <si>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</si>
  <si>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</si>
  <si>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</si>
  <si>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</si>
  <si>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</si>
  <si>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</si>
  <si>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</si>
  <si>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</si>
  <si>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</si>
  <si>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</si>
  <si>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</si>
  <si>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</si>
  <si>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</si>
  <si>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</si>
  <si>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</si>
  <si>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</si>
  <si>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</si>
  <si>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</si>
  <si>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</si>
  <si>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</si>
  <si>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</si>
  <si>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</si>
  <si>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</si>
  <si>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</si>
  <si>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</si>
  <si>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</si>
  <si>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</si>
  <si>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</si>
  <si>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</si>
  <si>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</si>
  <si>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</si>
  <si>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</si>
  <si>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</si>
  <si>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</si>
  <si>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</si>
  <si>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</si>
  <si>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</si>
  <si>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</si>
  <si>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</si>
  <si>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</si>
  <si>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</si>
  <si>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</si>
  <si>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</si>
  <si>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</si>
  <si>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</si>
  <si>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</si>
  <si>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</si>
  <si>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</si>
  <si>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</si>
  <si>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</si>
  <si>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</si>
  <si>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</si>
  <si>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</si>
  <si>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</si>
  <si>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</si>
  <si>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</si>
  <si>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</si>
  <si>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</si>
  <si>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</si>
  <si>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</si>
  <si>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</si>
  <si>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</si>
  <si>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</si>
  <si>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</si>
  <si>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</si>
  <si>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</si>
  <si>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</si>
  <si>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</si>
  <si>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</si>
  <si>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</si>
  <si>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</si>
  <si>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</si>
  <si>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</si>
  <si>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</si>
  <si>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</si>
  <si>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</si>
  <si>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</si>
  <si>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</si>
  <si>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</si>
  <si>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</si>
  <si>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</si>
  <si>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</si>
  <si>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</si>
  <si>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</si>
  <si>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</si>
  <si>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</si>
  <si>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</si>
  <si>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</si>
  <si>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</si>
  <si>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</si>
  <si>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</si>
  <si>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</si>
  <si>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</si>
  <si>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</si>
  <si>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</si>
  <si>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</si>
  <si>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</si>
  <si>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</si>
  <si>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</si>
  <si>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</si>
  <si>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</si>
  <si>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</si>
  <si>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</si>
  <si>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</si>
  <si>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</si>
  <si>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</si>
  <si>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</si>
  <si>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</si>
  <si>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</si>
  <si>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</si>
  <si>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</si>
  <si>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</si>
  <si>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</si>
  <si>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</si>
  <si>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</si>
  <si>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</si>
  <si>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</si>
  <si>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</si>
  <si>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</si>
  <si>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</si>
  <si>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</si>
  <si>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</si>
  <si>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</si>
  <si>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</si>
  <si>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</si>
  <si>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</si>
  <si>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</si>
  <si>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</si>
  <si>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</si>
  <si>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</si>
  <si>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</si>
  <si>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</si>
  <si>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</si>
  <si>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</si>
  <si>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</si>
  <si>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</si>
  <si>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</si>
  <si>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</si>
  <si>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</si>
  <si>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</si>
  <si>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</si>
  <si>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</si>
  <si>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</si>
  <si>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</si>
  <si>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</si>
  <si>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</si>
  <si>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</si>
  <si>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</si>
  <si>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</si>
  <si>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</si>
  <si>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</si>
  <si>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</si>
  <si>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</si>
  <si>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</si>
  <si>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</si>
  <si>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</si>
  <si>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</si>
  <si>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</si>
  <si>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</si>
  <si>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</si>
  <si>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</si>
  <si>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</si>
  <si>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</si>
  <si>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</si>
  <si>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</si>
  <si>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</si>
  <si>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</si>
  <si>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</si>
  <si>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</si>
  <si>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</si>
  <si>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</si>
  <si>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</si>
  <si>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</si>
  <si>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</si>
  <si>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</si>
  <si>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</si>
  <si>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</si>
  <si>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</si>
  <si>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</si>
  <si>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</si>
  <si>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</si>
  <si>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</si>
  <si>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</si>
  <si>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</si>
  <si>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</si>
  <si>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</si>
  <si>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</si>
  <si>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</si>
  <si>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</si>
  <si>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</si>
  <si>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</si>
  <si>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</si>
  <si>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</si>
  <si>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</si>
  <si>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</si>
  <si>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</si>
  <si>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</si>
  <si>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</si>
  <si>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</si>
  <si>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</si>
  <si>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</si>
  <si>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</si>
  <si>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</si>
  <si>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</si>
  <si>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</si>
  <si>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</si>
  <si>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</si>
  <si>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</si>
  <si>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</si>
  <si>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</si>
  <si>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</si>
  <si>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</si>
  <si>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</si>
  <si>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</si>
  <si>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</si>
  <si>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</si>
  <si>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</si>
  <si>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</si>
  <si>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</si>
  <si>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</si>
  <si>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</si>
  <si>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</si>
  <si>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</si>
  <si>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</si>
  <si>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</si>
  <si>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</si>
  <si>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</si>
  <si>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</si>
  <si>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</si>
  <si>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</si>
  <si>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</si>
  <si>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</si>
  <si>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</si>
  <si>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</si>
  <si>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</si>
  <si>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</si>
  <si>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</si>
  <si>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</si>
  <si>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</si>
  <si>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</si>
  <si>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</si>
  <si>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</si>
  <si>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</si>
  <si>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</si>
  <si>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</si>
  <si>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</si>
  <si>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</si>
  <si>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</si>
  <si>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</si>
  <si>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</si>
  <si>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</si>
  <si>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</si>
  <si>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</si>
  <si>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</si>
  <si>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</si>
  <si>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</si>
  <si>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</si>
  <si>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</si>
  <si>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</si>
  <si>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</si>
  <si>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</si>
  <si>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</si>
  <si>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</si>
  <si>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</si>
  <si>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</si>
  <si>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</si>
  <si>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</si>
  <si>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</si>
  <si>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</si>
  <si>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</si>
  <si>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</si>
  <si>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</si>
  <si>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</si>
  <si>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</si>
  <si>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</si>
  <si>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</si>
  <si>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</si>
  <si>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</si>
  <si>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</si>
  <si>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</si>
  <si>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</si>
  <si>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</si>
  <si>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</si>
  <si>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</si>
  <si>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</si>
  <si>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</si>
  <si>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</si>
  <si>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</si>
  <si>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</si>
  <si>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</si>
  <si>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</si>
  <si>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</si>
  <si>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</si>
  <si>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</si>
  <si>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</si>
  <si>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</si>
  <si>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</si>
  <si>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</si>
  <si>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</si>
  <si>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</si>
  <si>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</si>
  <si>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</si>
  <si>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</si>
  <si>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</si>
  <si>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</si>
  <si>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</si>
  <si>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</si>
  <si>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</si>
  <si>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</si>
  <si>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</si>
  <si>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</si>
  <si>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</si>
  <si>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</si>
  <si>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</si>
  <si>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</si>
  <si>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</si>
  <si>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</si>
  <si>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</si>
  <si>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</si>
  <si>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</si>
  <si>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</si>
  <si>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</si>
  <si>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</si>
  <si>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</si>
  <si>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</si>
  <si>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</si>
  <si>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</si>
  <si>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</si>
  <si>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</si>
  <si>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</si>
  <si>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</si>
  <si>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</si>
  <si>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</si>
  <si>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</si>
  <si>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</si>
  <si>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</si>
  <si>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</si>
  <si>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</si>
  <si>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</si>
  <si>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</si>
  <si>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</si>
  <si>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</si>
  <si>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</si>
  <si>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</si>
  <si>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</si>
  <si>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</si>
  <si>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</si>
  <si>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</si>
  <si>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</si>
  <si>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</si>
  <si>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</si>
  <si>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</si>
  <si>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</si>
  <si>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</si>
  <si>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</si>
  <si>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</si>
  <si>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</si>
  <si>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</si>
  <si>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</si>
  <si>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</si>
  <si>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</si>
  <si>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</si>
  <si>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</si>
  <si>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</si>
  <si>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</si>
  <si>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</si>
  <si>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</si>
  <si>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</si>
  <si>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</si>
  <si>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</si>
  <si>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</si>
  <si>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</si>
  <si>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</si>
  <si>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</si>
  <si>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</si>
  <si>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</si>
  <si>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</si>
  <si>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</si>
  <si>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</si>
  <si>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</si>
  <si>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</si>
  <si>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</si>
  <si>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</si>
  <si>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</si>
  <si>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</si>
  <si>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</si>
  <si>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</si>
  <si>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</si>
  <si>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</si>
  <si>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</si>
  <si>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</si>
  <si>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</si>
  <si>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</si>
  <si>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</si>
  <si>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</si>
  <si>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</si>
  <si>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</si>
  <si>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</si>
  <si>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</si>
  <si>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</si>
  <si>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</si>
  <si>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</si>
  <si>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</si>
  <si>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</si>
  <si>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</si>
  <si>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</si>
  <si>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</si>
  <si>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</si>
  <si>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</si>
  <si>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</si>
  <si>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</si>
  <si>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</si>
  <si>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</si>
  <si>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</si>
  <si>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</si>
  <si>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</si>
  <si>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</si>
  <si>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</si>
  <si>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</si>
  <si>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</si>
  <si>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</si>
  <si>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</si>
  <si>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</si>
  <si>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</si>
  <si>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</si>
  <si>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</si>
  <si>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</si>
  <si>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</si>
  <si>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</si>
  <si>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</si>
  <si>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</si>
  <si>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</si>
  <si>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</si>
  <si>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</si>
  <si>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</si>
  <si>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</si>
  <si>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</si>
  <si>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</si>
  <si>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</si>
  <si>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</si>
  <si>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</si>
  <si>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</si>
  <si>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</si>
  <si>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</si>
  <si>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</si>
  <si>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</si>
  <si>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</si>
  <si>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</si>
  <si>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</si>
  <si>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</si>
  <si>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</si>
  <si>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</si>
  <si>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</si>
  <si>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</si>
  <si>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</si>
  <si>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</si>
  <si>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</si>
  <si>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</si>
  <si>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</si>
  <si>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</si>
  <si>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</si>
  <si>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</si>
  <si>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</si>
  <si>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</si>
  <si>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</si>
  <si>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</si>
  <si>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</si>
  <si>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</si>
  <si>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</si>
  <si>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</si>
  <si>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</si>
  <si>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</si>
  <si>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</si>
  <si>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</si>
  <si>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</si>
  <si>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</si>
  <si>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</si>
  <si>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</si>
  <si>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</si>
  <si>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</si>
  <si>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</si>
  <si>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</si>
  <si>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</si>
  <si>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</si>
  <si>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</si>
  <si>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</si>
  <si>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</si>
  <si>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</si>
  <si>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</si>
  <si>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</si>
  <si>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</si>
  <si>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</si>
  <si>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</si>
  <si>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</si>
  <si>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</si>
  <si>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</si>
  <si>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</si>
  <si>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</si>
  <si>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</si>
  <si>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</si>
  <si>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</si>
  <si>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</si>
  <si>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</si>
  <si>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</si>
  <si>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</si>
  <si>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</si>
  <si>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</si>
  <si>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</si>
  <si>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</si>
  <si>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</si>
  <si>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</si>
  <si>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</si>
  <si>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</si>
  <si>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</si>
  <si>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</si>
  <si>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</si>
  <si>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</si>
  <si>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</si>
  <si>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</si>
  <si>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</si>
  <si>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</si>
  <si>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</si>
  <si>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</si>
  <si>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</si>
  <si>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</si>
  <si>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</si>
  <si>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</si>
  <si>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</si>
  <si>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</si>
  <si>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</si>
  <si>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</si>
  <si>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</si>
  <si>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</si>
  <si>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</si>
  <si>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</si>
  <si>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</si>
  <si>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</si>
  <si>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</si>
  <si>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</si>
  <si>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</si>
  <si>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</si>
  <si>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</si>
  <si>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</si>
  <si>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</si>
  <si>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</si>
  <si>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</si>
  <si>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</si>
  <si>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</si>
  <si>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</si>
  <si>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</si>
  <si>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</si>
  <si>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</si>
  <si>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</si>
  <si>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</si>
  <si>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</si>
  <si>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</si>
  <si>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</si>
  <si>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</si>
  <si>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</si>
  <si>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</si>
  <si>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</si>
  <si>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</si>
  <si>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</si>
  <si>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</si>
  <si>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</si>
  <si>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</si>
  <si>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</si>
  <si>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</si>
  <si>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</si>
  <si>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</si>
  <si>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</si>
  <si>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</si>
  <si>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</si>
  <si>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</si>
  <si>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</si>
  <si>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</si>
  <si>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</si>
  <si>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</si>
  <si>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</si>
  <si>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</si>
  <si>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</si>
  <si>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</si>
  <si>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</si>
  <si>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</si>
  <si>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</si>
  <si>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</si>
  <si>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</si>
  <si>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</si>
  <si>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</si>
  <si>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</si>
  <si>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</si>
  <si>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</si>
  <si>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</si>
  <si>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</si>
  <si>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</si>
  <si>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</si>
  <si>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</si>
  <si>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</si>
  <si>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</si>
  <si>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</si>
  <si>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</si>
  <si>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</si>
  <si>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</si>
  <si>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</si>
  <si>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</si>
  <si>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</si>
  <si>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</si>
  <si>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</si>
  <si>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</si>
  <si>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</si>
  <si>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</si>
  <si>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</si>
  <si>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</si>
  <si>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</si>
  <si>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</si>
  <si>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</si>
  <si>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</si>
  <si>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</si>
  <si>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</si>
  <si>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</si>
  <si>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</si>
  <si>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</si>
  <si>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</si>
  <si>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</si>
  <si>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</si>
  <si>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</si>
  <si>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</si>
  <si>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</si>
  <si>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</si>
  <si>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</si>
  <si>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</si>
  <si>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</si>
  <si>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</si>
  <si>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</si>
  <si>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</si>
  <si>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</si>
  <si>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</si>
  <si>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</si>
  <si>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</si>
  <si>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</si>
  <si>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</si>
  <si>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</si>
  <si>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</si>
  <si>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</si>
  <si>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</si>
  <si>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</si>
  <si>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</si>
  <si>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</si>
  <si>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</si>
  <si>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</si>
  <si>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</si>
  <si>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</si>
  <si>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</si>
  <si>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</si>
  <si>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</si>
  <si>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</si>
  <si>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</si>
  <si>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</si>
  <si>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</si>
  <si>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</si>
  <si>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</si>
  <si>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</si>
  <si>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</si>
  <si>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</si>
  <si>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</si>
  <si>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</si>
  <si>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</si>
  <si>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</si>
  <si>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</si>
  <si>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</si>
  <si>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</si>
  <si>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</si>
  <si>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</si>
  <si>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</si>
  <si>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</si>
  <si>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</si>
  <si>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</si>
  <si>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</si>
  <si>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</si>
  <si>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</si>
  <si>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</si>
  <si>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</si>
  <si>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</si>
  <si>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</si>
  <si>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</si>
  <si>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</si>
  <si>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</si>
  <si>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</si>
  <si>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</si>
  <si>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</si>
  <si>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</si>
  <si>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</si>
  <si>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</si>
  <si>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</si>
  <si>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</si>
  <si>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</si>
  <si>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</si>
  <si>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</si>
  <si>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</si>
  <si>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</si>
  <si>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</si>
  <si>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</si>
  <si>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</si>
  <si>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</si>
  <si>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</si>
  <si>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</si>
  <si>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</si>
  <si>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</si>
  <si>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</si>
  <si>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</si>
  <si>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</si>
  <si>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</si>
  <si>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</si>
  <si>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</si>
  <si>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</si>
  <si>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</si>
  <si>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</si>
  <si>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</si>
  <si>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</si>
  <si>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</si>
  <si>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</si>
  <si>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</si>
  <si>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</si>
  <si>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</si>
  <si>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</si>
  <si>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</si>
  <si>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</si>
  <si>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</si>
  <si>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</si>
  <si>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</si>
  <si>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</si>
  <si>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</si>
  <si>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</si>
  <si>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</si>
  <si>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</si>
  <si>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</si>
  <si>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</si>
  <si>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</si>
  <si>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</si>
  <si>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</si>
  <si>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</si>
  <si>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</si>
  <si>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</si>
  <si>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</si>
  <si>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</si>
  <si>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</si>
  <si>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</si>
  <si>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</si>
  <si>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</si>
  <si>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</si>
  <si>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</si>
  <si>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</si>
  <si>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</si>
  <si>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</si>
  <si>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</si>
  <si>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</si>
  <si>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</si>
  <si>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</si>
  <si>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</si>
  <si>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</si>
  <si>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</si>
  <si>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</si>
  <si>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</si>
  <si>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</si>
  <si>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</si>
  <si>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</si>
  <si>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</si>
  <si>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</si>
  <si>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</si>
  <si>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</si>
  <si>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</si>
  <si>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</si>
  <si>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</si>
  <si>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</si>
  <si>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</si>
  <si>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</si>
  <si>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</si>
  <si>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</si>
  <si>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</si>
  <si>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</si>
  <si>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</si>
  <si>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</si>
  <si>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</si>
  <si>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</si>
  <si>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</si>
  <si>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</si>
  <si>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</si>
  <si>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</si>
  <si>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</si>
  <si>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</si>
  <si>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</si>
  <si>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</si>
  <si>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</si>
  <si>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</si>
  <si>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</si>
  <si>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</si>
  <si>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</si>
  <si>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</si>
  <si>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</si>
  <si>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</si>
  <si>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</si>
  <si>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</si>
  <si>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</si>
  <si>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</si>
  <si>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</si>
  <si>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</si>
  <si>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</si>
  <si>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</si>
  <si>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</si>
  <si>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</si>
  <si>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</si>
  <si>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</si>
  <si>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</si>
  <si>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</si>
  <si>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</si>
  <si>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</si>
  <si>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</si>
  <si>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</si>
  <si>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</si>
  <si>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</si>
  <si>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</si>
  <si>
    <t>商业</t>
  </si>
  <si>
    <t>商服用房</t>
  </si>
  <si>
    <t>商服用房</t>
    <phoneticPr fontId="14" type="noConversion"/>
  </si>
  <si>
    <t>地下商服</t>
  </si>
  <si>
    <t>地下商服</t>
    <phoneticPr fontId="7" type="noConversion"/>
  </si>
  <si>
    <t>地下商业</t>
  </si>
  <si>
    <t>商服</t>
    <phoneticPr fontId="227" type="noConversion"/>
  </si>
  <si>
    <t>地上单价</t>
    <phoneticPr fontId="9" type="noConversion"/>
  </si>
  <si>
    <t>地下仓储</t>
    <phoneticPr fontId="9" type="noConversion"/>
  </si>
  <si>
    <t>地下车库</t>
    <phoneticPr fontId="9" type="noConversion"/>
  </si>
  <si>
    <t>地下商服</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</si>
</sst>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178" fontId="80" fillId="0" borderId="2" xfId="2" applyNumberFormat="1" applyFont="1" applyFill="1" applyBorder="1" applyAlignment="1" applyProtection="1">
      <alignment vertical="center"/>
      <protection locked="0"/>
    </xf>
    <xf numFmtId="0" fontId="166" fillId="5" borderId="0" xfId="0" applyFont="1" applyFill="1" applyProtection="1">
      <alignment vertical="center"/>
      <protection locked="0"/>
    </xf>
    <xf numFmtId="1" fontId="148" fillId="5" borderId="0" xfId="0" applyNumberFormat="1" applyFont="1" applyFill="1" applyAlignment="1" applyProtection="1">
      <alignment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70" fillId="5" borderId="5"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83"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北京市北京市昌平区东小口马连店1803-610地块R2二类居住用地出让国有建设用地使用权抵押价格预评估</v>
      </c>
      <c r="AX2" s="2609"/>
      <c r="AZ2" s="2609"/>
      <c r="BA2" s="2610"/>
      <c r="BC2" s="2610"/>
    </row>
    <row r="3" spans="1:55" s="2611" customFormat="1">
      <c r="A3" s="2590" t="s">
        <v>2617</v>
      </c>
      <c r="B3" s="2593" t="str">
        <f>'预评函-封皮'!B40</f>
        <v>兴业银行</v>
      </c>
    </row>
    <row r="4" spans="1:55" s="2592" customFormat="1">
      <c r="A4" s="2590" t="s">
        <v>2618</v>
      </c>
      <c r="B4" s="2591" t="str">
        <f>'预评函-封皮'!B46</f>
        <v>吴薇、崔锴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受贵公司委托，我公司对北京市北京市昌平区东小口马连店1803-610地块R2二类居住用地出让国有建设用地使用权抵押价格进行了预评估。</v>
      </c>
      <c r="AM6" s="2615"/>
    </row>
    <row r="7" spans="1:55" s="2589" customFormat="1">
      <c r="A7" s="2590" t="s">
        <v>2613</v>
      </c>
      <c r="B7" s="2591"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根据《国有土地使用证》[]，估价对象（分摊）出让国有建设用地使用权面积为19077.81平方米。根据《建设工程规划许可证》[]、《出让合同》[]，估价对象规划建筑面积为82153.72平方米。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19077.810000000001</v>
      </c>
    </row>
    <row r="44" spans="1:2">
      <c r="A44" s="2590" t="s">
        <v>2696</v>
      </c>
      <c r="B44" s="2591" t="str">
        <f>'预评函-2'!O3</f>
        <v>规划建筑面积/㎡</v>
      </c>
    </row>
    <row r="45" spans="1:2">
      <c r="A45" s="2590" t="s">
        <v>2678</v>
      </c>
      <c r="B45" s="2591">
        <f>'预评函-2'!O5</f>
        <v>82153.719999999972</v>
      </c>
    </row>
    <row r="46" spans="1:2">
      <c r="A46" s="2590" t="s">
        <v>2679</v>
      </c>
      <c r="B46" s="2591">
        <f ca="1">'预评函-2'!P5</f>
        <v>122277</v>
      </c>
    </row>
    <row r="47" spans="1:2">
      <c r="A47" s="2590" t="s">
        <v>2680</v>
      </c>
      <c r="B47" s="2591">
        <f ca="1">'预评函-2'!Q5</f>
        <v>28395</v>
      </c>
    </row>
    <row r="48" spans="1:2">
      <c r="A48" s="2590" t="s">
        <v>2681</v>
      </c>
      <c r="B48" s="2591">
        <f ca="1">'预评函-2'!R5</f>
        <v>233278</v>
      </c>
    </row>
    <row r="49" spans="1:2">
      <c r="A49" s="2590" t="s">
        <v>2697</v>
      </c>
      <c r="B49" s="2591" t="str">
        <f>'预评函-2'!A6</f>
        <v>抵押价格</v>
      </c>
    </row>
    <row r="50" spans="1:2">
      <c r="A50" s="2590" t="s">
        <v>2682</v>
      </c>
      <c r="B50" s="2591">
        <f ca="1">'预评函-2'!R6</f>
        <v>233278</v>
      </c>
    </row>
    <row r="51" spans="1:2">
      <c r="A51" s="2590" t="s">
        <v>2698</v>
      </c>
      <c r="B51" s="2591" t="str">
        <f>'预评函-2'!A7</f>
        <v>——</v>
      </c>
    </row>
    <row r="52" spans="1:2">
      <c r="A52" s="2590" t="s">
        <v>2683</v>
      </c>
      <c r="B52" s="2591" t="str">
        <f>'预评函-2'!R7</f>
        <v>——</v>
      </c>
    </row>
    <row r="53" spans="1:2">
      <c r="A53" s="2590" t="s">
        <v>2699</v>
      </c>
      <c r="B53" s="2591" t="str">
        <f>'预评函-2'!A8</f>
        <v>抵押净值</v>
      </c>
    </row>
    <row r="54" spans="1:2" s="2605" customFormat="1" ht="15" thickBot="1">
      <c r="A54" s="2612" t="s">
        <v>2684</v>
      </c>
      <c r="B54" s="2613">
        <f ca="1">'预评函-2'!R8</f>
        <v>220942</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综上，本次评估不存在估价师知悉的法定优先受偿款</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719" t="str">
        <f>IF(B10="北京市","北京市",C10)&amp;F10&amp;B16&amp;"国有建设用地使用权"&amp;B9&amp;"预评估"</f>
        <v>北京市北京市昌平区东小口马连店1803-610地块R2二类居住用地出让国有建设用地使用权抵押价格预评估</v>
      </c>
      <c r="C1" s="3720"/>
      <c r="D1" s="3720"/>
      <c r="E1" s="3720"/>
      <c r="F1" s="3720"/>
      <c r="G1" s="3720"/>
      <c r="H1" s="3720"/>
      <c r="I1" s="3721"/>
      <c r="J1" s="3065"/>
      <c r="K1" s="2305" t="str">
        <f>IF(B10="北京市","北京市",C10)&amp;F10&amp;B16&amp;"国有建设用地使用权"&amp;B9</f>
        <v>北京市北京市昌平区东小口马连店1803-610地块R2二类居住用地出让国有建设用地使用权抵押价格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北京市北京市昌平区东小口马连店1803-610地块R2二类居住用地出让国有建设用地使用权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3154</v>
      </c>
      <c r="C4" s="1754">
        <f ca="1">SUMIF(土地估价师,B4,估价师及机构信息!E3:E16)</f>
        <v>2002110125</v>
      </c>
      <c r="D4" s="1751" t="s">
        <v>3155</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3156</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2930</v>
      </c>
      <c r="C8" s="1593"/>
      <c r="D8" s="3725" t="s">
        <v>1909</v>
      </c>
      <c r="E8" s="1752" t="s">
        <v>3157</v>
      </c>
      <c r="F8" s="1594"/>
      <c r="G8" s="3066"/>
      <c r="H8" s="3066"/>
      <c r="I8" s="3069"/>
      <c r="J8" s="3065"/>
      <c r="K8" s="3048"/>
      <c r="L8" s="3044"/>
      <c r="M8" s="3044"/>
      <c r="N8" s="3045"/>
      <c r="O8" s="3046"/>
      <c r="P8" s="3045"/>
      <c r="Q8" s="3045"/>
      <c r="R8" s="3045"/>
      <c r="S8" s="3045"/>
      <c r="T8" s="3045"/>
      <c r="U8" s="3045"/>
    </row>
    <row r="9" spans="1:21" ht="15" thickBot="1">
      <c r="A9" s="2990" t="s">
        <v>1908</v>
      </c>
      <c r="B9" s="1595" t="s">
        <v>3157</v>
      </c>
      <c r="C9" s="1596"/>
      <c r="D9" s="3726"/>
      <c r="E9" s="1595" t="s">
        <v>2809</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3160</v>
      </c>
      <c r="G10" s="1657"/>
      <c r="H10" s="1658"/>
      <c r="I10" s="1589"/>
      <c r="J10" s="3065"/>
      <c r="K10" s="3048"/>
      <c r="L10" s="3044"/>
      <c r="M10" s="3044"/>
      <c r="N10" s="3045"/>
      <c r="O10" s="3046"/>
      <c r="P10" s="3045"/>
      <c r="Q10" s="3045"/>
      <c r="R10" s="3045"/>
      <c r="S10" s="3045"/>
      <c r="T10" s="3045"/>
      <c r="U10" s="3045"/>
    </row>
    <row r="11" spans="1:21" ht="42.75">
      <c r="A11" s="2992" t="s">
        <v>1965</v>
      </c>
      <c r="B11" s="1614" t="s">
        <v>3158</v>
      </c>
      <c r="C11" s="1600" t="s">
        <v>3159</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722"/>
      <c r="C12" s="3723"/>
      <c r="D12" s="3724"/>
      <c r="E12" s="1615" t="s">
        <v>2026</v>
      </c>
      <c r="F12" s="3740" t="s">
        <v>2843</v>
      </c>
      <c r="G12" s="3741"/>
      <c r="H12" s="3741"/>
      <c r="I12" s="3742"/>
      <c r="J12" s="3065"/>
      <c r="K12" s="3048"/>
      <c r="L12" s="3044"/>
      <c r="M12" s="3044"/>
      <c r="N12" s="3045"/>
      <c r="O12" s="3046"/>
      <c r="P12" s="3045"/>
      <c r="Q12" s="3045"/>
      <c r="R12" s="3045"/>
      <c r="S12" s="3045"/>
      <c r="T12" s="3045"/>
      <c r="U12" s="3045"/>
    </row>
    <row r="13" spans="1:21">
      <c r="A13" s="1606" t="s">
        <v>2024</v>
      </c>
      <c r="B13" s="3722"/>
      <c r="C13" s="3723"/>
      <c r="D13" s="3724"/>
      <c r="E13" s="1615" t="s">
        <v>2026</v>
      </c>
      <c r="F13" s="3740" t="s">
        <v>2844</v>
      </c>
      <c r="G13" s="3741"/>
      <c r="H13" s="3741"/>
      <c r="I13" s="3742"/>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2925</v>
      </c>
      <c r="C16" s="1615" t="s">
        <v>1913</v>
      </c>
      <c r="D16" s="2483" t="s">
        <v>1914</v>
      </c>
      <c r="E16" s="1638" t="s">
        <v>3449</v>
      </c>
      <c r="F16" s="1638"/>
      <c r="G16" s="1638" t="s">
        <v>34</v>
      </c>
      <c r="H16" s="1638" t="s">
        <v>3304</v>
      </c>
      <c r="I16" s="1605" t="s">
        <v>1919</v>
      </c>
      <c r="J16" s="3065"/>
      <c r="K16" s="2306" t="str">
        <f>IF(D17="","",D16&amp;TEXT(D17,"yyyy年m月d日;;"))</f>
        <v>住宅2091年5月23日</v>
      </c>
      <c r="L16" s="1615" t="str">
        <f>IF(OR(K16="",M16=""),"","、")</f>
        <v>、</v>
      </c>
      <c r="M16" s="2306" t="str">
        <f>IF(E17="","",E16&amp;TEXT(E17,"yyyy年m月d日;;"))</f>
        <v>地下商业2061年5月23日</v>
      </c>
      <c r="N16" s="1615" t="str">
        <f>IF(OR(M16="",O16=""),"","、")</f>
        <v/>
      </c>
      <c r="O16" s="2306" t="str">
        <f>IF(F17="","",F16&amp;TEXT(F17,"yyyy年m月d日;;"))</f>
        <v/>
      </c>
      <c r="P16" s="1615" t="str">
        <f>IF(OR(O16="",Q16=""),"","、")</f>
        <v/>
      </c>
      <c r="Q16" s="2306" t="str">
        <f>IF(G17="","",G16&amp;TEXT(G17,"yyyy年m月d日;;"))</f>
        <v>地下车库2071年5月23日</v>
      </c>
      <c r="R16" s="1615" t="str">
        <f>IF(OR(Q16="",S16=""),"","、")</f>
        <v>、</v>
      </c>
      <c r="S16" s="2306" t="str">
        <f>IF(H17="","",H16&amp;TEXT(H17,"yyyy年m月d日;;"))</f>
        <v>地下仓储2071年5月23日</v>
      </c>
      <c r="T16" s="1615" t="str">
        <f>IF(OR(S16="",U16=""),"","、")</f>
        <v/>
      </c>
      <c r="U16" s="2306" t="str">
        <f>IF(I17="","",I16&amp;TEXT(I17,"yyyy年m月d日;;"))</f>
        <v/>
      </c>
    </row>
    <row r="17" spans="1:21">
      <c r="A17" s="1675"/>
      <c r="B17" s="1602"/>
      <c r="C17" s="2994" t="s">
        <v>1920</v>
      </c>
      <c r="D17" s="1616">
        <v>69906</v>
      </c>
      <c r="E17" s="1616">
        <v>58949</v>
      </c>
      <c r="F17" s="1616"/>
      <c r="G17" s="1616">
        <v>62601</v>
      </c>
      <c r="H17" s="1616">
        <v>62601</v>
      </c>
      <c r="I17" s="1616"/>
      <c r="J17" s="3065"/>
      <c r="K17" s="3043" t="str">
        <f>CONCATENATE(K16,L16,M16,N16,O16,P16,Q16,R16,S16,T16,,U16)</f>
        <v>住宅2091年5月23日、地下商业2061年5月23日地下车库2071年5月23日、地下仓储2071年5月23日</v>
      </c>
      <c r="L17" s="3044"/>
      <c r="M17" s="3044"/>
      <c r="N17" s="3045"/>
      <c r="O17" s="3046"/>
      <c r="P17" s="3045"/>
      <c r="Q17" s="3045"/>
      <c r="R17" s="3045"/>
      <c r="S17" s="3045"/>
      <c r="T17" s="3045"/>
      <c r="U17" s="3045"/>
    </row>
    <row r="18" spans="1:21">
      <c r="A18" s="1675"/>
      <c r="B18" s="1602"/>
      <c r="C18" s="2994" t="s">
        <v>1921</v>
      </c>
      <c r="D18" s="1603">
        <v>70</v>
      </c>
      <c r="E18" s="1603">
        <v>40</v>
      </c>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69.44</v>
      </c>
      <c r="E19" s="1604">
        <f>IF(B16="出让",IF(E17="","",ROUNDDOWN(MIN((E17-$D$3)/365,E18),2)),E18)</f>
        <v>39.43</v>
      </c>
      <c r="F19" s="1604" t="str">
        <f>IF(B16="出让",IF(F17="","",ROUNDDOWN(MIN((F17-$D$3)/365,F18),2)),F18)</f>
        <v/>
      </c>
      <c r="G19" s="1604">
        <f>IF(B16="出让",IF(G17="","",ROUNDDOWN(MIN((G17-$D$3)/365,G18),2)),G18)</f>
        <v>49.43</v>
      </c>
      <c r="H19" s="1604">
        <f>IF(B16="出让",IF(H17="","",ROUNDDOWN(MIN((H17-$D$3)/365,H18),2)),H18)</f>
        <v>49.43</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737"/>
      <c r="E20" s="3738"/>
      <c r="F20" s="3738"/>
      <c r="G20" s="3738"/>
      <c r="H20" s="3738"/>
      <c r="I20" s="3739"/>
      <c r="J20" s="3065"/>
      <c r="K20" s="3048"/>
      <c r="L20" s="3044"/>
      <c r="M20" s="3044"/>
      <c r="N20" s="3045"/>
      <c r="O20" s="3046"/>
      <c r="P20" s="3045"/>
      <c r="Q20" s="3045"/>
      <c r="R20" s="3045"/>
      <c r="S20" s="3045"/>
      <c r="T20" s="3045"/>
      <c r="U20" s="3045"/>
    </row>
    <row r="21" spans="1:21">
      <c r="A21" s="1675" t="s">
        <v>1923</v>
      </c>
      <c r="B21" s="1676" t="s">
        <v>1924</v>
      </c>
      <c r="C21" s="1671">
        <f>'数据-汇总表'!E3</f>
        <v>82153.719999999972</v>
      </c>
      <c r="D21" s="1672" t="s">
        <v>1925</v>
      </c>
      <c r="E21" s="3727" t="s">
        <v>1963</v>
      </c>
      <c r="F21" s="3728"/>
      <c r="G21" s="3728"/>
      <c r="H21" s="3728"/>
      <c r="I21" s="3729"/>
      <c r="J21" s="3065"/>
      <c r="K21" s="3048"/>
      <c r="L21" s="3044"/>
      <c r="M21" s="3044"/>
      <c r="N21" s="3045"/>
      <c r="O21" s="3046"/>
      <c r="P21" s="3045"/>
      <c r="Q21" s="3045"/>
      <c r="R21" s="3045"/>
      <c r="S21" s="3045"/>
      <c r="T21" s="3045"/>
      <c r="U21" s="3045"/>
    </row>
    <row r="22" spans="1:21">
      <c r="A22" s="2793" t="s">
        <v>920</v>
      </c>
      <c r="B22" s="1583" t="s">
        <v>1926</v>
      </c>
      <c r="C22" s="1605">
        <f>'数据-汇总表'!D3</f>
        <v>19077.810000000001</v>
      </c>
      <c r="D22" s="1606" t="s">
        <v>1925</v>
      </c>
      <c r="E22" s="3727" t="s">
        <v>2845</v>
      </c>
      <c r="F22" s="3728"/>
      <c r="G22" s="3728"/>
      <c r="H22" s="3728"/>
      <c r="I22" s="3729"/>
      <c r="J22" s="3065"/>
      <c r="K22" s="3048"/>
      <c r="L22" s="3044"/>
      <c r="M22" s="3044"/>
      <c r="N22" s="3045"/>
      <c r="O22" s="3046"/>
      <c r="P22" s="3045"/>
      <c r="Q22" s="3045"/>
      <c r="R22" s="3045"/>
      <c r="S22" s="3045"/>
      <c r="T22" s="3045"/>
      <c r="U22" s="3045"/>
    </row>
    <row r="23" spans="1:21" ht="43.5" thickBot="1">
      <c r="A23" s="1677" t="s">
        <v>1927</v>
      </c>
      <c r="B23" s="1617" t="s">
        <v>1928</v>
      </c>
      <c r="C23" s="1618" t="s">
        <v>3161</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730" t="s">
        <v>1931</v>
      </c>
      <c r="C24" s="3731"/>
      <c r="D24" s="3732" t="s">
        <v>1932</v>
      </c>
      <c r="E24" s="3733"/>
      <c r="F24" s="1624" t="s">
        <v>1933</v>
      </c>
      <c r="G24" s="3065"/>
      <c r="H24" s="3065"/>
      <c r="I24" s="3069"/>
      <c r="J24" s="3065"/>
      <c r="K24" s="3718"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718"/>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718"/>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745" t="s">
        <v>1966</v>
      </c>
      <c r="B31" s="1676" t="s">
        <v>1967</v>
      </c>
      <c r="C31" s="3743" t="s">
        <v>3162</v>
      </c>
      <c r="D31" s="3744"/>
      <c r="E31" s="3065"/>
      <c r="F31" s="3065"/>
      <c r="G31" s="3065"/>
      <c r="H31" s="3065"/>
      <c r="I31" s="3069"/>
      <c r="J31" s="3065"/>
      <c r="K31" s="3051"/>
      <c r="L31" s="3045"/>
      <c r="M31" s="3045"/>
      <c r="N31" s="3045"/>
      <c r="O31" s="3045"/>
      <c r="P31" s="3045"/>
      <c r="Q31" s="3045"/>
      <c r="R31" s="3045"/>
      <c r="S31" s="3045"/>
      <c r="T31" s="3045"/>
      <c r="U31" s="3045"/>
    </row>
    <row r="32" spans="1:21">
      <c r="A32" s="3745"/>
      <c r="B32" s="1583" t="s">
        <v>1968</v>
      </c>
      <c r="C32" s="1635" t="s">
        <v>3163</v>
      </c>
      <c r="D32" s="1636"/>
      <c r="E32" s="3065"/>
      <c r="F32" s="3065"/>
      <c r="G32" s="3065"/>
      <c r="H32" s="3065"/>
      <c r="I32" s="3069"/>
      <c r="J32" s="3065"/>
      <c r="K32" s="3051"/>
      <c r="L32" s="3045"/>
      <c r="M32" s="3045"/>
      <c r="N32" s="3045"/>
      <c r="O32" s="3045"/>
      <c r="P32" s="3045"/>
      <c r="Q32" s="3045"/>
      <c r="R32" s="3045"/>
      <c r="S32" s="3045"/>
      <c r="T32" s="3045"/>
      <c r="U32" s="3045"/>
    </row>
    <row r="33" spans="1:28">
      <c r="A33" s="3745"/>
      <c r="B33" s="1583" t="s">
        <v>1969</v>
      </c>
      <c r="C33" s="1637" t="s">
        <v>3161</v>
      </c>
      <c r="D33" s="1747"/>
      <c r="E33" s="3065"/>
      <c r="F33" s="3065"/>
      <c r="G33" s="3065"/>
      <c r="H33" s="3065"/>
      <c r="I33" s="3069"/>
      <c r="J33" s="3065"/>
      <c r="K33" s="3051"/>
      <c r="L33" s="3045"/>
      <c r="M33" s="3045"/>
      <c r="N33" s="3045"/>
      <c r="O33" s="3045"/>
      <c r="P33" s="3045"/>
      <c r="Q33" s="3045"/>
      <c r="R33" s="3045"/>
      <c r="S33" s="3045"/>
      <c r="T33" s="3045"/>
      <c r="U33" s="3045"/>
    </row>
    <row r="34" spans="1:28">
      <c r="A34" s="3746"/>
      <c r="B34" s="1583" t="s">
        <v>1970</v>
      </c>
      <c r="C34" s="3747"/>
      <c r="D34" s="3748"/>
      <c r="E34" s="3065"/>
      <c r="F34" s="3065"/>
      <c r="G34" s="3065"/>
      <c r="H34" s="3065"/>
      <c r="I34" s="3069"/>
      <c r="J34" s="3065"/>
      <c r="K34" s="3051"/>
      <c r="L34" s="3045"/>
      <c r="M34" s="3045"/>
      <c r="N34" s="3045"/>
      <c r="O34" s="3045"/>
      <c r="P34" s="3045"/>
      <c r="Q34" s="3045"/>
      <c r="R34" s="3045"/>
      <c r="S34" s="3045"/>
      <c r="T34" s="3045"/>
      <c r="U34" s="3045"/>
    </row>
    <row r="35" spans="1:28">
      <c r="A35" s="3749" t="s">
        <v>816</v>
      </c>
      <c r="B35" s="1638" t="s">
        <v>3164</v>
      </c>
      <c r="C35" s="1685" t="str">
        <f>IF(B35="场地平整","——","具体情况：")</f>
        <v>——</v>
      </c>
      <c r="D35" s="3751"/>
      <c r="E35" s="3752"/>
      <c r="F35" s="3752"/>
      <c r="G35" s="3752"/>
      <c r="H35" s="3752"/>
      <c r="I35" s="3753"/>
      <c r="J35" s="3065"/>
      <c r="K35" s="3052"/>
      <c r="L35" s="3044"/>
      <c r="M35" s="3044"/>
      <c r="N35" s="3045"/>
      <c r="O35" s="3046"/>
      <c r="P35" s="3045"/>
      <c r="Q35" s="3045"/>
      <c r="R35" s="3045"/>
      <c r="S35" s="3045"/>
      <c r="T35" s="3045"/>
      <c r="U35" s="3045"/>
    </row>
    <row r="36" spans="1:28">
      <c r="A36" s="3745"/>
      <c r="B36" s="3754" t="s">
        <v>2019</v>
      </c>
      <c r="C36" s="3755"/>
      <c r="D36" s="1701" t="s">
        <v>3165</v>
      </c>
      <c r="E36" s="3756"/>
      <c r="F36" s="3756"/>
      <c r="G36" s="1606" t="str">
        <f>IF(B35="场地未平整","估价结果处理","")</f>
        <v/>
      </c>
      <c r="H36" s="3757"/>
      <c r="I36" s="3757"/>
      <c r="J36" s="3065"/>
      <c r="K36" s="3052"/>
      <c r="L36" s="3044"/>
      <c r="M36" s="3044"/>
      <c r="N36" s="3045"/>
      <c r="O36" s="3046"/>
      <c r="P36" s="3045"/>
      <c r="Q36" s="3045"/>
      <c r="R36" s="3045"/>
      <c r="S36" s="3045"/>
      <c r="T36" s="3045"/>
      <c r="U36" s="3045"/>
    </row>
    <row r="37" spans="1:28" ht="28.5">
      <c r="A37" s="3745"/>
      <c r="B37" s="3734"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745"/>
      <c r="B38" s="3735"/>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746"/>
      <c r="B39" s="3736"/>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3166</v>
      </c>
      <c r="C40" s="1607" t="s">
        <v>3167</v>
      </c>
      <c r="D40" s="1607" t="s">
        <v>3168</v>
      </c>
      <c r="E40" s="1607" t="s">
        <v>3169</v>
      </c>
      <c r="F40" s="1607" t="s">
        <v>3178</v>
      </c>
      <c r="G40" s="1607" t="s">
        <v>3170</v>
      </c>
      <c r="H40" s="1607"/>
      <c r="I40" s="3069"/>
      <c r="J40" s="3065"/>
      <c r="K40" s="3013">
        <f>COUNTIF(B40:H40,"——")</f>
        <v>0</v>
      </c>
      <c r="L40" s="1615" t="s">
        <v>1943</v>
      </c>
      <c r="M40" s="1612" t="s">
        <v>1944</v>
      </c>
      <c r="N40" s="1612" t="s">
        <v>1945</v>
      </c>
      <c r="O40" s="1612" t="s">
        <v>1946</v>
      </c>
      <c r="P40" s="1612" t="s">
        <v>1947</v>
      </c>
      <c r="Q40" s="1612" t="s">
        <v>1948</v>
      </c>
      <c r="R40" s="1612" t="s">
        <v>1949</v>
      </c>
      <c r="S40" s="3717" t="s">
        <v>1950</v>
      </c>
      <c r="T40" s="1647" t="str">
        <f>NUMBERSTRING(7-K40,1)&amp;"通"</f>
        <v>七通</v>
      </c>
      <c r="U40" s="3045"/>
    </row>
    <row r="41" spans="1:28">
      <c r="A41" s="1585"/>
      <c r="B41" s="3750" t="s">
        <v>1688</v>
      </c>
      <c r="C41" s="3750"/>
      <c r="D41" s="3750"/>
      <c r="E41" s="3750"/>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717"/>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1277</v>
      </c>
      <c r="C44" s="1653" t="s">
        <v>1277</v>
      </c>
      <c r="D44" s="1653" t="s">
        <v>1277</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topLeftCell="A3" zoomScale="112" zoomScaleNormal="112" workbookViewId="0">
      <selection activeCell="L11" sqref="L11"/>
    </sheetView>
  </sheetViews>
  <sheetFormatPr defaultRowHeight="13.5"/>
  <cols>
    <col min="1" max="1" width="12.625" customWidth="1"/>
    <col min="2" max="2" width="9.5" bestFit="1" customWidth="1"/>
    <col min="3" max="3" width="12.375" customWidth="1"/>
    <col min="7" max="7" width="11.625" bestFit="1" customWidth="1"/>
    <col min="15" max="16" width="11.625" bestFit="1" customWidth="1"/>
  </cols>
  <sheetData>
    <row r="1" spans="1:16">
      <c r="A1" s="3758" t="s">
        <v>3285</v>
      </c>
      <c r="B1" s="3758" t="s">
        <v>3306</v>
      </c>
      <c r="C1" s="3759"/>
      <c r="D1" s="3759"/>
      <c r="E1" s="3759"/>
      <c r="F1" s="3759"/>
      <c r="G1" s="3759"/>
      <c r="H1" s="3759"/>
      <c r="I1" s="3759"/>
      <c r="J1" s="3759"/>
    </row>
    <row r="2" spans="1:16">
      <c r="A2" s="3758"/>
      <c r="B2" s="3332" t="s">
        <v>23</v>
      </c>
      <c r="C2" s="3760" t="s">
        <v>24</v>
      </c>
      <c r="D2" s="3760"/>
      <c r="E2" s="3760"/>
      <c r="F2" s="3760"/>
      <c r="G2" s="3760"/>
      <c r="H2" s="3759" t="s">
        <v>25</v>
      </c>
      <c r="I2" s="3759"/>
      <c r="J2" s="3759"/>
    </row>
    <row r="3" spans="1:16">
      <c r="A3" s="3758"/>
      <c r="B3" s="3332"/>
      <c r="C3" s="3333" t="s">
        <v>26</v>
      </c>
      <c r="D3" s="3331" t="s">
        <v>3286</v>
      </c>
      <c r="E3" s="3324" t="s">
        <v>3287</v>
      </c>
      <c r="F3" s="3324" t="s">
        <v>3450</v>
      </c>
      <c r="G3" s="3333" t="s">
        <v>3228</v>
      </c>
      <c r="H3" s="3332" t="s">
        <v>26</v>
      </c>
      <c r="I3" s="3332" t="s">
        <v>3288</v>
      </c>
      <c r="J3" s="3332" t="s">
        <v>2278</v>
      </c>
    </row>
    <row r="4" spans="1:16" ht="15" customHeight="1">
      <c r="A4" s="3325" t="str">
        <f>'数据-基础表'!C13</f>
        <v>1#住宅楼</v>
      </c>
      <c r="B4" s="3326">
        <f t="shared" ref="B4:B11" si="0">SUM(C4,H4)</f>
        <v>9314.83</v>
      </c>
      <c r="C4" s="3326">
        <f t="shared" ref="C4:C11" si="1">SUM(D4:G4)</f>
        <v>8776.35</v>
      </c>
      <c r="D4" s="3326">
        <f>'数据-基础表'!I13</f>
        <v>8776.35</v>
      </c>
      <c r="E4" s="3326">
        <f>'数据-基础表'!O13</f>
        <v>0</v>
      </c>
      <c r="F4" s="3326"/>
      <c r="G4" s="3326">
        <f>'数据-基础表'!M13</f>
        <v>0</v>
      </c>
      <c r="H4" s="3326">
        <f t="shared" ref="H4:H12" si="2">SUM(I4:J4)</f>
        <v>538.48</v>
      </c>
      <c r="I4" s="3326">
        <f>'数据-基础表'!AD13+'数据-基础表'!AF13+'数据-基础表'!AH13+'数据-基础表'!AJ13</f>
        <v>538.48</v>
      </c>
      <c r="J4" s="3326">
        <f>'数据-基础表'!AL13+'数据-基础表'!AN13</f>
        <v>0</v>
      </c>
    </row>
    <row r="5" spans="1:16" ht="15" customHeight="1">
      <c r="A5" s="3325" t="str">
        <f>'数据-基础表'!C14</f>
        <v>2#住宅楼</v>
      </c>
      <c r="B5" s="3326">
        <f t="shared" si="0"/>
        <v>12340.1</v>
      </c>
      <c r="C5" s="3326">
        <f t="shared" si="1"/>
        <v>11721.84</v>
      </c>
      <c r="D5" s="3326">
        <f>'数据-基础表'!I14</f>
        <v>11721.84</v>
      </c>
      <c r="E5" s="3326">
        <f>'数据-基础表'!O14</f>
        <v>0</v>
      </c>
      <c r="F5" s="3326"/>
      <c r="G5" s="3326">
        <f>'数据-基础表'!M14</f>
        <v>0</v>
      </c>
      <c r="H5" s="3326">
        <f t="shared" si="2"/>
        <v>618.26</v>
      </c>
      <c r="I5" s="3326">
        <f>'数据-基础表'!AD14+'数据-基础表'!AF14+'数据-基础表'!AH14+'数据-基础表'!AJ14</f>
        <v>516.66</v>
      </c>
      <c r="J5" s="3326">
        <f>'数据-基础表'!AL14+'数据-基础表'!AN14</f>
        <v>101.6</v>
      </c>
      <c r="O5">
        <v>338031000</v>
      </c>
    </row>
    <row r="6" spans="1:16" ht="15" customHeight="1">
      <c r="A6" s="3325" t="str">
        <f>'数据-基础表'!C15</f>
        <v>3#住宅楼</v>
      </c>
      <c r="B6" s="3326">
        <f t="shared" si="0"/>
        <v>22796.58</v>
      </c>
      <c r="C6" s="3326">
        <f t="shared" si="1"/>
        <v>22796.58</v>
      </c>
      <c r="D6" s="3326">
        <f>'数据-基础表'!I15</f>
        <v>21084</v>
      </c>
      <c r="E6" s="3326">
        <f>'数据-基础表'!O15</f>
        <v>1712.58</v>
      </c>
      <c r="F6" s="3326"/>
      <c r="G6" s="3326">
        <f>'数据-基础表'!M15</f>
        <v>0</v>
      </c>
      <c r="H6" s="3326">
        <f t="shared" si="2"/>
        <v>0</v>
      </c>
      <c r="I6" s="3326">
        <f>'数据-基础表'!AD15+'数据-基础表'!AF15+'数据-基础表'!AH15+'数据-基础表'!AJ15</f>
        <v>0</v>
      </c>
      <c r="J6" s="3326">
        <f>'数据-基础表'!AL15+'数据-基础表'!AN15</f>
        <v>0</v>
      </c>
      <c r="O6">
        <v>5202738</v>
      </c>
      <c r="P6" s="3239" t="s">
        <v>3443</v>
      </c>
    </row>
    <row r="7" spans="1:16" ht="15" customHeight="1">
      <c r="A7" s="3325" t="str">
        <f>'数据-基础表'!C16</f>
        <v>4#住宅楼</v>
      </c>
      <c r="B7" s="3326">
        <f t="shared" si="0"/>
        <v>12843.83</v>
      </c>
      <c r="C7" s="3326">
        <f t="shared" si="1"/>
        <v>12185.36</v>
      </c>
      <c r="D7" s="3326">
        <f>'数据-基础表'!I16</f>
        <v>11961.27</v>
      </c>
      <c r="E7" s="3326">
        <f>'数据-基础表'!O16</f>
        <v>224.09</v>
      </c>
      <c r="F7" s="3326"/>
      <c r="G7" s="3326">
        <f>'数据-基础表'!M16</f>
        <v>0</v>
      </c>
      <c r="H7" s="3326">
        <f t="shared" si="2"/>
        <v>658.47</v>
      </c>
      <c r="I7" s="3326">
        <f>'数据-基础表'!AD16+'数据-基础表'!AF16+'数据-基础表'!AH16+'数据-基础表'!AJ16</f>
        <v>658.47</v>
      </c>
      <c r="J7" s="3326">
        <f>'数据-基础表'!AL16+'数据-基础表'!AN16</f>
        <v>0</v>
      </c>
      <c r="O7">
        <v>1425305262</v>
      </c>
    </row>
    <row r="8" spans="1:16" ht="15" customHeight="1">
      <c r="A8" s="3325" t="str">
        <f>'数据-基础表'!C17</f>
        <v>5#住宅楼</v>
      </c>
      <c r="B8" s="3326">
        <f t="shared" si="0"/>
        <v>25366.37</v>
      </c>
      <c r="C8" s="3326">
        <f t="shared" si="1"/>
        <v>25366.37</v>
      </c>
      <c r="D8" s="3326">
        <f>'数据-基础表'!I17</f>
        <v>23686.16</v>
      </c>
      <c r="E8" s="3326">
        <f>'数据-基础表'!O17</f>
        <v>1680.21</v>
      </c>
      <c r="F8" s="3326"/>
      <c r="G8" s="3326">
        <f>'数据-基础表'!M17</f>
        <v>0</v>
      </c>
      <c r="H8" s="3326">
        <f t="shared" si="2"/>
        <v>0</v>
      </c>
      <c r="I8" s="3326">
        <f>'数据-基础表'!AD17+'数据-基础表'!AF17+'数据-基础表'!AH17+'数据-基础表'!AJ17</f>
        <v>0</v>
      </c>
      <c r="J8" s="3326">
        <f>'数据-基础表'!AL17+'数据-基础表'!AN17</f>
        <v>0</v>
      </c>
      <c r="O8">
        <v>69000</v>
      </c>
    </row>
    <row r="9" spans="1:16" ht="15" customHeight="1">
      <c r="A9" s="3325" t="str">
        <f>'数据-基础表'!C18</f>
        <v>6#住宅楼</v>
      </c>
      <c r="B9" s="3326">
        <f t="shared" si="0"/>
        <v>12843.84</v>
      </c>
      <c r="C9" s="3326">
        <f t="shared" si="1"/>
        <v>12185.37</v>
      </c>
      <c r="D9" s="3326">
        <f>'数据-基础表'!I18</f>
        <v>11961.27</v>
      </c>
      <c r="E9" s="3326">
        <f>'数据-基础表'!O18</f>
        <v>224.1</v>
      </c>
      <c r="F9" s="3326"/>
      <c r="G9" s="3326">
        <f>'数据-基础表'!M18</f>
        <v>0</v>
      </c>
      <c r="H9" s="3326">
        <f t="shared" si="2"/>
        <v>658.47</v>
      </c>
      <c r="I9" s="3326">
        <f>'数据-基础表'!AD18+'数据-基础表'!AF18+'数据-基础表'!AH18+'数据-基础表'!AJ18</f>
        <v>658.47</v>
      </c>
      <c r="J9" s="3326">
        <f>'数据-基础表'!AL18+'数据-基础表'!AN18</f>
        <v>0</v>
      </c>
      <c r="O9">
        <v>1062</v>
      </c>
      <c r="P9" s="3239" t="s">
        <v>3443</v>
      </c>
    </row>
    <row r="10" spans="1:16" ht="15" customHeight="1">
      <c r="A10" s="3325">
        <f>'数据-基础表'!C19</f>
        <v>0</v>
      </c>
      <c r="B10" s="3326">
        <f t="shared" si="0"/>
        <v>0</v>
      </c>
      <c r="C10" s="3326">
        <f t="shared" si="1"/>
        <v>0</v>
      </c>
      <c r="D10" s="3326">
        <f>'数据-基础表'!I19</f>
        <v>0</v>
      </c>
      <c r="E10" s="3326">
        <f>'数据-基础表'!O19</f>
        <v>0</v>
      </c>
      <c r="F10" s="3326"/>
      <c r="G10" s="3326">
        <f>'数据-基础表'!M19</f>
        <v>0</v>
      </c>
      <c r="H10" s="3326">
        <f t="shared" si="2"/>
        <v>0</v>
      </c>
      <c r="I10" s="3326">
        <f>'数据-基础表'!AD19+'数据-基础表'!AF19+'数据-基础表'!AH19+'数据-基础表'!AJ19</f>
        <v>0</v>
      </c>
      <c r="J10" s="3326">
        <f>'数据-基础表'!AL19+'数据-基础表'!AN19</f>
        <v>0</v>
      </c>
      <c r="O10">
        <v>290938</v>
      </c>
    </row>
    <row r="11" spans="1:16" ht="15" customHeight="1">
      <c r="A11" s="3325">
        <f>'数据-基础表'!C20</f>
        <v>0</v>
      </c>
      <c r="B11" s="3326">
        <f t="shared" si="0"/>
        <v>0</v>
      </c>
      <c r="C11" s="3326">
        <f t="shared" si="1"/>
        <v>0</v>
      </c>
      <c r="D11" s="3326">
        <f>'数据-基础表'!I20</f>
        <v>0</v>
      </c>
      <c r="E11" s="3326">
        <f>'数据-基础表'!O20</f>
        <v>0</v>
      </c>
      <c r="F11" s="3326"/>
      <c r="G11" s="3326">
        <f>'数据-基础表'!M20</f>
        <v>0</v>
      </c>
      <c r="H11" s="3326">
        <f t="shared" si="2"/>
        <v>0</v>
      </c>
      <c r="I11" s="3326">
        <f>'数据-基础表'!AD20+'数据-基础表'!AF20+'数据-基础表'!AH20+'数据-基础表'!AJ20</f>
        <v>0</v>
      </c>
      <c r="J11" s="3326">
        <f>'数据-基础表'!AL20+'数据-基础表'!AN20</f>
        <v>0</v>
      </c>
      <c r="O11">
        <v>5416200</v>
      </c>
      <c r="P11" s="3239" t="s">
        <v>3443</v>
      </c>
    </row>
    <row r="12" spans="1:16" ht="15" customHeight="1">
      <c r="A12" s="3325" t="str">
        <f>'数据-基础表'!C21</f>
        <v>D9#地下室</v>
      </c>
      <c r="B12" s="3326">
        <f>SUM(C12,H12)</f>
        <v>27421.57</v>
      </c>
      <c r="C12" s="3326">
        <f>SUM(D12:G12)</f>
        <v>26535</v>
      </c>
      <c r="D12" s="3326">
        <f>'数据-基础表'!I21</f>
        <v>0</v>
      </c>
      <c r="E12" s="3326">
        <f>'数据-基础表'!O21</f>
        <v>2509.37</v>
      </c>
      <c r="F12" s="3326">
        <f>'数据-基础表'!Q21</f>
        <v>1477.62</v>
      </c>
      <c r="G12" s="3326">
        <f>'数据-基础表'!M21</f>
        <v>22548.01</v>
      </c>
      <c r="H12" s="3326">
        <f t="shared" si="2"/>
        <v>886.56999999999994</v>
      </c>
      <c r="I12" s="3326">
        <f>'数据-基础表'!AD21+'数据-基础表'!AF21+'数据-基础表'!AH21+'数据-基础表'!AJ21</f>
        <v>55.18</v>
      </c>
      <c r="J12" s="3326">
        <f>'数据-基础表'!AL21+'数据-基础表'!AN21</f>
        <v>831.39</v>
      </c>
      <c r="O12">
        <v>351900000</v>
      </c>
    </row>
    <row r="13" spans="1:16" ht="15" customHeight="1">
      <c r="A13" s="3325" t="s">
        <v>3289</v>
      </c>
      <c r="B13" s="3326">
        <f>SUM(B4:B12)</f>
        <v>122927.12</v>
      </c>
      <c r="C13" s="3326">
        <f t="shared" ref="C13:J13" si="3">SUM(C4:C12)</f>
        <v>119566.87</v>
      </c>
      <c r="D13" s="3326">
        <f t="shared" si="3"/>
        <v>89190.890000000014</v>
      </c>
      <c r="E13" s="3326">
        <f t="shared" si="3"/>
        <v>6350.35</v>
      </c>
      <c r="F13" s="3326">
        <f t="shared" si="3"/>
        <v>1477.62</v>
      </c>
      <c r="G13" s="3326">
        <f t="shared" si="3"/>
        <v>22548.01</v>
      </c>
      <c r="H13" s="3326">
        <f t="shared" si="3"/>
        <v>3360.25</v>
      </c>
      <c r="I13" s="3326">
        <f t="shared" si="3"/>
        <v>2427.2599999999998</v>
      </c>
      <c r="J13" s="3326">
        <f t="shared" si="3"/>
        <v>932.99</v>
      </c>
      <c r="O13">
        <v>1483783800</v>
      </c>
    </row>
    <row r="16" spans="1:16">
      <c r="C16">
        <v>67805.490000000005</v>
      </c>
      <c r="O16">
        <v>2067437.52</v>
      </c>
      <c r="P16">
        <f>O16/0.03</f>
        <v>68914584</v>
      </c>
    </row>
    <row r="17" spans="2:16">
      <c r="D17">
        <v>40881</v>
      </c>
      <c r="O17">
        <v>73644000</v>
      </c>
      <c r="P17">
        <f>O17/0.03</f>
        <v>2454800000</v>
      </c>
    </row>
    <row r="18" spans="2:16">
      <c r="B18" s="3239" t="s">
        <v>3308</v>
      </c>
      <c r="C18">
        <v>1298</v>
      </c>
      <c r="D18">
        <v>0.7</v>
      </c>
      <c r="E18">
        <v>0.25</v>
      </c>
      <c r="G18" s="3338">
        <f>$D$17*C18*D18*E18/10000</f>
        <v>928.61191499999984</v>
      </c>
    </row>
    <row r="19" spans="2:16">
      <c r="B19" s="3239" t="s">
        <v>3309</v>
      </c>
      <c r="C19">
        <v>50</v>
      </c>
      <c r="D19">
        <v>0.25</v>
      </c>
      <c r="E19">
        <v>0.25</v>
      </c>
      <c r="G19" s="3338">
        <f t="shared" ref="G19:G21" si="4">$D$17*C19*D19*E19/10000</f>
        <v>12.7753125</v>
      </c>
    </row>
    <row r="20" spans="2:16">
      <c r="B20" s="3239" t="s">
        <v>3310</v>
      </c>
      <c r="C20">
        <v>4983.26</v>
      </c>
      <c r="D20">
        <v>0.25</v>
      </c>
      <c r="E20">
        <v>0.25</v>
      </c>
      <c r="G20" s="3338">
        <f t="shared" si="4"/>
        <v>1273.254075375</v>
      </c>
    </row>
    <row r="21" spans="2:16">
      <c r="B21" s="3239" t="s">
        <v>3311</v>
      </c>
      <c r="C21">
        <v>22880.15</v>
      </c>
      <c r="D21">
        <v>0.2</v>
      </c>
      <c r="E21">
        <v>0.25</v>
      </c>
      <c r="G21" s="3338">
        <f t="shared" si="4"/>
        <v>4676.8170607500006</v>
      </c>
    </row>
    <row r="22" spans="2:16">
      <c r="G22" s="3337">
        <f>SUM(G18:G21)</f>
        <v>6891.4583636250009</v>
      </c>
    </row>
  </sheetData>
  <mergeCells count="4">
    <mergeCell ref="A1:A3"/>
    <mergeCell ref="B1:J1"/>
    <mergeCell ref="C2:G2"/>
    <mergeCell ref="H2:J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Y3" sqref="AY3"/>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4">
        <v>31537.81</v>
      </c>
      <c r="B3" s="21">
        <f>IF(C3="否",G5-AT5,G5)</f>
        <v>122927.12</v>
      </c>
      <c r="C3" s="22" t="s">
        <v>3161</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v>19077.810000000001</v>
      </c>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122927.12</v>
      </c>
      <c r="H5" s="26">
        <f t="shared" ref="H5:AT5" si="0">SUM(H13:H641)</f>
        <v>119566.87</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1477.62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3360.25</v>
      </c>
      <c r="AD5" s="26">
        <f t="shared" si="0"/>
        <v>0</v>
      </c>
      <c r="AE5" s="26">
        <f t="shared" si="0"/>
        <v>0</v>
      </c>
      <c r="AF5" s="26">
        <f t="shared" si="0"/>
        <v>2372.08</v>
      </c>
      <c r="AG5" s="26">
        <f t="shared" si="0"/>
        <v>2372.08</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3"/>
      <c r="AV5" s="25" t="s">
        <v>146</v>
      </c>
      <c r="AW5" s="974"/>
      <c r="AX5" s="974"/>
      <c r="AY5" s="27" t="s">
        <v>3</v>
      </c>
      <c r="AZ5" s="28">
        <f t="shared" ref="AZ5:BT5" si="1">SUM(AZ13:AZ641)</f>
        <v>82153.719999999972</v>
      </c>
      <c r="BA5" s="28">
        <f t="shared" si="1"/>
        <v>82153.719999999972</v>
      </c>
      <c r="BB5" s="28">
        <f t="shared" si="1"/>
        <v>51777.739999999976</v>
      </c>
      <c r="BC5" s="28">
        <f t="shared" si="1"/>
        <v>0</v>
      </c>
      <c r="BD5" s="28">
        <f t="shared" si="1"/>
        <v>22548.01</v>
      </c>
      <c r="BE5" s="28">
        <f t="shared" si="1"/>
        <v>6350.35</v>
      </c>
      <c r="BF5" s="28">
        <f t="shared" si="1"/>
        <v>1477.62</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31537.809999999998</v>
      </c>
      <c r="F6" s="26" t="s">
        <v>1</v>
      </c>
      <c r="G6" s="26" t="s">
        <v>2</v>
      </c>
      <c r="H6" s="32">
        <f>SUMIF(I$12:AB$12,"总值",I6:AB6)</f>
        <v>30675.71</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379.09</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862.1</v>
      </c>
      <c r="AD6" s="26">
        <f t="shared" ref="AD6:AS6" si="3">ROUND($A$3*AD5/$B$3,2)</f>
        <v>0</v>
      </c>
      <c r="AE6" s="26">
        <f t="shared" si="3"/>
        <v>0</v>
      </c>
      <c r="AF6" s="26">
        <f t="shared" si="3"/>
        <v>608.57000000000005</v>
      </c>
      <c r="AG6" s="26">
        <f t="shared" si="3"/>
        <v>608.57000000000005</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19077.810000000001</v>
      </c>
      <c r="AZ6" s="26" t="s">
        <v>3</v>
      </c>
      <c r="BA6" s="26">
        <f>ROUND($AY$6*BA5/$AZ$5,2)</f>
        <v>19077.810000000001</v>
      </c>
      <c r="BB6" s="26">
        <f>ROUND($AY$6*BB5/$AZ$5,2)</f>
        <v>12023.87</v>
      </c>
      <c r="BC6" s="26">
        <f t="shared" ref="BC6:BH6" si="4">ROUND($AY$6*BC5/$AZ$5,2)</f>
        <v>0</v>
      </c>
      <c r="BD6" s="26">
        <f t="shared" si="4"/>
        <v>5236.12</v>
      </c>
      <c r="BE6" s="26">
        <f t="shared" si="4"/>
        <v>1474.68</v>
      </c>
      <c r="BF6" s="26">
        <f t="shared" si="4"/>
        <v>343.13</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3173</v>
      </c>
      <c r="J9" s="50"/>
      <c r="K9" s="2723" t="s">
        <v>3173</v>
      </c>
      <c r="L9" s="50"/>
      <c r="M9" s="2723" t="s">
        <v>3227</v>
      </c>
      <c r="N9" s="50"/>
      <c r="O9" s="58" t="s">
        <v>3227</v>
      </c>
      <c r="P9" s="50"/>
      <c r="Q9" s="58" t="s">
        <v>3227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3228</v>
      </c>
      <c r="N10" s="50"/>
      <c r="O10" s="65" t="s">
        <v>3296</v>
      </c>
      <c r="P10" s="50"/>
      <c r="Q10" s="65" t="s">
        <v>3444</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3174</v>
      </c>
      <c r="J11" s="70"/>
      <c r="K11" s="2724" t="s">
        <v>3172</v>
      </c>
      <c r="L11" s="70"/>
      <c r="M11" s="69" t="s">
        <v>34</v>
      </c>
      <c r="N11" s="70"/>
      <c r="O11" s="69" t="s">
        <v>3297</v>
      </c>
      <c r="P11" s="70"/>
      <c r="Q11" s="69" t="s">
        <v>3445</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商业</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公租房</v>
      </c>
      <c r="BD12" s="78" t="str">
        <f>M11</f>
        <v>地下车库</v>
      </c>
      <c r="BE12" s="49" t="str">
        <f>O11</f>
        <v>仓储用房</v>
      </c>
      <c r="BF12" s="49" t="str">
        <f>Q11</f>
        <v>商服用房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3339" t="s">
        <v>3290</v>
      </c>
      <c r="D13" s="2722" t="s">
        <v>3161</v>
      </c>
      <c r="E13" s="26">
        <f t="shared" ref="E13:E20" si="6">IF($C$3="是",ROUND($A$3*G13/$B$3,2),ROUND($A$3*(G13-AT13)/$B$3,2))</f>
        <v>2389.7800000000002</v>
      </c>
      <c r="F13" s="80"/>
      <c r="G13" s="81">
        <f t="shared" ref="G13:G20" si="7">H13+AC13+AT13</f>
        <v>9314.83</v>
      </c>
      <c r="H13" s="32">
        <f t="shared" ref="H13:H20" si="8">SUMIF(I$12:AB$12,"总值",I13:AB13)</f>
        <v>8776.35</v>
      </c>
      <c r="I13" s="3340">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7"/>
      <c r="AE13" s="3327"/>
      <c r="AF13" s="3327">
        <v>538.48</v>
      </c>
      <c r="AG13" s="3327">
        <v>538.48</v>
      </c>
      <c r="AH13" s="3327"/>
      <c r="AI13" s="3327"/>
      <c r="AJ13" s="3327"/>
      <c r="AK13" s="3327"/>
      <c r="AL13" s="3327"/>
      <c r="AM13" s="3327"/>
      <c r="AN13" s="3327"/>
      <c r="AO13" s="3327"/>
      <c r="AP13" s="3327"/>
      <c r="AQ13" s="3327"/>
      <c r="AR13" s="3327"/>
      <c r="AS13" s="2726"/>
      <c r="AT13" s="3328"/>
      <c r="AU13" s="2728"/>
      <c r="AV13" s="17">
        <f t="shared" ref="AV13:AX20" si="10">A13</f>
        <v>0</v>
      </c>
      <c r="AW13" s="17">
        <f t="shared" si="10"/>
        <v>0</v>
      </c>
      <c r="AX13" s="17" t="str">
        <f t="shared" si="10"/>
        <v>1#住宅楼</v>
      </c>
      <c r="AY13" s="98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1" t="s">
        <v>3430</v>
      </c>
      <c r="B14" s="2721" t="s">
        <v>3429</v>
      </c>
      <c r="C14" s="2721" t="s">
        <v>3291</v>
      </c>
      <c r="D14" s="2722" t="s">
        <v>3161</v>
      </c>
      <c r="E14" s="26">
        <f t="shared" si="6"/>
        <v>3165.94</v>
      </c>
      <c r="F14" s="80"/>
      <c r="G14" s="81">
        <f t="shared" si="7"/>
        <v>12340.1</v>
      </c>
      <c r="H14" s="32">
        <f t="shared" si="8"/>
        <v>11721.84</v>
      </c>
      <c r="I14" s="3340">
        <v>11721.84</v>
      </c>
      <c r="J14" s="82"/>
      <c r="K14" s="82"/>
      <c r="L14" s="82"/>
      <c r="M14" s="82"/>
      <c r="N14" s="82"/>
      <c r="O14" s="82"/>
      <c r="P14" s="82"/>
      <c r="Q14" s="82"/>
      <c r="R14" s="82"/>
      <c r="S14" s="82"/>
      <c r="T14" s="82"/>
      <c r="U14" s="82"/>
      <c r="V14" s="82"/>
      <c r="W14" s="82"/>
      <c r="X14" s="82"/>
      <c r="Y14" s="82"/>
      <c r="Z14" s="82"/>
      <c r="AA14" s="82"/>
      <c r="AB14" s="82"/>
      <c r="AC14" s="26">
        <f t="shared" si="9"/>
        <v>618.26</v>
      </c>
      <c r="AD14" s="3327"/>
      <c r="AE14" s="3327"/>
      <c r="AF14" s="3327">
        <v>516.66</v>
      </c>
      <c r="AG14" s="3327">
        <v>516.66</v>
      </c>
      <c r="AH14" s="3327"/>
      <c r="AI14" s="3327"/>
      <c r="AJ14" s="3327"/>
      <c r="AK14" s="3327"/>
      <c r="AL14" s="3327"/>
      <c r="AM14" s="3327"/>
      <c r="AN14" s="3327">
        <v>101.6</v>
      </c>
      <c r="AO14" s="3327">
        <v>101.6</v>
      </c>
      <c r="AP14" s="3327"/>
      <c r="AQ14" s="3327"/>
      <c r="AR14" s="3327"/>
      <c r="AS14" s="2726"/>
      <c r="AT14" s="3328"/>
      <c r="AU14" s="2728"/>
      <c r="AV14" s="17" t="str">
        <f t="shared" si="10"/>
        <v>未售仓储</v>
      </c>
      <c r="AW14" s="17" t="str">
        <f t="shared" si="10"/>
        <v>未售部分住宅</v>
      </c>
      <c r="AX14" s="17" t="str">
        <f t="shared" si="10"/>
        <v>2#住宅楼</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1" t="s">
        <v>3292</v>
      </c>
      <c r="D15" s="2722" t="s">
        <v>1646</v>
      </c>
      <c r="E15" s="26">
        <f t="shared" si="6"/>
        <v>5848.62</v>
      </c>
      <c r="F15" s="80"/>
      <c r="G15" s="81">
        <f t="shared" si="7"/>
        <v>22796.58</v>
      </c>
      <c r="H15" s="32">
        <f t="shared" si="8"/>
        <v>22796.58</v>
      </c>
      <c r="I15" s="82">
        <v>21084</v>
      </c>
      <c r="J15" s="3682">
        <v>885.36</v>
      </c>
      <c r="K15" s="82"/>
      <c r="L15" s="82"/>
      <c r="M15" s="82"/>
      <c r="N15" s="82"/>
      <c r="O15" s="82">
        <v>1712.58</v>
      </c>
      <c r="P15" s="82"/>
      <c r="Q15" s="82"/>
      <c r="R15" s="82"/>
      <c r="S15" s="82"/>
      <c r="T15" s="82"/>
      <c r="U15" s="82"/>
      <c r="V15" s="82"/>
      <c r="W15" s="82"/>
      <c r="X15" s="82"/>
      <c r="Y15" s="82"/>
      <c r="Z15" s="82"/>
      <c r="AA15" s="82"/>
      <c r="AB15" s="82"/>
      <c r="AC15" s="26">
        <f t="shared" si="9"/>
        <v>0</v>
      </c>
      <c r="AD15" s="3327"/>
      <c r="AE15" s="3327"/>
      <c r="AF15" s="3327"/>
      <c r="AG15" s="3327"/>
      <c r="AH15" s="3327"/>
      <c r="AI15" s="3327"/>
      <c r="AJ15" s="3327"/>
      <c r="AK15" s="3327"/>
      <c r="AL15" s="3327"/>
      <c r="AM15" s="3327"/>
      <c r="AN15" s="3327"/>
      <c r="AO15" s="3327"/>
      <c r="AP15" s="3327"/>
      <c r="AQ15" s="3327"/>
      <c r="AR15" s="3327"/>
      <c r="AS15" s="2726"/>
      <c r="AT15" s="3328"/>
      <c r="AU15" s="2728"/>
      <c r="AV15" s="17">
        <f t="shared" si="10"/>
        <v>1712.58</v>
      </c>
      <c r="AW15" s="17">
        <f t="shared" si="10"/>
        <v>20487.360000000026</v>
      </c>
      <c r="AX15" s="17" t="str">
        <f t="shared" si="10"/>
        <v>3#住宅楼</v>
      </c>
      <c r="AY15" s="981">
        <f t="shared" si="11"/>
        <v>5088.24</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1" t="s">
        <v>3293</v>
      </c>
      <c r="D16" s="2722" t="s">
        <v>1646</v>
      </c>
      <c r="E16" s="26">
        <f t="shared" si="6"/>
        <v>3295.17</v>
      </c>
      <c r="F16" s="80"/>
      <c r="G16" s="81">
        <f t="shared" si="7"/>
        <v>12843.83</v>
      </c>
      <c r="H16" s="32">
        <f t="shared" si="8"/>
        <v>12185.36</v>
      </c>
      <c r="I16" s="82">
        <v>11961.27</v>
      </c>
      <c r="J16" s="3682">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7"/>
      <c r="AE16" s="3327"/>
      <c r="AF16" s="3327">
        <v>658.47</v>
      </c>
      <c r="AG16" s="3327">
        <v>658.47</v>
      </c>
      <c r="AH16" s="3327"/>
      <c r="AI16" s="3327"/>
      <c r="AJ16" s="3327"/>
      <c r="AK16" s="3327"/>
      <c r="AL16" s="3327"/>
      <c r="AM16" s="3327"/>
      <c r="AN16" s="3327"/>
      <c r="AO16" s="3327"/>
      <c r="AP16" s="3327"/>
      <c r="AQ16" s="3327"/>
      <c r="AR16" s="3327"/>
      <c r="AS16" s="2726"/>
      <c r="AT16" s="3328"/>
      <c r="AU16" s="2728"/>
      <c r="AV16" s="17">
        <f t="shared" si="10"/>
        <v>224.09</v>
      </c>
      <c r="AW16" s="17">
        <f t="shared" si="10"/>
        <v>8648.8599999999915</v>
      </c>
      <c r="AX16" s="17" t="str">
        <f t="shared" si="10"/>
        <v>4#住宅楼</v>
      </c>
      <c r="AY16" s="981">
        <f t="shared" si="11"/>
        <v>1864.22</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39" t="s">
        <v>3294</v>
      </c>
      <c r="D17" s="2722" t="s">
        <v>1646</v>
      </c>
      <c r="E17" s="26">
        <f t="shared" si="6"/>
        <v>6507.92</v>
      </c>
      <c r="F17" s="80"/>
      <c r="G17" s="81">
        <f t="shared" si="7"/>
        <v>25366.37</v>
      </c>
      <c r="H17" s="32">
        <f t="shared" si="8"/>
        <v>25366.37</v>
      </c>
      <c r="I17" s="82">
        <v>23686.16</v>
      </c>
      <c r="J17" s="3682">
        <v>8431.2200000000066</v>
      </c>
      <c r="K17" s="82"/>
      <c r="L17" s="82"/>
      <c r="M17" s="82"/>
      <c r="N17" s="82"/>
      <c r="O17" s="82">
        <v>1680.21</v>
      </c>
      <c r="P17" s="82"/>
      <c r="Q17" s="82"/>
      <c r="R17" s="82"/>
      <c r="S17" s="82"/>
      <c r="T17" s="82"/>
      <c r="U17" s="82"/>
      <c r="V17" s="82"/>
      <c r="W17" s="82"/>
      <c r="X17" s="82"/>
      <c r="Y17" s="82"/>
      <c r="Z17" s="82"/>
      <c r="AA17" s="82"/>
      <c r="AB17" s="82"/>
      <c r="AC17" s="26">
        <f t="shared" si="9"/>
        <v>0</v>
      </c>
      <c r="AD17" s="3327"/>
      <c r="AE17" s="3327"/>
      <c r="AF17" s="3327"/>
      <c r="AG17" s="3327"/>
      <c r="AH17" s="3327"/>
      <c r="AI17" s="3327"/>
      <c r="AJ17" s="3327"/>
      <c r="AK17" s="3327"/>
      <c r="AL17" s="3327"/>
      <c r="AM17" s="3327"/>
      <c r="AN17" s="3327"/>
      <c r="AO17" s="3327"/>
      <c r="AP17" s="3327"/>
      <c r="AQ17" s="3327"/>
      <c r="AR17" s="3327"/>
      <c r="AS17" s="2726"/>
      <c r="AT17" s="2727"/>
      <c r="AU17" s="2728"/>
      <c r="AV17" s="17">
        <f t="shared" si="10"/>
        <v>1680.21</v>
      </c>
      <c r="AW17" s="17">
        <f t="shared" si="10"/>
        <v>17349.78</v>
      </c>
      <c r="AX17" s="17" t="str">
        <f t="shared" si="10"/>
        <v>5#住宅楼</v>
      </c>
      <c r="AY17" s="981">
        <f t="shared" si="11"/>
        <v>3932.7</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39" t="s">
        <v>3295</v>
      </c>
      <c r="D18" s="2722" t="s">
        <v>1646</v>
      </c>
      <c r="E18" s="86">
        <f t="shared" si="6"/>
        <v>3295.18</v>
      </c>
      <c r="F18" s="87"/>
      <c r="G18" s="88">
        <f t="shared" si="7"/>
        <v>12843.84</v>
      </c>
      <c r="H18" s="89">
        <f t="shared" si="8"/>
        <v>12185.37</v>
      </c>
      <c r="I18" s="82">
        <v>11961.27</v>
      </c>
      <c r="J18" s="3682">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7"/>
      <c r="AE18" s="3327"/>
      <c r="AF18" s="3327">
        <v>658.47</v>
      </c>
      <c r="AG18" s="3327">
        <v>658.47</v>
      </c>
      <c r="AH18" s="3327"/>
      <c r="AI18" s="3327"/>
      <c r="AJ18" s="3327"/>
      <c r="AK18" s="3327"/>
      <c r="AL18" s="3327"/>
      <c r="AM18" s="3327"/>
      <c r="AN18" s="3327"/>
      <c r="AO18" s="3327"/>
      <c r="AP18" s="3327"/>
      <c r="AQ18" s="3327"/>
      <c r="AR18" s="3327"/>
      <c r="AS18" s="91"/>
      <c r="AT18" s="92"/>
      <c r="AU18" s="93"/>
      <c r="AV18" s="977">
        <f t="shared" si="10"/>
        <v>224.1</v>
      </c>
      <c r="AW18" s="977">
        <f t="shared" si="10"/>
        <v>9486.9399999999896</v>
      </c>
      <c r="AX18" s="977" t="str">
        <f t="shared" si="10"/>
        <v>6#住宅楼</v>
      </c>
      <c r="AY18" s="94">
        <f t="shared" si="11"/>
        <v>2030.67</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7"/>
      <c r="AE19" s="3327"/>
      <c r="AF19" s="3327"/>
      <c r="AG19" s="3327"/>
      <c r="AH19" s="3327"/>
      <c r="AI19" s="3327"/>
      <c r="AJ19" s="3327"/>
      <c r="AK19" s="3327"/>
      <c r="AL19" s="3327"/>
      <c r="AM19" s="3327"/>
      <c r="AN19" s="3327"/>
      <c r="AO19" s="3327"/>
      <c r="AP19" s="3327"/>
      <c r="AQ19" s="3327"/>
      <c r="AR19" s="3327"/>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7"/>
      <c r="AE20" s="3327"/>
      <c r="AF20" s="3327"/>
      <c r="AG20" s="3327"/>
      <c r="AH20" s="3327"/>
      <c r="AI20" s="3327"/>
      <c r="AJ20" s="3327"/>
      <c r="AK20" s="3327"/>
      <c r="AL20" s="3327"/>
      <c r="AM20" s="3327"/>
      <c r="AN20" s="3327"/>
      <c r="AO20" s="3327"/>
      <c r="AP20" s="3327"/>
      <c r="AQ20" s="3327"/>
      <c r="AR20" s="3327"/>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3425</v>
      </c>
      <c r="B21" s="82">
        <v>22548.009999999973</v>
      </c>
      <c r="C21" s="2721" t="s">
        <v>3299</v>
      </c>
      <c r="D21" s="2722" t="s">
        <v>1646</v>
      </c>
      <c r="E21" s="86">
        <f t="shared" ref="E21:E112" si="33">IF($C$3="是",ROUND($A$3*G21/$B$3,2),ROUND($A$3*(G21-AT21)/$B$3,2))</f>
        <v>7035.2</v>
      </c>
      <c r="F21" s="87"/>
      <c r="G21" s="88">
        <f t="shared" ref="G21:G109" si="34">H21+AC21+AT21</f>
        <v>27421.569999999996</v>
      </c>
      <c r="H21" s="89">
        <f t="shared" ref="H21:H109" si="35">SUMIF(I$12:AB$12,"总值",I21:AB21)</f>
        <v>26534.999999999996</v>
      </c>
      <c r="I21" s="82"/>
      <c r="J21" s="82"/>
      <c r="K21" s="82"/>
      <c r="L21" s="82"/>
      <c r="M21" s="82">
        <v>22548.01</v>
      </c>
      <c r="N21" s="82"/>
      <c r="O21" s="82">
        <v>2509.37</v>
      </c>
      <c r="P21" s="82"/>
      <c r="Q21" s="90">
        <v>1477.62</v>
      </c>
      <c r="R21" s="90"/>
      <c r="S21" s="90"/>
      <c r="T21" s="90"/>
      <c r="U21" s="90"/>
      <c r="V21" s="90"/>
      <c r="W21" s="90"/>
      <c r="X21" s="90"/>
      <c r="Y21" s="90"/>
      <c r="Z21" s="90"/>
      <c r="AA21" s="90"/>
      <c r="AB21" s="90"/>
      <c r="AC21" s="86">
        <f t="shared" ref="AC21:AC109" si="36">SUMIF(AD$12:AS$12,"总值",AD21:AS21)</f>
        <v>886.56999999999994</v>
      </c>
      <c r="AD21" s="3327"/>
      <c r="AE21" s="3327"/>
      <c r="AF21" s="3327"/>
      <c r="AG21" s="3327"/>
      <c r="AH21" s="3327"/>
      <c r="AI21" s="3327"/>
      <c r="AJ21" s="3327">
        <v>55.18</v>
      </c>
      <c r="AK21" s="3327">
        <v>55.18</v>
      </c>
      <c r="AL21" s="3327"/>
      <c r="AM21" s="3327"/>
      <c r="AN21" s="3327">
        <f>24.83+508.7+230.13+33.73+34</f>
        <v>831.39</v>
      </c>
      <c r="AO21" s="3327">
        <f>24.83+508.7+230.13+33.73+34</f>
        <v>831.39</v>
      </c>
      <c r="AP21" s="3327"/>
      <c r="AQ21" s="3327"/>
      <c r="AR21" s="3327"/>
      <c r="AS21" s="91"/>
      <c r="AT21" s="3328"/>
      <c r="AU21" s="93"/>
      <c r="AV21" s="1888" t="e">
        <f>#REF!</f>
        <v>#REF!</v>
      </c>
      <c r="AW21" s="1888" t="e">
        <f>#REF!</f>
        <v>#REF!</v>
      </c>
      <c r="AX21" s="1888" t="str">
        <f t="shared" ref="AX21:AX112" si="37">C21</f>
        <v>D9#地下室</v>
      </c>
      <c r="AY21" s="94">
        <f t="shared" ref="AY21:AY109" si="38">ROUND($AY$6*AZ21/$AZ$5,2)</f>
        <v>6161.98</v>
      </c>
      <c r="AZ21" s="86">
        <f t="shared" ref="AZ21:AZ109" si="39">BA21+BL21</f>
        <v>26534.999999999996</v>
      </c>
      <c r="BA21" s="86">
        <f t="shared" ref="BA21:BA109" si="40">SUM(BB21:BK21)</f>
        <v>26534.999999999996</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1477.62</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1"/>
      <c r="D22" s="2722"/>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3328"/>
      <c r="AU22" s="93"/>
      <c r="AV22" s="1888" t="str">
        <f>A21</f>
        <v>车库</v>
      </c>
      <c r="AW22" s="1888">
        <f>B21</f>
        <v>22548.009999999973</v>
      </c>
      <c r="AX22" s="1888">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1"/>
      <c r="D23" s="2722"/>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8">
        <f t="shared" ref="AV23:AV112" si="60">A23</f>
        <v>0</v>
      </c>
      <c r="AW23" s="1888">
        <f t="shared" ref="AW23:AW112" si="61">B23</f>
        <v>0</v>
      </c>
      <c r="AX23" s="1888">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8"/>
      <c r="C24" s="2721"/>
      <c r="D24" s="2722"/>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8">
        <f t="shared" si="60"/>
        <v>0</v>
      </c>
      <c r="AW24" s="1888">
        <f t="shared" si="61"/>
        <v>0</v>
      </c>
      <c r="AX24" s="1888">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8"/>
      <c r="C25" s="2721"/>
      <c r="D25" s="2722"/>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8">
        <f t="shared" si="60"/>
        <v>0</v>
      </c>
      <c r="AW25" s="1888">
        <f t="shared" si="61"/>
        <v>0</v>
      </c>
      <c r="AX25" s="1888">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8"/>
      <c r="C26" s="2721"/>
      <c r="D26" s="2722"/>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8">
        <f t="shared" si="60"/>
        <v>0</v>
      </c>
      <c r="AW26" s="1888">
        <f t="shared" si="61"/>
        <v>0</v>
      </c>
      <c r="AX26" s="1888">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8">
        <f t="shared" si="60"/>
        <v>0</v>
      </c>
      <c r="AW27" s="1888">
        <f t="shared" si="61"/>
        <v>0</v>
      </c>
      <c r="AX27" s="1888">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8">
        <f t="shared" si="60"/>
        <v>0</v>
      </c>
      <c r="AW28" s="1888">
        <f t="shared" si="61"/>
        <v>0</v>
      </c>
      <c r="AX28" s="1888">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8">
        <f t="shared" si="60"/>
        <v>0</v>
      </c>
      <c r="AW29" s="1888">
        <f t="shared" si="61"/>
        <v>0</v>
      </c>
      <c r="AX29" s="1888">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8">
        <f t="shared" si="60"/>
        <v>0</v>
      </c>
      <c r="AW30" s="1888">
        <f t="shared" si="61"/>
        <v>0</v>
      </c>
      <c r="AX30" s="1888">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8">
        <f t="shared" si="60"/>
        <v>0</v>
      </c>
      <c r="AW31" s="1888">
        <f t="shared" si="61"/>
        <v>0</v>
      </c>
      <c r="AX31" s="1888">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8">
        <f t="shared" si="60"/>
        <v>0</v>
      </c>
      <c r="AW32" s="1888">
        <f t="shared" si="61"/>
        <v>0</v>
      </c>
      <c r="AX32" s="1888">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8">
        <f t="shared" si="60"/>
        <v>0</v>
      </c>
      <c r="AW33" s="1888">
        <f t="shared" si="61"/>
        <v>0</v>
      </c>
      <c r="AX33" s="1888">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8">
        <f t="shared" si="60"/>
        <v>0</v>
      </c>
      <c r="AW34" s="1888">
        <f t="shared" si="61"/>
        <v>0</v>
      </c>
      <c r="AX34" s="1888">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8">
        <f t="shared" si="60"/>
        <v>0</v>
      </c>
      <c r="AW35" s="1888">
        <f t="shared" si="61"/>
        <v>0</v>
      </c>
      <c r="AX35" s="1888">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8">
        <f t="shared" si="60"/>
        <v>0</v>
      </c>
      <c r="AW36" s="1888">
        <f t="shared" si="61"/>
        <v>0</v>
      </c>
      <c r="AX36" s="1888">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8">
        <f t="shared" si="60"/>
        <v>0</v>
      </c>
      <c r="AW37" s="1888">
        <f t="shared" si="61"/>
        <v>0</v>
      </c>
      <c r="AX37" s="1888">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8">
        <f t="shared" si="60"/>
        <v>0</v>
      </c>
      <c r="AW38" s="1888">
        <f t="shared" si="61"/>
        <v>0</v>
      </c>
      <c r="AX38" s="1888">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8">
        <f t="shared" si="60"/>
        <v>0</v>
      </c>
      <c r="AW39" s="1888">
        <f t="shared" si="61"/>
        <v>0</v>
      </c>
      <c r="AX39" s="1888">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8">
        <f t="shared" si="60"/>
        <v>0</v>
      </c>
      <c r="AW40" s="1888">
        <f t="shared" si="61"/>
        <v>0</v>
      </c>
      <c r="AX40" s="1888">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8">
        <f t="shared" si="60"/>
        <v>0</v>
      </c>
      <c r="AW41" s="1888">
        <f t="shared" si="61"/>
        <v>0</v>
      </c>
      <c r="AX41" s="1888">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8">
        <f t="shared" si="60"/>
        <v>0</v>
      </c>
      <c r="AW42" s="1888">
        <f t="shared" si="61"/>
        <v>0</v>
      </c>
      <c r="AX42" s="1888">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8">
        <f t="shared" si="60"/>
        <v>0</v>
      </c>
      <c r="AW43" s="1888">
        <f t="shared" si="61"/>
        <v>0</v>
      </c>
      <c r="AX43" s="1888">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8">
        <f t="shared" si="60"/>
        <v>0</v>
      </c>
      <c r="AW44" s="1888">
        <f t="shared" si="61"/>
        <v>0</v>
      </c>
      <c r="AX44" s="1888">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8">
        <f t="shared" si="60"/>
        <v>0</v>
      </c>
      <c r="AW45" s="1888">
        <f t="shared" si="61"/>
        <v>0</v>
      </c>
      <c r="AX45" s="1888">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8">
        <f t="shared" si="60"/>
        <v>0</v>
      </c>
      <c r="AW46" s="1888">
        <f t="shared" si="61"/>
        <v>0</v>
      </c>
      <c r="AX46" s="1888">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8">
        <f t="shared" si="60"/>
        <v>0</v>
      </c>
      <c r="AW47" s="1888">
        <f t="shared" si="61"/>
        <v>0</v>
      </c>
      <c r="AX47" s="1888">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8">
        <f t="shared" si="60"/>
        <v>0</v>
      </c>
      <c r="AW48" s="1888">
        <f t="shared" si="61"/>
        <v>0</v>
      </c>
      <c r="AX48" s="1888">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8">
        <f t="shared" si="60"/>
        <v>0</v>
      </c>
      <c r="AW49" s="1888">
        <f t="shared" si="61"/>
        <v>0</v>
      </c>
      <c r="AX49" s="1888">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8">
        <f t="shared" si="60"/>
        <v>0</v>
      </c>
      <c r="AW50" s="1888">
        <f t="shared" si="61"/>
        <v>0</v>
      </c>
      <c r="AX50" s="1888">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8">
        <f t="shared" si="60"/>
        <v>0</v>
      </c>
      <c r="AW51" s="1888">
        <f t="shared" si="61"/>
        <v>0</v>
      </c>
      <c r="AX51" s="1888">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8">
        <f t="shared" si="60"/>
        <v>0</v>
      </c>
      <c r="AW52" s="1888">
        <f t="shared" si="61"/>
        <v>0</v>
      </c>
      <c r="AX52" s="1888">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8">
        <f t="shared" si="60"/>
        <v>0</v>
      </c>
      <c r="AW53" s="1888">
        <f t="shared" si="61"/>
        <v>0</v>
      </c>
      <c r="AX53" s="1888">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8">
        <f t="shared" si="60"/>
        <v>0</v>
      </c>
      <c r="AW54" s="1888">
        <f t="shared" si="61"/>
        <v>0</v>
      </c>
      <c r="AX54" s="1888">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8">
        <f t="shared" si="60"/>
        <v>0</v>
      </c>
      <c r="AW55" s="1888">
        <f t="shared" si="61"/>
        <v>0</v>
      </c>
      <c r="AX55" s="1888">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60"/>
        <v>0</v>
      </c>
      <c r="AW56" s="1888">
        <f t="shared" si="61"/>
        <v>0</v>
      </c>
      <c r="AX56" s="1888">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60"/>
        <v>0</v>
      </c>
      <c r="AW57" s="1888">
        <f t="shared" si="61"/>
        <v>0</v>
      </c>
      <c r="AX57" s="1888">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60"/>
        <v>0</v>
      </c>
      <c r="AW58" s="1888">
        <f t="shared" si="61"/>
        <v>0</v>
      </c>
      <c r="AX58" s="1888">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60"/>
        <v>0</v>
      </c>
      <c r="AW59" s="1888">
        <f t="shared" si="61"/>
        <v>0</v>
      </c>
      <c r="AX59" s="1888">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60"/>
        <v>0</v>
      </c>
      <c r="AW60" s="1888">
        <f t="shared" si="61"/>
        <v>0</v>
      </c>
      <c r="AX60" s="1888">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60"/>
        <v>0</v>
      </c>
      <c r="AW61" s="1888">
        <f t="shared" si="61"/>
        <v>0</v>
      </c>
      <c r="AX61" s="1888">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60"/>
        <v>0</v>
      </c>
      <c r="AW62" s="1888">
        <f t="shared" si="61"/>
        <v>0</v>
      </c>
      <c r="AX62" s="1888">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60"/>
        <v>0</v>
      </c>
      <c r="AW63" s="1888">
        <f t="shared" si="61"/>
        <v>0</v>
      </c>
      <c r="AX63" s="1888">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60"/>
        <v>0</v>
      </c>
      <c r="AW64" s="1888">
        <f t="shared" si="61"/>
        <v>0</v>
      </c>
      <c r="AX64" s="1888">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60"/>
        <v>0</v>
      </c>
      <c r="AW65" s="1888">
        <f t="shared" si="61"/>
        <v>0</v>
      </c>
      <c r="AX65" s="1888">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60"/>
        <v>0</v>
      </c>
      <c r="AW66" s="1888">
        <f t="shared" si="61"/>
        <v>0</v>
      </c>
      <c r="AX66" s="1888">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60"/>
        <v>0</v>
      </c>
      <c r="AW67" s="1888">
        <f t="shared" si="61"/>
        <v>0</v>
      </c>
      <c r="AX67" s="1888">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60"/>
        <v>0</v>
      </c>
      <c r="AW68" s="1888">
        <f t="shared" si="61"/>
        <v>0</v>
      </c>
      <c r="AX68" s="1888">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60"/>
        <v>0</v>
      </c>
      <c r="AW69" s="1888">
        <f t="shared" si="61"/>
        <v>0</v>
      </c>
      <c r="AX69" s="1888">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60"/>
        <v>0</v>
      </c>
      <c r="AW70" s="1888">
        <f t="shared" si="61"/>
        <v>0</v>
      </c>
      <c r="AX70" s="1888">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60"/>
        <v>0</v>
      </c>
      <c r="AW71" s="1888">
        <f t="shared" si="61"/>
        <v>0</v>
      </c>
      <c r="AX71" s="1888">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60"/>
        <v>0</v>
      </c>
      <c r="AW72" s="1888">
        <f t="shared" si="61"/>
        <v>0</v>
      </c>
      <c r="AX72" s="1888">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60"/>
        <v>0</v>
      </c>
      <c r="AW73" s="1888">
        <f t="shared" si="61"/>
        <v>0</v>
      </c>
      <c r="AX73" s="1888">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60"/>
        <v>0</v>
      </c>
      <c r="AW74" s="1888">
        <f t="shared" si="61"/>
        <v>0</v>
      </c>
      <c r="AX74" s="1888">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60"/>
        <v>0</v>
      </c>
      <c r="AW75" s="1888">
        <f t="shared" si="61"/>
        <v>0</v>
      </c>
      <c r="AX75" s="1888">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60"/>
        <v>0</v>
      </c>
      <c r="AW76" s="1888">
        <f t="shared" si="61"/>
        <v>0</v>
      </c>
      <c r="AX76" s="1888">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60"/>
        <v>0</v>
      </c>
      <c r="AW77" s="1888">
        <f t="shared" si="61"/>
        <v>0</v>
      </c>
      <c r="AX77" s="1888">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60"/>
        <v>0</v>
      </c>
      <c r="AW78" s="1888">
        <f t="shared" si="61"/>
        <v>0</v>
      </c>
      <c r="AX78" s="1888">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60"/>
        <v>0</v>
      </c>
      <c r="AW79" s="1888">
        <f t="shared" si="61"/>
        <v>0</v>
      </c>
      <c r="AX79" s="1888">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60"/>
        <v>0</v>
      </c>
      <c r="AW80" s="1888">
        <f t="shared" si="61"/>
        <v>0</v>
      </c>
      <c r="AX80" s="1888">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60"/>
        <v>0</v>
      </c>
      <c r="AW81" s="1888">
        <f t="shared" si="61"/>
        <v>0</v>
      </c>
      <c r="AX81" s="1888">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60"/>
        <v>0</v>
      </c>
      <c r="AW82" s="1888">
        <f t="shared" si="61"/>
        <v>0</v>
      </c>
      <c r="AX82" s="1888">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60"/>
        <v>0</v>
      </c>
      <c r="AW83" s="1888">
        <f t="shared" si="61"/>
        <v>0</v>
      </c>
      <c r="AX83" s="1888">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60"/>
        <v>0</v>
      </c>
      <c r="AW84" s="1888">
        <f t="shared" si="61"/>
        <v>0</v>
      </c>
      <c r="AX84" s="1888">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60"/>
        <v>0</v>
      </c>
      <c r="AW85" s="1888">
        <f t="shared" si="61"/>
        <v>0</v>
      </c>
      <c r="AX85" s="1888">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60"/>
        <v>0</v>
      </c>
      <c r="AW86" s="1888">
        <f t="shared" si="61"/>
        <v>0</v>
      </c>
      <c r="AX86" s="1888">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60"/>
        <v>0</v>
      </c>
      <c r="AW87" s="1888">
        <f t="shared" si="61"/>
        <v>0</v>
      </c>
      <c r="AX87" s="1888">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60"/>
        <v>0</v>
      </c>
      <c r="AW88" s="1888">
        <f t="shared" si="61"/>
        <v>0</v>
      </c>
      <c r="AX88" s="1888">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60"/>
        <v>0</v>
      </c>
      <c r="AW89" s="1888">
        <f t="shared" si="61"/>
        <v>0</v>
      </c>
      <c r="AX89" s="1888">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60"/>
        <v>0</v>
      </c>
      <c r="AW90" s="1888">
        <f t="shared" si="61"/>
        <v>0</v>
      </c>
      <c r="AX90" s="1888">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60"/>
        <v>0</v>
      </c>
      <c r="AW91" s="1888">
        <f t="shared" si="61"/>
        <v>0</v>
      </c>
      <c r="AX91" s="1888">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60"/>
        <v>0</v>
      </c>
      <c r="AW92" s="1888">
        <f t="shared" si="61"/>
        <v>0</v>
      </c>
      <c r="AX92" s="1888">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60"/>
        <v>0</v>
      </c>
      <c r="AW93" s="1888">
        <f t="shared" si="61"/>
        <v>0</v>
      </c>
      <c r="AX93" s="1888">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60"/>
        <v>0</v>
      </c>
      <c r="AW94" s="1888">
        <f t="shared" si="61"/>
        <v>0</v>
      </c>
      <c r="AX94" s="1888">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60"/>
        <v>0</v>
      </c>
      <c r="AW95" s="1888">
        <f t="shared" si="61"/>
        <v>0</v>
      </c>
      <c r="AX95" s="1888">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60"/>
        <v>0</v>
      </c>
      <c r="AW96" s="1888">
        <f t="shared" si="61"/>
        <v>0</v>
      </c>
      <c r="AX96" s="1888">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60"/>
        <v>0</v>
      </c>
      <c r="AW97" s="1888">
        <f t="shared" si="61"/>
        <v>0</v>
      </c>
      <c r="AX97" s="1888">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60"/>
        <v>0</v>
      </c>
      <c r="AW98" s="1888">
        <f t="shared" si="61"/>
        <v>0</v>
      </c>
      <c r="AX98" s="1888">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60"/>
        <v>0</v>
      </c>
      <c r="AW99" s="1888">
        <f t="shared" si="61"/>
        <v>0</v>
      </c>
      <c r="AX99" s="1888">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60"/>
        <v>0</v>
      </c>
      <c r="AW100" s="1888">
        <f t="shared" si="61"/>
        <v>0</v>
      </c>
      <c r="AX100" s="1888">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60"/>
        <v>0</v>
      </c>
      <c r="AW101" s="1888">
        <f t="shared" si="61"/>
        <v>0</v>
      </c>
      <c r="AX101" s="1888">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60"/>
        <v>0</v>
      </c>
      <c r="AW102" s="1888">
        <f t="shared" si="61"/>
        <v>0</v>
      </c>
      <c r="AX102" s="1888">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60"/>
        <v>0</v>
      </c>
      <c r="AW103" s="1888">
        <f t="shared" si="61"/>
        <v>0</v>
      </c>
      <c r="AX103" s="1888">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60"/>
        <v>0</v>
      </c>
      <c r="AW104" s="1888">
        <f t="shared" si="61"/>
        <v>0</v>
      </c>
      <c r="AX104" s="1888">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60"/>
        <v>0</v>
      </c>
      <c r="AW105" s="1888">
        <f t="shared" si="61"/>
        <v>0</v>
      </c>
      <c r="AX105" s="1888">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60"/>
        <v>0</v>
      </c>
      <c r="AW106" s="1888">
        <f t="shared" si="61"/>
        <v>0</v>
      </c>
      <c r="AX106" s="1888">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60"/>
        <v>0</v>
      </c>
      <c r="AW107" s="1888">
        <f t="shared" si="61"/>
        <v>0</v>
      </c>
      <c r="AX107" s="1888">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60"/>
        <v>0</v>
      </c>
      <c r="AW108" s="1888">
        <f t="shared" si="61"/>
        <v>0</v>
      </c>
      <c r="AX108" s="1888">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60"/>
        <v>0</v>
      </c>
      <c r="AW109" s="1888">
        <f t="shared" si="61"/>
        <v>0</v>
      </c>
      <c r="AX109" s="1888">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60"/>
        <v>0</v>
      </c>
      <c r="AW110" s="1888">
        <f t="shared" si="61"/>
        <v>0</v>
      </c>
      <c r="AX110" s="1888">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60"/>
        <v>0</v>
      </c>
      <c r="AW111" s="1888">
        <f t="shared" si="61"/>
        <v>0</v>
      </c>
      <c r="AX111" s="1888">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60"/>
        <v>0</v>
      </c>
      <c r="AW112" s="1888">
        <f t="shared" si="61"/>
        <v>0</v>
      </c>
      <c r="AX112" s="1888">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61" t="s">
        <v>0</v>
      </c>
      <c r="B1" s="3761" t="s">
        <v>4</v>
      </c>
      <c r="C1" s="3761" t="s">
        <v>5</v>
      </c>
      <c r="D1" s="3762" t="s">
        <v>39</v>
      </c>
      <c r="E1" s="3762" t="s">
        <v>40</v>
      </c>
      <c r="F1" s="3762"/>
      <c r="G1" s="3762"/>
      <c r="H1" s="3762"/>
      <c r="I1" s="3762"/>
      <c r="J1" s="3762"/>
      <c r="K1" s="3762"/>
      <c r="L1" s="3762"/>
      <c r="M1" s="3762"/>
    </row>
    <row r="2" spans="1:13" ht="27" customHeight="1">
      <c r="A2" s="3761"/>
      <c r="B2" s="3761"/>
      <c r="C2" s="3761"/>
      <c r="D2" s="3762"/>
      <c r="E2" s="3762" t="s">
        <v>23</v>
      </c>
      <c r="F2" s="3762" t="s">
        <v>24</v>
      </c>
      <c r="G2" s="3762"/>
      <c r="H2" s="3762"/>
      <c r="I2" s="3762"/>
      <c r="J2" s="3762" t="s">
        <v>25</v>
      </c>
      <c r="K2" s="3762"/>
      <c r="L2" s="3762"/>
      <c r="M2" s="3762"/>
    </row>
    <row r="3" spans="1:13" ht="28.5">
      <c r="A3" s="3761"/>
      <c r="B3" s="3761"/>
      <c r="C3" s="3761"/>
      <c r="D3" s="3762"/>
      <c r="E3" s="376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2" t="s">
        <v>41</v>
      </c>
      <c r="B9" s="3762"/>
      <c r="C9" s="37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Normal="70" zoomScaleSheetLayoutView="100" workbookViewId="0">
      <selection activeCell="G23" sqref="G23"/>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772" t="s">
        <v>181</v>
      </c>
      <c r="B2" s="3772"/>
      <c r="C2" s="3772"/>
      <c r="D2" s="1884" t="s">
        <v>182</v>
      </c>
      <c r="E2" s="105" t="s">
        <v>183</v>
      </c>
      <c r="F2" s="3074"/>
      <c r="G2" s="1178"/>
      <c r="H2" s="1179"/>
      <c r="I2" s="1180" t="s">
        <v>826</v>
      </c>
      <c r="J2" s="3074"/>
      <c r="K2" s="3074"/>
      <c r="L2" s="3074"/>
      <c r="M2" s="3074"/>
      <c r="N2" s="3074"/>
      <c r="O2" s="3074"/>
      <c r="P2" s="3074"/>
    </row>
    <row r="3" spans="1:16" ht="15.75" thickBot="1">
      <c r="A3" s="3773" t="s">
        <v>184</v>
      </c>
      <c r="B3" s="3773"/>
      <c r="C3" s="3773"/>
      <c r="D3" s="106">
        <f>'数据-基础表'!AY6</f>
        <v>19077.810000000001</v>
      </c>
      <c r="E3" s="106">
        <f>'数据-基础表'!AZ5</f>
        <v>82153.719999999972</v>
      </c>
      <c r="F3" s="3074"/>
      <c r="G3" s="276" t="s">
        <v>827</v>
      </c>
      <c r="H3" s="271" t="s">
        <v>828</v>
      </c>
      <c r="I3" s="1885">
        <f>ROUND('数据-基础表'!B3/'数据-基础表'!A3,2)</f>
        <v>3.9</v>
      </c>
      <c r="J3" s="3074"/>
      <c r="K3" s="3074"/>
      <c r="L3" s="3074"/>
      <c r="M3" s="3074"/>
      <c r="N3" s="3074"/>
      <c r="O3" s="3074"/>
      <c r="P3" s="3074"/>
    </row>
    <row r="4" spans="1:16" ht="15">
      <c r="A4" s="3774"/>
      <c r="B4" s="3775"/>
      <c r="C4" s="3776"/>
      <c r="D4" s="107" t="s">
        <v>182</v>
      </c>
      <c r="E4" s="108" t="s">
        <v>183</v>
      </c>
      <c r="F4" s="3074"/>
      <c r="G4" s="1181"/>
      <c r="H4" s="271" t="s">
        <v>829</v>
      </c>
      <c r="I4" s="1885">
        <f>ROUND(SUMIF('数据-基础表'!I9:AS9,"地上",'数据-基础表'!I5:AS5)/'数据-基础表'!A3,2)</f>
        <v>2.83</v>
      </c>
      <c r="J4" s="3074"/>
      <c r="K4" s="3074"/>
      <c r="L4" s="3074"/>
      <c r="M4" s="3074"/>
      <c r="N4" s="3074"/>
      <c r="O4" s="3074"/>
      <c r="P4" s="3074"/>
    </row>
    <row r="5" spans="1:16">
      <c r="A5" s="109" t="s">
        <v>185</v>
      </c>
      <c r="B5" s="3777" t="s">
        <v>208</v>
      </c>
      <c r="C5" s="3777"/>
      <c r="D5" s="110">
        <f>ROUND($D$3*E5/$E$3,2)</f>
        <v>12023.87</v>
      </c>
      <c r="E5" s="111">
        <f>SUMIF('数据-基础表'!$11:$11,"住宅",'数据-基础表'!$5:$5)</f>
        <v>51777.739999999976</v>
      </c>
      <c r="F5" s="3074"/>
      <c r="G5" s="276" t="s">
        <v>830</v>
      </c>
      <c r="H5" s="271" t="s">
        <v>828</v>
      </c>
      <c r="I5" s="1885">
        <f>ROUND(E31/D31,2)</f>
        <v>4.3099999999999996</v>
      </c>
      <c r="J5" s="3074"/>
      <c r="K5" s="3074"/>
      <c r="L5" s="3074"/>
      <c r="M5" s="3074"/>
      <c r="N5" s="3074"/>
      <c r="O5" s="3074"/>
      <c r="P5" s="3074"/>
    </row>
    <row r="6" spans="1:16" ht="15" thickBot="1">
      <c r="A6" s="112"/>
      <c r="B6" s="3777" t="s">
        <v>186</v>
      </c>
      <c r="C6" s="3777"/>
      <c r="D6" s="110">
        <f>ROUND($D$3*E6/$E$3,2)</f>
        <v>7053.94</v>
      </c>
      <c r="E6" s="111">
        <f>E3-E5</f>
        <v>30375.979999999996</v>
      </c>
      <c r="F6" s="3074"/>
      <c r="G6" s="1181"/>
      <c r="H6" s="271" t="s">
        <v>829</v>
      </c>
      <c r="I6" s="1885">
        <f>ROUND(F31/D31,2)</f>
        <v>2.71</v>
      </c>
      <c r="J6" s="3074"/>
      <c r="K6" s="3074"/>
      <c r="L6" s="3074"/>
      <c r="M6" s="3074"/>
      <c r="N6" s="3074"/>
      <c r="O6" s="3074"/>
      <c r="P6" s="3074"/>
    </row>
    <row r="7" spans="1:16" ht="15">
      <c r="A7" s="3769"/>
      <c r="B7" s="3770"/>
      <c r="C7" s="3771"/>
      <c r="D7" s="107" t="s">
        <v>182</v>
      </c>
      <c r="E7" s="113" t="s">
        <v>209</v>
      </c>
      <c r="F7" s="3074"/>
      <c r="G7" s="1136" t="s">
        <v>1613</v>
      </c>
      <c r="H7" s="1137"/>
      <c r="I7" s="1755">
        <v>2.8</v>
      </c>
      <c r="J7" s="3074"/>
      <c r="K7" s="3074"/>
      <c r="L7" s="3074"/>
      <c r="M7" s="3074"/>
      <c r="N7" s="3074"/>
      <c r="O7" s="3074"/>
      <c r="P7" s="3074"/>
    </row>
    <row r="8" spans="1:16">
      <c r="A8" s="109" t="s">
        <v>187</v>
      </c>
      <c r="B8" s="114" t="s">
        <v>188</v>
      </c>
      <c r="C8" s="110" t="s">
        <v>189</v>
      </c>
      <c r="D8" s="110">
        <f t="shared" ref="D8:D15" si="0">ROUND($D$3*E8/$E$3,2)</f>
        <v>12023.87</v>
      </c>
      <c r="E8" s="115">
        <f>SUMIF('数据-基础表'!BB10:BK10,"地上",'数据-基础表'!BB5:BK5)</f>
        <v>51777.739999999976</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343.13</v>
      </c>
      <c r="E10" s="115">
        <f>SUMPRODUCT(('数据-基础表'!BB10:BK10="地下")*('数据-基础表'!BB11:BK11="商业")*('数据-基础表'!BB5:BK5))</f>
        <v>1477.62</v>
      </c>
      <c r="F10" s="3074"/>
      <c r="G10" s="3075"/>
      <c r="H10" s="3075"/>
      <c r="I10" s="3074"/>
      <c r="J10" s="3074"/>
      <c r="K10" s="3074"/>
      <c r="L10" s="3074"/>
      <c r="M10" s="3074"/>
      <c r="N10" s="3074"/>
      <c r="O10" s="3074"/>
      <c r="P10" s="3074"/>
    </row>
    <row r="11" spans="1:16">
      <c r="A11" s="116"/>
      <c r="B11" s="117"/>
      <c r="C11" s="2206" t="s">
        <v>2291</v>
      </c>
      <c r="D11" s="110">
        <f t="shared" si="0"/>
        <v>12.81</v>
      </c>
      <c r="E11" s="115">
        <f>SUMPRODUCT(('数据-基础表'!BB10:BK10="地下")*('数据-基础表'!BB11:BK11="办公")*('数据-基础表'!BB5:BK5))+'数据-基础表'!AJ5</f>
        <v>55.18</v>
      </c>
      <c r="F11" s="3074"/>
      <c r="G11" s="3075"/>
      <c r="H11" s="3075"/>
      <c r="I11" s="3074"/>
      <c r="J11" s="3074"/>
      <c r="K11" s="3074"/>
      <c r="L11" s="3074"/>
      <c r="M11" s="3074"/>
      <c r="N11" s="3074"/>
      <c r="O11" s="3074"/>
      <c r="P11" s="3074"/>
    </row>
    <row r="12" spans="1:16">
      <c r="A12" s="116"/>
      <c r="B12" s="117"/>
      <c r="C12" s="110" t="s">
        <v>192</v>
      </c>
      <c r="D12" s="110">
        <f t="shared" si="0"/>
        <v>1474.68</v>
      </c>
      <c r="E12" s="115">
        <f>SUMPRODUCT(('数据-基础表'!BB10:BK10="地下")*('数据-基础表'!BB11:BK11="仓储")*('数据-基础表'!BB5:BK5))</f>
        <v>6350.35</v>
      </c>
      <c r="F12" s="3074"/>
      <c r="G12" s="3075"/>
      <c r="H12" s="3075"/>
      <c r="I12" s="3074"/>
      <c r="J12" s="3074"/>
      <c r="K12" s="3074"/>
      <c r="L12" s="3074"/>
      <c r="M12" s="3074"/>
      <c r="N12" s="3074"/>
      <c r="O12" s="3074"/>
      <c r="P12" s="3074"/>
    </row>
    <row r="13" spans="1:16">
      <c r="A13" s="116"/>
      <c r="B13" s="117"/>
      <c r="C13" s="2206" t="s">
        <v>2298</v>
      </c>
      <c r="D13" s="110">
        <f t="shared" si="0"/>
        <v>5236.12</v>
      </c>
      <c r="E13" s="115">
        <f>SUMPRODUCT(('数据-基础表'!BB10:BK10="地下")*('数据-基础表'!BB11:BK11="车库")*('数据-基础表'!BB5:BK5))</f>
        <v>22548.01</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19090.61</v>
      </c>
      <c r="E16" s="119">
        <f>SUM(E8:E15)</f>
        <v>82208.89999999998</v>
      </c>
      <c r="F16" s="3074"/>
      <c r="G16" s="3075"/>
      <c r="H16" s="953" t="s">
        <v>197</v>
      </c>
      <c r="I16" s="954"/>
      <c r="J16" s="1893"/>
      <c r="K16" s="3763" t="s">
        <v>2523</v>
      </c>
      <c r="L16" s="3764"/>
      <c r="M16" s="3764"/>
      <c r="N16" s="3764"/>
      <c r="O16" s="3764"/>
      <c r="P16" s="3765"/>
    </row>
    <row r="17" spans="1:19" ht="15">
      <c r="A17" s="120" t="s">
        <v>194</v>
      </c>
      <c r="B17" s="121" t="s">
        <v>195</v>
      </c>
      <c r="C17" s="2173" t="s">
        <v>2277</v>
      </c>
      <c r="D17" s="107" t="s">
        <v>182</v>
      </c>
      <c r="E17" s="123" t="s">
        <v>183</v>
      </c>
      <c r="F17" s="124"/>
      <c r="G17" s="1315"/>
      <c r="H17" s="955" t="s">
        <v>196</v>
      </c>
      <c r="I17" s="956" t="s">
        <v>2276</v>
      </c>
      <c r="J17" s="1893"/>
      <c r="K17" s="3766" t="s">
        <v>2524</v>
      </c>
      <c r="L17" s="3767"/>
      <c r="M17" s="3768"/>
      <c r="N17" s="3766" t="s">
        <v>2525</v>
      </c>
      <c r="O17" s="3767"/>
      <c r="P17" s="3768"/>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3176</v>
      </c>
      <c r="D19" s="110">
        <f t="shared" ref="D19:D26" si="1">ROUND($D$3*E19/$E$3,2)</f>
        <v>12023.87</v>
      </c>
      <c r="E19" s="133">
        <f t="shared" ref="E19:E26" si="2">SUM(F19:G19)</f>
        <v>51777.739999999991</v>
      </c>
      <c r="F19" s="3076">
        <f>'数据-基础表'!I5-F20-'数据-基础表'!J5-'数据-基础表'!I13-'数据-基础表'!I14</f>
        <v>51777.739999999991</v>
      </c>
      <c r="G19" s="3077"/>
      <c r="H19" s="959">
        <f>ROUND($D$3*I19/$E$3,2)</f>
        <v>0</v>
      </c>
      <c r="I19" s="115">
        <f>IF($I$17="自定义",P19,M19)</f>
        <v>0</v>
      </c>
      <c r="J19" s="1893"/>
      <c r="K19" s="2447">
        <f t="shared" ref="K19:K26" si="3">ROUND(E$28*E19/E$27,2)</f>
        <v>0</v>
      </c>
      <c r="L19" s="271">
        <f t="shared" ref="L19:L26" si="4">ROUND(IF(COUNTIF(C19,"*住宅*")&gt;0,E$29*E19/E$32,0),2)</f>
        <v>0</v>
      </c>
      <c r="M19" s="2448">
        <f>K19+L19</f>
        <v>0</v>
      </c>
      <c r="N19" s="2449"/>
      <c r="O19" s="2450"/>
      <c r="P19" s="2451">
        <f>N19+O19</f>
        <v>0</v>
      </c>
      <c r="R19" s="271">
        <f t="shared" ref="R19:S26" si="5">D19+H19</f>
        <v>12023.87</v>
      </c>
      <c r="S19" s="2176">
        <f t="shared" si="5"/>
        <v>51777.739999999991</v>
      </c>
    </row>
    <row r="20" spans="1:19">
      <c r="A20" s="136"/>
      <c r="B20" s="114" t="s">
        <v>204</v>
      </c>
      <c r="C20" s="2729" t="s">
        <v>3301</v>
      </c>
      <c r="D20" s="110">
        <f t="shared" si="1"/>
        <v>0</v>
      </c>
      <c r="E20" s="133">
        <f t="shared" si="2"/>
        <v>0</v>
      </c>
      <c r="F20" s="3076"/>
      <c r="G20" s="3076"/>
      <c r="H20" s="959">
        <f t="shared" ref="H20:H26" si="6">ROUND($D$3*I20/$E$3,2)</f>
        <v>0</v>
      </c>
      <c r="I20" s="115">
        <f t="shared" ref="I20:I26" si="7">IF($I$17="自定义",P20,M20)</f>
        <v>0</v>
      </c>
      <c r="J20" s="1893"/>
      <c r="K20" s="2447">
        <f t="shared" si="3"/>
        <v>0</v>
      </c>
      <c r="L20" s="271">
        <f t="shared" si="4"/>
        <v>0</v>
      </c>
      <c r="M20" s="2448">
        <f t="shared" ref="M20:M26" si="8">K20+L20</f>
        <v>0</v>
      </c>
      <c r="N20" s="2449"/>
      <c r="O20" s="2450"/>
      <c r="P20" s="2451">
        <f t="shared" ref="P20:P26" si="9">N20+O20</f>
        <v>0</v>
      </c>
      <c r="R20" s="271">
        <f t="shared" si="5"/>
        <v>0</v>
      </c>
      <c r="S20" s="2176">
        <f t="shared" si="5"/>
        <v>0</v>
      </c>
    </row>
    <row r="21" spans="1:19">
      <c r="A21" s="136"/>
      <c r="B21" s="114" t="s">
        <v>204</v>
      </c>
      <c r="C21" s="2729" t="s">
        <v>3232</v>
      </c>
      <c r="D21" s="110">
        <f t="shared" si="1"/>
        <v>5236.12</v>
      </c>
      <c r="E21" s="133">
        <f t="shared" si="2"/>
        <v>22548.01</v>
      </c>
      <c r="F21" s="3076"/>
      <c r="G21" s="3076">
        <f>'数据-基础表'!M5</f>
        <v>22548.01</v>
      </c>
      <c r="H21" s="959">
        <f t="shared" si="6"/>
        <v>0</v>
      </c>
      <c r="I21" s="115">
        <f t="shared" si="7"/>
        <v>0</v>
      </c>
      <c r="J21" s="1893"/>
      <c r="K21" s="2447">
        <f t="shared" si="3"/>
        <v>0</v>
      </c>
      <c r="L21" s="271">
        <f t="shared" si="4"/>
        <v>0</v>
      </c>
      <c r="M21" s="2448">
        <f t="shared" si="8"/>
        <v>0</v>
      </c>
      <c r="N21" s="2449"/>
      <c r="O21" s="2450"/>
      <c r="P21" s="2451">
        <f t="shared" si="9"/>
        <v>0</v>
      </c>
      <c r="R21" s="271">
        <f t="shared" si="5"/>
        <v>5236.12</v>
      </c>
      <c r="S21" s="2176">
        <f t="shared" si="5"/>
        <v>22548.01</v>
      </c>
    </row>
    <row r="22" spans="1:19">
      <c r="A22" s="136"/>
      <c r="B22" s="114" t="s">
        <v>204</v>
      </c>
      <c r="C22" s="2729" t="s">
        <v>3300</v>
      </c>
      <c r="D22" s="110">
        <f t="shared" si="1"/>
        <v>1474.68</v>
      </c>
      <c r="E22" s="133">
        <f t="shared" si="2"/>
        <v>6350.35</v>
      </c>
      <c r="F22" s="3076"/>
      <c r="G22" s="3076">
        <f>'数据-基础表'!O5-'数据-基础表'!P5</f>
        <v>6350.35</v>
      </c>
      <c r="H22" s="959">
        <f t="shared" si="6"/>
        <v>0</v>
      </c>
      <c r="I22" s="115">
        <f t="shared" si="7"/>
        <v>0</v>
      </c>
      <c r="J22" s="1893"/>
      <c r="K22" s="2447">
        <f t="shared" si="3"/>
        <v>0</v>
      </c>
      <c r="L22" s="271">
        <f t="shared" si="4"/>
        <v>0</v>
      </c>
      <c r="M22" s="2448">
        <f t="shared" si="8"/>
        <v>0</v>
      </c>
      <c r="N22" s="2449"/>
      <c r="O22" s="2450"/>
      <c r="P22" s="2451">
        <f t="shared" si="9"/>
        <v>0</v>
      </c>
      <c r="R22" s="271">
        <f t="shared" si="5"/>
        <v>1474.68</v>
      </c>
      <c r="S22" s="2176">
        <f t="shared" si="5"/>
        <v>6350.35</v>
      </c>
    </row>
    <row r="23" spans="1:19">
      <c r="A23" s="136"/>
      <c r="B23" s="114" t="s">
        <v>204</v>
      </c>
      <c r="C23" s="3683" t="s">
        <v>3448</v>
      </c>
      <c r="D23" s="110">
        <f>ROUND($D$3*E23/$E$3,2)</f>
        <v>343.13</v>
      </c>
      <c r="E23" s="133">
        <f>SUM(F23:G23)</f>
        <v>1477.62</v>
      </c>
      <c r="F23" s="3076"/>
      <c r="G23" s="3076">
        <f>'数据-基础表'!Q21</f>
        <v>1477.62</v>
      </c>
      <c r="H23" s="959">
        <f>ROUND($D$3*I23/$E$3,2)</f>
        <v>0</v>
      </c>
      <c r="I23" s="115">
        <f t="shared" si="7"/>
        <v>0</v>
      </c>
      <c r="J23" s="1893"/>
      <c r="K23" s="2447">
        <f t="shared" si="3"/>
        <v>0</v>
      </c>
      <c r="L23" s="271">
        <f t="shared" si="4"/>
        <v>0</v>
      </c>
      <c r="M23" s="2448">
        <f t="shared" si="8"/>
        <v>0</v>
      </c>
      <c r="N23" s="2449"/>
      <c r="O23" s="2450"/>
      <c r="P23" s="2451">
        <f t="shared" si="9"/>
        <v>0</v>
      </c>
      <c r="R23" s="271">
        <f t="shared" si="5"/>
        <v>343.13</v>
      </c>
      <c r="S23" s="2176">
        <f t="shared" si="5"/>
        <v>1477.62</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19077.800000000003</v>
      </c>
      <c r="E27" s="140">
        <f>IF(SUM(E19:E26)='数据-基础表'!BA5,SUM(E19:E26),IF(F27="地上面积有误","面积有误","地下面积有误"))</f>
        <v>82153.719999999987</v>
      </c>
      <c r="F27" s="133">
        <f>IF(SUM(F19:F26)=E8,SUM(F19:F26),"地上面积有误")</f>
        <v>51777.739999999991</v>
      </c>
      <c r="G27" s="111">
        <f>SUM(G19:G26)</f>
        <v>30375.98</v>
      </c>
      <c r="H27" s="960">
        <f>SUM(H19:H26)</f>
        <v>0</v>
      </c>
      <c r="I27" s="961">
        <f>SUM(I19:I26)</f>
        <v>0</v>
      </c>
      <c r="J27" s="1893"/>
      <c r="K27" s="2456">
        <f>SUM(K19:K26)</f>
        <v>0</v>
      </c>
      <c r="L27" s="2457">
        <f>SUM(L19:L26)</f>
        <v>0</v>
      </c>
      <c r="M27" s="2458">
        <f>SUM(M19:M26)</f>
        <v>0</v>
      </c>
      <c r="N27" s="2456">
        <f t="shared" ref="N27:O27" si="10">SUM(N19:N26)</f>
        <v>0</v>
      </c>
      <c r="O27" s="2457">
        <f t="shared" si="10"/>
        <v>0</v>
      </c>
      <c r="P27" s="2459">
        <f>SUM(P19:P26)</f>
        <v>0</v>
      </c>
      <c r="R27" s="2180" t="str">
        <f>IF(SUM(R19:R26)=$D$3,SUM(R19:R26),SUM(R19:R26)&amp;"误差"&amp;ROUND(SUM(R19:R26)-$D$3,2))</f>
        <v>19077.8误差-0.01</v>
      </c>
      <c r="S27" s="271">
        <f>IF(SUM(S19:S26)=$E$3,SUM(S19:S26),SUM(S19:S26)&amp;"误差"&amp;ROUND(SUM(S19:S26)-E3,2))</f>
        <v>82153.719999999987</v>
      </c>
    </row>
    <row r="28" spans="1:19">
      <c r="A28" s="136"/>
      <c r="B28" s="114" t="s">
        <v>205</v>
      </c>
      <c r="C28" s="134" t="s">
        <v>206</v>
      </c>
      <c r="D28" s="110">
        <f>ROUND($D$3*E28/$E$3,2)</f>
        <v>0</v>
      </c>
      <c r="E28" s="133">
        <f>SUM(F28:G28)</f>
        <v>0</v>
      </c>
      <c r="F28" s="141">
        <f>'数据-基础表'!BQ5+'数据-基础表'!BS5</f>
        <v>0</v>
      </c>
      <c r="G28" s="142">
        <f>'数据-基础表'!BR5+'数据-基础表'!BT5</f>
        <v>0</v>
      </c>
      <c r="H28" s="3074"/>
      <c r="I28" s="3074"/>
      <c r="J28" s="3074"/>
      <c r="K28" s="3074"/>
      <c r="L28" s="3074"/>
      <c r="M28" s="3074"/>
      <c r="N28" s="3074"/>
      <c r="O28" s="3074"/>
      <c r="P28" s="3074"/>
    </row>
    <row r="29" spans="1:19">
      <c r="A29" s="136"/>
      <c r="B29" s="114" t="s">
        <v>205</v>
      </c>
      <c r="C29" s="2188" t="s">
        <v>2284</v>
      </c>
      <c r="D29" s="110">
        <f>ROUND($D$3*E29/$E$3,2)</f>
        <v>0</v>
      </c>
      <c r="E29" s="133">
        <f>SUM(F29:G29)</f>
        <v>0</v>
      </c>
      <c r="F29" s="141">
        <f>'数据-基础表'!BM5+'数据-基础表'!BO5</f>
        <v>0</v>
      </c>
      <c r="G29" s="143">
        <f>'数据-基础表'!BN5+'数据-基础表'!BP5</f>
        <v>0</v>
      </c>
      <c r="H29" s="3074"/>
      <c r="I29" s="3074"/>
      <c r="J29" s="3074"/>
      <c r="K29" s="3074"/>
      <c r="L29" s="3074"/>
      <c r="M29" s="3074"/>
      <c r="N29" s="3074"/>
      <c r="O29" s="3074"/>
      <c r="P29" s="3074"/>
    </row>
    <row r="30" spans="1:19">
      <c r="A30" s="136"/>
      <c r="B30" s="110"/>
      <c r="C30" s="144" t="s">
        <v>193</v>
      </c>
      <c r="D30" s="133">
        <f>SUM(D28:D29)</f>
        <v>0</v>
      </c>
      <c r="E30" s="133">
        <f>SUM(E28:E29)</f>
        <v>0</v>
      </c>
      <c r="F30" s="133">
        <f>SUM(F28:F29)</f>
        <v>0</v>
      </c>
      <c r="G30" s="111">
        <f>SUM(G28:G29)</f>
        <v>0</v>
      </c>
      <c r="H30" s="3074"/>
      <c r="I30" s="3074"/>
      <c r="J30" s="3074"/>
      <c r="K30" s="3074"/>
      <c r="L30" s="3074"/>
      <c r="M30" s="3074"/>
      <c r="N30" s="3074"/>
      <c r="O30" s="3074"/>
      <c r="P30" s="3074"/>
    </row>
    <row r="31" spans="1:19" ht="32.25" customHeight="1" thickBot="1">
      <c r="A31" s="1317"/>
      <c r="B31" s="1318" t="s">
        <v>207</v>
      </c>
      <c r="C31" s="2205" t="s">
        <v>2286</v>
      </c>
      <c r="D31" s="1319">
        <f>D27+D30</f>
        <v>19077.800000000003</v>
      </c>
      <c r="E31" s="1319">
        <f>E27+E30</f>
        <v>82153.719999999987</v>
      </c>
      <c r="F31" s="1320">
        <f>F27+F30</f>
        <v>51777.739999999991</v>
      </c>
      <c r="G31" s="1321">
        <f>G27+G30</f>
        <v>30375.98</v>
      </c>
      <c r="H31" s="3074"/>
      <c r="I31" s="3074"/>
      <c r="J31" s="3074"/>
      <c r="K31" s="3074"/>
      <c r="L31" s="3074"/>
      <c r="M31" s="3074"/>
      <c r="N31" s="3074"/>
      <c r="O31" s="3074"/>
      <c r="P31" s="3074"/>
    </row>
    <row r="32" spans="1:19">
      <c r="A32" s="1893"/>
      <c r="B32" s="2217" t="s">
        <v>2285</v>
      </c>
      <c r="C32" s="2484"/>
      <c r="D32" s="1181"/>
      <c r="E32" s="1181">
        <f>SUMIF(C19:C26,"*住宅*",E19:E26)</f>
        <v>51777.739999999991</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8.5" style="1183" bestFit="1"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2949</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69906</v>
      </c>
      <c r="F6" s="171">
        <f>SUMIF(项目基本情况!D$15:I$15,C6,项目基本情况!D$19:I$19)</f>
        <v>69.44</v>
      </c>
      <c r="G6" s="172">
        <f>IF(ISERROR(ROUND(POWER(1+H6,D6-F6)*(POWER(1+H6,F6)-1)/(POWER(1+H6,D6)-1),3)),0,ROUND(POWER(1+H6,D6-F6)*(POWER(1+H6,F6)-1)/(POWER(1+H6,D6)-1),3))</f>
        <v>0.998</v>
      </c>
      <c r="H6" s="2730">
        <v>0.04</v>
      </c>
      <c r="I6" s="2730">
        <v>4.4999999999999998E-2</v>
      </c>
      <c r="J6" s="173">
        <v>8.5000000000000006E-2</v>
      </c>
      <c r="K6" s="176">
        <f>SUMIF('数据-汇总表'!C$19:C$33,'数据-取费表'!A6,'数据-汇总表'!E$19:E$33)</f>
        <v>51777.739999999991</v>
      </c>
      <c r="L6" s="2731">
        <v>4500</v>
      </c>
      <c r="M6" s="174">
        <f t="shared" ref="M6:M14" si="0">ROUND(K6*L6/10000,0)</f>
        <v>23300</v>
      </c>
      <c r="N6" s="2732">
        <v>0</v>
      </c>
      <c r="O6" s="174">
        <f>IF($N$5="成新度","——",ROUND(M6*N6,0))</f>
        <v>0</v>
      </c>
      <c r="P6" s="175">
        <f>IF($N$5="成新度","——",M6-O6)</f>
        <v>23300</v>
      </c>
      <c r="Q6" s="2733">
        <v>0.15</v>
      </c>
      <c r="R6" s="176">
        <f>SUMIF('数据-汇总表'!C$19:C$33,A6,'数据-汇总表'!R$19:R$33)</f>
        <v>12023.87</v>
      </c>
      <c r="S6" s="131">
        <f>IF('数据-汇总表'!$I$17="按面积比例",SUMIF('数据-汇总表'!C$19:C$33,A6,'数据-汇总表'!K$19:K$33),SUMIF('数据-汇总表'!C$19:C$33,A6,'数据-汇总表'!N$19:N$33))</f>
        <v>0</v>
      </c>
      <c r="T6" s="2109" t="str">
        <f>IF($T$4="按面积比例",IF(ISERROR(ROUND($M$14*S6/S$16,0)),"0",ROUND($M$14*S6/S$16,0)),"需自行计算录入")</f>
        <v>0</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0.93400000000000005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公租房</v>
      </c>
      <c r="B7" s="2212" t="str">
        <f t="shared" ref="B7:B13" si="1">IF(A7=0,"","经营性")</f>
        <v>经营性</v>
      </c>
      <c r="C7" s="170"/>
      <c r="D7" s="2183">
        <f>SUMIF(项目基本情况!D$15:I$15,C7,项目基本情况!D$18:I$18)</f>
        <v>0</v>
      </c>
      <c r="E7" s="2184">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0"/>
      <c r="I7" s="2730"/>
      <c r="J7" s="173"/>
      <c r="K7" s="176">
        <f>SUMIF('数据-汇总表'!C$19:C$33,'数据-取费表'!A7,'数据-汇总表'!E$19:E$33)</f>
        <v>0</v>
      </c>
      <c r="L7" s="2731"/>
      <c r="M7" s="174">
        <f t="shared" si="0"/>
        <v>0</v>
      </c>
      <c r="N7" s="2732"/>
      <c r="O7" s="174">
        <f t="shared" ref="O7:O14" si="3">IF($N$5="成新度","——",ROUND(M7*N7,0))</f>
        <v>0</v>
      </c>
      <c r="P7" s="175">
        <f t="shared" ref="P7:P14" si="4">IF($N$5="成新度","——",M7-O7)</f>
        <v>0</v>
      </c>
      <c r="Q7" s="2733"/>
      <c r="R7" s="176">
        <f>SUMIF('数据-汇总表'!C$19:C$33,A7,'数据-汇总表'!R$19:R$33)</f>
        <v>0</v>
      </c>
      <c r="S7" s="131">
        <f>IF('数据-汇总表'!$I$17="按面积比例",SUMIF('数据-汇总表'!C$19:C$33,A7,'数据-汇总表'!K$19:K$33),SUMIF('数据-汇总表'!C$19:C$33,A7,'数据-汇总表'!N$19:N$33))</f>
        <v>0</v>
      </c>
      <c r="T7" s="2109" t="str">
        <f t="shared" ref="T7:T13" si="5">IF($T$4="按面积比例",IF(ISERROR(ROUND($M$14*S7/S$16,0)),"0",ROUND($M$14*S7/S$16,0)),"需自行计算录入")</f>
        <v>0</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3228</v>
      </c>
      <c r="D8" s="2183">
        <f>SUMIF(项目基本情况!D$15:I$15,C8,项目基本情况!D$18:I$18)</f>
        <v>50</v>
      </c>
      <c r="E8" s="2184">
        <f>IF(B8="","",SUMIF(项目基本情况!D$15:I$15,C8,项目基本情况!D$17:I$17))</f>
        <v>62601</v>
      </c>
      <c r="F8" s="171">
        <f>SUMIF(项目基本情况!D$15:I$15,C8,项目基本情况!D$19:I$19)</f>
        <v>49.43</v>
      </c>
      <c r="G8" s="172">
        <f t="shared" si="2"/>
        <v>0.997</v>
      </c>
      <c r="H8" s="2730">
        <v>4.4999999999999998E-2</v>
      </c>
      <c r="I8" s="3334">
        <v>0.05</v>
      </c>
      <c r="J8" s="173">
        <v>8.5000000000000006E-2</v>
      </c>
      <c r="K8" s="176">
        <f>SUMIF('数据-汇总表'!C$19:C$33,'数据-取费表'!A8,'数据-汇总表'!E$19:E$33)</f>
        <v>22548.01</v>
      </c>
      <c r="L8" s="2731">
        <v>3000</v>
      </c>
      <c r="M8" s="174">
        <f>ROUND(K8*L8/10000,0)</f>
        <v>6764</v>
      </c>
      <c r="N8" s="2732">
        <v>0</v>
      </c>
      <c r="O8" s="174">
        <f t="shared" si="3"/>
        <v>0</v>
      </c>
      <c r="P8" s="175">
        <f t="shared" si="4"/>
        <v>6764</v>
      </c>
      <c r="Q8" s="2733">
        <v>0.05</v>
      </c>
      <c r="R8" s="176">
        <f>SUMIF('数据-汇总表'!C$19:C$33,A8,'数据-汇总表'!R$19:R$33)</f>
        <v>5236.12</v>
      </c>
      <c r="S8" s="131">
        <f>IF('数据-汇总表'!$I$17="按面积比例",SUMIF('数据-汇总表'!C$19:C$33,A8,'数据-汇总表'!K$19:K$33),SUMIF('数据-汇总表'!C$19:C$33,A8,'数据-汇总表'!N$19:N$33))</f>
        <v>0</v>
      </c>
      <c r="T8" s="2109" t="str">
        <f t="shared" si="5"/>
        <v>0</v>
      </c>
      <c r="U8" s="3287">
        <v>800</v>
      </c>
      <c r="V8" s="178">
        <v>2.5000000000000001E-2</v>
      </c>
      <c r="W8" s="178">
        <v>0.1</v>
      </c>
      <c r="X8" s="2196"/>
      <c r="Y8" s="179">
        <v>1</v>
      </c>
      <c r="Z8" s="180"/>
      <c r="AA8" s="173"/>
      <c r="AB8" s="173"/>
      <c r="AC8" s="2199"/>
      <c r="AD8" s="181"/>
      <c r="AE8" s="957">
        <f t="shared" ca="1" si="6"/>
        <v>36.93</v>
      </c>
      <c r="AF8" s="138"/>
      <c r="AG8" s="1193">
        <f t="shared" si="7"/>
        <v>0</v>
      </c>
      <c r="AH8" s="3335">
        <v>772</v>
      </c>
      <c r="AI8" s="184">
        <v>12</v>
      </c>
      <c r="AJ8" s="185"/>
      <c r="AK8" s="186">
        <v>0.01</v>
      </c>
      <c r="AL8" s="187">
        <v>1E-3</v>
      </c>
      <c r="AM8" s="2240">
        <v>0.01</v>
      </c>
      <c r="AN8" s="2242" t="s">
        <v>3233</v>
      </c>
      <c r="AO8" s="3084"/>
      <c r="AP8" s="1184">
        <f t="shared" si="8"/>
        <v>0.88600000000000001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3296</v>
      </c>
      <c r="D9" s="2183">
        <f>SUMIF(项目基本情况!D$15:I$15,C9,项目基本情况!D$18:I$18)</f>
        <v>50</v>
      </c>
      <c r="E9" s="2184">
        <f>IF(B9="","",SUMIF(项目基本情况!D$15:I$15,C9,项目基本情况!D$17:I$17))</f>
        <v>62601</v>
      </c>
      <c r="F9" s="171">
        <f>SUMIF(项目基本情况!D$15:I$15,C9,项目基本情况!D$19:I$19)</f>
        <v>49.43</v>
      </c>
      <c r="G9" s="172">
        <f t="shared" si="2"/>
        <v>0.997</v>
      </c>
      <c r="H9" s="2730">
        <v>4.4999999999999998E-2</v>
      </c>
      <c r="I9" s="3334">
        <v>0.05</v>
      </c>
      <c r="J9" s="173">
        <v>8.5000000000000006E-2</v>
      </c>
      <c r="K9" s="176">
        <f>SUMIF('数据-汇总表'!C$19:C$33,'数据-取费表'!A9,'数据-汇总表'!E$19:E$33)</f>
        <v>6350.35</v>
      </c>
      <c r="L9" s="2731">
        <f>L8</f>
        <v>3000</v>
      </c>
      <c r="M9" s="174">
        <f t="shared" si="0"/>
        <v>1905</v>
      </c>
      <c r="N9" s="2732">
        <v>0</v>
      </c>
      <c r="O9" s="174">
        <f t="shared" si="3"/>
        <v>0</v>
      </c>
      <c r="P9" s="175">
        <f t="shared" si="4"/>
        <v>1905</v>
      </c>
      <c r="Q9" s="2733">
        <v>0.05</v>
      </c>
      <c r="R9" s="176">
        <f>SUMIF('数据-汇总表'!C$19:C$33,A9,'数据-汇总表'!R$19:R$33)</f>
        <v>1474.68</v>
      </c>
      <c r="S9" s="131">
        <f>IF('数据-汇总表'!$I$17="按面积比例",SUMIF('数据-汇总表'!C$19:C$33,A9,'数据-汇总表'!K$19:K$33),SUMIF('数据-汇总表'!C$19:C$33,A9,'数据-汇总表'!N$19:N$33))</f>
        <v>0</v>
      </c>
      <c r="T9" s="2109" t="str">
        <f t="shared" si="5"/>
        <v>0</v>
      </c>
      <c r="U9" s="177">
        <v>1.5</v>
      </c>
      <c r="V9" s="178">
        <v>2.5000000000000001E-2</v>
      </c>
      <c r="W9" s="178">
        <v>0.1</v>
      </c>
      <c r="X9" s="2196"/>
      <c r="Y9" s="179">
        <v>1</v>
      </c>
      <c r="Z9" s="180"/>
      <c r="AA9" s="173"/>
      <c r="AB9" s="173"/>
      <c r="AC9" s="2199"/>
      <c r="AD9" s="181"/>
      <c r="AE9" s="957">
        <f t="shared" ca="1" si="6"/>
        <v>46.93</v>
      </c>
      <c r="AF9" s="138"/>
      <c r="AG9" s="1193">
        <f t="shared" si="7"/>
        <v>0</v>
      </c>
      <c r="AH9" s="3330">
        <f>K9</f>
        <v>6350.35</v>
      </c>
      <c r="AI9" s="184">
        <v>365</v>
      </c>
      <c r="AJ9" s="185"/>
      <c r="AK9" s="186">
        <v>0.01</v>
      </c>
      <c r="AL9" s="187">
        <v>1E-3</v>
      </c>
      <c r="AM9" s="2240">
        <v>0.01</v>
      </c>
      <c r="AN9" s="2242" t="s">
        <v>3302</v>
      </c>
      <c r="AO9" s="3084"/>
      <c r="AP9" s="1184">
        <f t="shared" si="8"/>
        <v>0.88600000000000001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地下商服</v>
      </c>
      <c r="B10" s="2212" t="str">
        <f t="shared" si="1"/>
        <v>经营性</v>
      </c>
      <c r="C10" s="170" t="s">
        <v>3444</v>
      </c>
      <c r="D10" s="2183">
        <f>SUMIF(项目基本情况!D$15:I$15,C10,项目基本情况!D$18:I$18)</f>
        <v>40</v>
      </c>
      <c r="E10" s="2184">
        <f>IF(B10="","",SUMIF(项目基本情况!D$15:I$15,C10,项目基本情况!D$17:I$17))</f>
        <v>58949</v>
      </c>
      <c r="F10" s="171">
        <f>SUMIF(项目基本情况!D$15:I$15,C10,项目基本情况!D$19:I$19)</f>
        <v>39.43</v>
      </c>
      <c r="G10" s="172">
        <f t="shared" si="2"/>
        <v>0.995</v>
      </c>
      <c r="H10" s="2730">
        <v>0.05</v>
      </c>
      <c r="I10" s="3334">
        <v>5.5E-2</v>
      </c>
      <c r="J10" s="173">
        <v>8.5000000000000006E-2</v>
      </c>
      <c r="K10" s="176">
        <f>SUMIF('数据-汇总表'!C$19:C$33,'数据-取费表'!A10,'数据-汇总表'!E$19:E$33)</f>
        <v>1477.62</v>
      </c>
      <c r="L10" s="2731">
        <f>L9</f>
        <v>3000</v>
      </c>
      <c r="M10" s="174">
        <f t="shared" si="0"/>
        <v>443</v>
      </c>
      <c r="N10" s="2732">
        <f>N9</f>
        <v>0</v>
      </c>
      <c r="O10" s="174">
        <f t="shared" si="3"/>
        <v>0</v>
      </c>
      <c r="P10" s="175">
        <f t="shared" si="4"/>
        <v>443</v>
      </c>
      <c r="Q10" s="2733">
        <v>0.1</v>
      </c>
      <c r="R10" s="176">
        <f>SUMIF('数据-汇总表'!C$19:C$33,A10,'数据-汇总表'!R$19:R$33)</f>
        <v>343.13</v>
      </c>
      <c r="S10" s="131">
        <f>IF('数据-汇总表'!$I$17="按面积比例",SUMIF('数据-汇总表'!C$19:C$33,A10,'数据-汇总表'!K$19:K$33),SUMIF('数据-汇总表'!C$19:C$33,A10,'数据-汇总表'!N$19:N$33))</f>
        <v>0</v>
      </c>
      <c r="T10" s="2109" t="str">
        <f t="shared" si="5"/>
        <v>0</v>
      </c>
      <c r="U10" s="177">
        <v>2.5</v>
      </c>
      <c r="V10" s="178">
        <v>2.5000000000000001E-2</v>
      </c>
      <c r="W10" s="178">
        <f>W9</f>
        <v>0.1</v>
      </c>
      <c r="X10" s="2196"/>
      <c r="Y10" s="179">
        <f>Y9</f>
        <v>1</v>
      </c>
      <c r="Z10" s="180"/>
      <c r="AA10" s="173"/>
      <c r="AB10" s="173"/>
      <c r="AC10" s="2199"/>
      <c r="AD10" s="181"/>
      <c r="AE10" s="957">
        <f t="shared" ca="1" si="6"/>
        <v>36.93</v>
      </c>
      <c r="AF10" s="138"/>
      <c r="AG10" s="1193">
        <f t="shared" si="7"/>
        <v>0</v>
      </c>
      <c r="AH10" s="3330">
        <f>K10</f>
        <v>1477.62</v>
      </c>
      <c r="AI10" s="184">
        <v>365</v>
      </c>
      <c r="AJ10" s="185"/>
      <c r="AK10" s="186">
        <v>0.01</v>
      </c>
      <c r="AL10" s="187">
        <v>1E-3</v>
      </c>
      <c r="AM10" s="2240">
        <v>0.01</v>
      </c>
      <c r="AN10" s="2242" t="s">
        <v>3233</v>
      </c>
      <c r="AO10" s="3084"/>
      <c r="AP10" s="1184">
        <f t="shared" si="8"/>
        <v>0.85399999999999998</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t="str">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t="str">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t="str">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0</v>
      </c>
      <c r="L14" s="2731">
        <v>3000</v>
      </c>
      <c r="M14" s="174">
        <f t="shared" si="0"/>
        <v>0</v>
      </c>
      <c r="N14" s="2732">
        <v>0</v>
      </c>
      <c r="O14" s="174">
        <f t="shared" si="3"/>
        <v>0</v>
      </c>
      <c r="P14" s="175">
        <f t="shared" si="4"/>
        <v>0</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0</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0.998</v>
      </c>
      <c r="H16" s="199">
        <f>ROUND(SUMPRODUCT(H6:H13,K6:K13)/SUMPRODUCT((H6:H13&gt;0)*(K6:K13)),3)</f>
        <v>4.2000000000000003E-2</v>
      </c>
      <c r="I16" s="200"/>
      <c r="J16" s="200"/>
      <c r="K16" s="201">
        <f>SUM(K6:K15)</f>
        <v>82153.719999999987</v>
      </c>
      <c r="L16" s="202">
        <f>ROUND(M16*10000/SUM(K6:K14),0)</f>
        <v>3945</v>
      </c>
      <c r="M16" s="202">
        <f>SUM(M6:M14)</f>
        <v>32412</v>
      </c>
      <c r="N16" s="203">
        <f>ROUND(SUMPRODUCT(M6:M14,N6:N14)/M16,3)</f>
        <v>0</v>
      </c>
      <c r="O16" s="202">
        <f>SUM(O6:O14)</f>
        <v>0</v>
      </c>
      <c r="P16" s="202">
        <f>SUM(P6:P14)</f>
        <v>32412</v>
      </c>
      <c r="Q16" s="204">
        <f>ROUND(SUMPRODUCT(Q6:Q13,K6:K13)/SUMPRODUCT((Q6:Q13&gt;0)*(K6:K13)),2)</f>
        <v>0.11</v>
      </c>
      <c r="R16" s="2186">
        <f>SUM(R6:R13)</f>
        <v>19077.800000000003</v>
      </c>
      <c r="S16" s="205">
        <f>SUM(S6:S13)</f>
        <v>0</v>
      </c>
      <c r="T16" s="206">
        <f>SUM(T6:T13)</f>
        <v>0</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0.91600000000000004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2961</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2.5</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29.207266839378235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2962</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165</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1325">
        <v>35</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6">
        <v>0.03</v>
      </c>
      <c r="C33" s="3099" t="s">
        <v>2950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0.03</v>
      </c>
      <c r="C34" s="3099" t="s">
        <v>2951</v>
      </c>
      <c r="D34" s="3100" t="s">
        <v>2958</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70" t="s">
        <v>3177</v>
      </c>
      <c r="B40" s="2329">
        <f ca="1">IF(A40="利息：取LPR",存贷款利率!E2,存贷款利率!E2+C40)</f>
        <v>4.3499999999999997E-2</v>
      </c>
      <c r="C40" s="3271">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2959</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2955</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2956</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2963</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2955</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2957</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2960</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5" customWidth="1"/>
    <col min="2" max="2" width="23.5" style="3149" customWidth="1"/>
    <col min="3" max="3" width="32.25" style="3151" customWidth="1"/>
    <col min="4" max="4" width="2.625" style="3151" customWidth="1"/>
    <col min="5" max="5" width="5.875" style="3151" customWidth="1"/>
    <col min="6" max="6" width="23.625" style="3149" customWidth="1"/>
    <col min="7" max="7" width="33.375" style="3150" customWidth="1"/>
    <col min="8" max="8" width="11.875" style="3149" customWidth="1"/>
    <col min="9" max="9" width="16.75" style="3150" customWidth="1"/>
    <col min="10" max="10" width="2.625" style="3151" customWidth="1"/>
    <col min="11" max="11" width="11.875" style="3149" customWidth="1"/>
    <col min="12" max="12" width="16.75" style="3150" customWidth="1"/>
    <col min="13" max="13" width="2.625" style="3151" customWidth="1"/>
    <col min="14" max="14" width="11.875" style="3149" customWidth="1"/>
    <col min="15" max="15" width="16.75" style="3150" customWidth="1"/>
    <col min="16" max="16" width="2.625" style="3151" customWidth="1"/>
    <col min="17" max="17" width="11.875" style="3149" customWidth="1"/>
    <col min="18" max="18" width="16.75" style="3152" customWidth="1"/>
    <col min="19" max="16384" width="9" style="3115"/>
  </cols>
  <sheetData>
    <row r="1" spans="1:18" s="3109" customFormat="1" ht="19.5" thickBot="1">
      <c r="A1" s="3778" t="s">
        <v>1631</v>
      </c>
      <c r="B1" s="3779"/>
      <c r="C1" s="3779"/>
      <c r="D1" s="3779"/>
      <c r="E1" s="3779"/>
      <c r="F1" s="3779"/>
      <c r="G1" s="3779"/>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40.5">
      <c r="A3" s="3116" t="s">
        <v>1634</v>
      </c>
      <c r="B3" s="3117" t="s">
        <v>1621</v>
      </c>
      <c r="C3" s="3681" t="s">
        <v>3426</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t="s">
        <v>2864</v>
      </c>
      <c r="D4" s="3118"/>
      <c r="E4" s="3124"/>
      <c r="F4" s="3125" t="s">
        <v>1636</v>
      </c>
      <c r="G4" s="3126" t="s">
        <v>2860</v>
      </c>
      <c r="H4" s="3115"/>
      <c r="I4" s="3115"/>
      <c r="J4" s="3115"/>
      <c r="K4" s="3115"/>
      <c r="L4" s="3115"/>
      <c r="M4" s="3115"/>
      <c r="N4" s="3115"/>
      <c r="O4" s="3115"/>
      <c r="P4" s="3115"/>
      <c r="Q4" s="3115"/>
      <c r="R4" s="3115"/>
    </row>
    <row r="5" spans="1:18" ht="41.25">
      <c r="A5" s="3119"/>
      <c r="B5" s="3122" t="s">
        <v>1637</v>
      </c>
      <c r="C5" s="3123" t="s">
        <v>2865</v>
      </c>
      <c r="D5" s="3118"/>
      <c r="E5" s="3124"/>
      <c r="F5" s="3122" t="s">
        <v>2503</v>
      </c>
      <c r="G5" s="3126" t="s">
        <v>2861</v>
      </c>
      <c r="H5" s="3115"/>
      <c r="I5" s="3115"/>
      <c r="J5" s="3115"/>
      <c r="K5" s="3115"/>
      <c r="L5" s="3115"/>
      <c r="M5" s="3115"/>
      <c r="N5" s="3115"/>
      <c r="O5" s="3115"/>
      <c r="P5" s="3115"/>
      <c r="Q5" s="3115"/>
      <c r="R5" s="3115"/>
    </row>
    <row r="6" spans="1:18" ht="40.5">
      <c r="A6" s="3119"/>
      <c r="B6" s="3122" t="s">
        <v>1623</v>
      </c>
      <c r="C6" s="3126" t="s">
        <v>2860</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126" t="s">
        <v>2861</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27">
      <c r="A9" s="3119"/>
      <c r="B9" s="3122" t="s">
        <v>1624</v>
      </c>
      <c r="C9" s="3123" t="s">
        <v>2859</v>
      </c>
      <c r="D9" s="3118"/>
      <c r="E9" s="3127"/>
      <c r="F9" s="3131"/>
      <c r="G9" s="3131"/>
      <c r="H9" s="3115"/>
      <c r="I9" s="3115"/>
      <c r="J9" s="3115"/>
      <c r="K9" s="3115"/>
      <c r="L9" s="3115"/>
      <c r="M9" s="3115"/>
      <c r="N9" s="3115"/>
      <c r="O9" s="3115"/>
      <c r="P9" s="3115"/>
      <c r="Q9" s="3115"/>
      <c r="R9" s="3115"/>
    </row>
    <row r="10" spans="1:18" s="3138" customFormat="1" ht="15" thickBot="1">
      <c r="A10" s="3132"/>
      <c r="B10" s="3133" t="s">
        <v>1639</v>
      </c>
      <c r="C10" s="3134"/>
      <c r="D10" s="3118"/>
      <c r="E10" s="3118"/>
      <c r="F10" s="3131"/>
      <c r="G10" s="3131"/>
      <c r="H10" s="3135"/>
      <c r="I10" s="3136"/>
      <c r="J10" s="3137"/>
      <c r="K10" s="3135"/>
      <c r="L10" s="3136"/>
      <c r="M10" s="3137"/>
      <c r="N10" s="3135"/>
      <c r="O10" s="3136"/>
      <c r="P10" s="3137"/>
      <c r="Q10" s="3135"/>
      <c r="R10" s="3136"/>
    </row>
    <row r="11" spans="1:18" s="3138" customFormat="1">
      <c r="A11" s="3139"/>
      <c r="B11" s="3127"/>
      <c r="C11" s="3118"/>
      <c r="D11" s="3118"/>
      <c r="E11" s="3118"/>
      <c r="F11" s="3127"/>
      <c r="G11" s="3140"/>
      <c r="H11" s="3135"/>
      <c r="I11" s="3136"/>
      <c r="J11" s="3137"/>
      <c r="K11" s="3135"/>
      <c r="L11" s="3136"/>
      <c r="M11" s="3137"/>
      <c r="N11" s="3135"/>
      <c r="O11" s="3136"/>
      <c r="P11" s="3137"/>
      <c r="Q11" s="3135"/>
      <c r="R11" s="3136"/>
    </row>
    <row r="12" spans="1:18" s="3109" customFormat="1" ht="18.75">
      <c r="A12" s="3139"/>
      <c r="B12" s="3127"/>
      <c r="C12" s="3118"/>
      <c r="D12" s="3141"/>
      <c r="E12" s="3118"/>
      <c r="F12" s="3127"/>
      <c r="G12" s="3140"/>
      <c r="H12" s="3142"/>
      <c r="I12" s="3143"/>
      <c r="J12" s="3142"/>
      <c r="K12" s="3142"/>
      <c r="L12" s="3144"/>
      <c r="M12" s="3142"/>
      <c r="N12" s="3145"/>
      <c r="O12" s="3146"/>
      <c r="P12" s="3147"/>
      <c r="Q12" s="3145"/>
      <c r="R12" s="3108"/>
    </row>
    <row r="13" spans="1:18" ht="19.5" thickBot="1">
      <c r="A13" s="3148" t="s">
        <v>1640</v>
      </c>
      <c r="B13" s="3141"/>
      <c r="C13" s="3141"/>
      <c r="D13" s="3113"/>
      <c r="E13" s="3141"/>
      <c r="F13" s="3141"/>
      <c r="G13" s="3141"/>
    </row>
    <row r="14" spans="1:18" ht="14.25" thickBot="1">
      <c r="A14" s="3153"/>
      <c r="B14" s="3153"/>
      <c r="C14" s="3154" t="s">
        <v>1632</v>
      </c>
      <c r="D14" s="3118"/>
      <c r="E14" s="3155"/>
      <c r="F14" s="3155"/>
      <c r="G14" s="3112" t="s">
        <v>1633</v>
      </c>
    </row>
    <row r="15" spans="1:18" ht="40.5">
      <c r="A15" s="3156" t="s">
        <v>1625</v>
      </c>
      <c r="B15" s="3157" t="s">
        <v>1621</v>
      </c>
      <c r="C15" s="3158" t="str">
        <f>C3</f>
        <v>估价对象周边居住用地比例、居住小区规模和社区发展完善程度，综合评价居住社区成熟度较好</v>
      </c>
      <c r="D15" s="3118"/>
      <c r="E15" s="3159" t="s">
        <v>1626</v>
      </c>
      <c r="F15" s="3157" t="s">
        <v>1641</v>
      </c>
      <c r="G15" s="3160" t="str">
        <f>G3</f>
        <v>估价对象位于XX开发区，园区建设成熟度XX，产业集聚程度XX</v>
      </c>
    </row>
    <row r="16" spans="1:18" ht="40.5">
      <c r="A16" s="3161"/>
      <c r="B16" s="3162" t="s">
        <v>1635</v>
      </c>
      <c r="C16" s="3163" t="str">
        <f>C4</f>
        <v>估价对象位于XX商圈，周边商业氛围成熟，人流量大，商业繁华度好</v>
      </c>
      <c r="D16" s="3118"/>
      <c r="E16" s="3164"/>
      <c r="F16" s="3165" t="s">
        <v>1636</v>
      </c>
      <c r="G16" s="3166" t="str">
        <f>G4</f>
        <v>估价对象周边道路状况、公共交通通达情况、停车便捷程度，综合评价交通便捷度较好</v>
      </c>
    </row>
    <row r="17" spans="1:7" ht="40.5">
      <c r="A17" s="3161"/>
      <c r="B17" s="3162" t="s">
        <v>1637</v>
      </c>
      <c r="C17" s="3163" t="str">
        <f>C5</f>
        <v>估价对象位于XX商圈，周边办公楼项目较多，入驻率高，办公集聚程度较好</v>
      </c>
      <c r="D17" s="3127"/>
      <c r="E17" s="3164"/>
      <c r="F17" s="3165" t="s">
        <v>1642</v>
      </c>
      <c r="G17" s="3167"/>
    </row>
    <row r="18" spans="1:7" ht="40.5">
      <c r="A18" s="3161"/>
      <c r="B18" s="3165" t="s">
        <v>1623</v>
      </c>
      <c r="C18" s="3166" t="str">
        <f>C6</f>
        <v>估价对象周边道路状况、公共交通通达情况、停车便捷程度，综合评价交通便捷度较好</v>
      </c>
      <c r="D18" s="3127"/>
      <c r="E18" s="3164"/>
      <c r="F18" s="3165" t="s">
        <v>1638</v>
      </c>
      <c r="G18" s="3166" t="str">
        <f>G7</f>
        <v>该园区内是否有污染型企业，绿化情况，卫生条件，整体环境状况判断</v>
      </c>
    </row>
    <row r="19" spans="1:7" ht="27">
      <c r="A19" s="3161"/>
      <c r="B19" s="3165" t="s">
        <v>1627</v>
      </c>
      <c r="C19" s="3167"/>
      <c r="D19" s="3118"/>
      <c r="E19" s="3164"/>
      <c r="F19" s="3122" t="s">
        <v>2503</v>
      </c>
      <c r="G19" s="3166" t="str">
        <f>G5</f>
        <v>估价对象所在区域公共配套设施齐备情况</v>
      </c>
    </row>
    <row r="20" spans="1:7" ht="27">
      <c r="A20" s="3161"/>
      <c r="B20" s="3165" t="s">
        <v>1628</v>
      </c>
      <c r="C20" s="3163" t="str">
        <f>C9</f>
        <v>区域自然环境：；人文环境；综合评价环境状况一般</v>
      </c>
      <c r="D20" s="3127"/>
      <c r="E20" s="3164"/>
      <c r="F20" s="3122" t="s">
        <v>2504</v>
      </c>
      <c r="G20" s="3166" t="str">
        <f>G6</f>
        <v>估价对象所在区域基础设施水平</v>
      </c>
    </row>
    <row r="21" spans="1:7" ht="27">
      <c r="A21" s="3161"/>
      <c r="B21" s="3122" t="s">
        <v>2503</v>
      </c>
      <c r="C21" s="3166" t="str">
        <f>C7</f>
        <v>估价对象所在区域公共配套设施齐备情况</v>
      </c>
      <c r="D21" s="3118"/>
      <c r="E21" s="3164"/>
      <c r="F21" s="3165" t="s">
        <v>1629</v>
      </c>
      <c r="G21" s="3168"/>
    </row>
    <row r="22" spans="1:7" ht="14.25">
      <c r="A22" s="3161"/>
      <c r="B22" s="3122" t="s">
        <v>2504</v>
      </c>
      <c r="C22" s="3166" t="str">
        <f>C8</f>
        <v>估价对象所在区域基础设施水平</v>
      </c>
      <c r="D22" s="3118"/>
      <c r="E22" s="3164"/>
      <c r="F22" s="3165" t="s">
        <v>1639</v>
      </c>
      <c r="G22" s="3167"/>
    </row>
    <row r="23" spans="1:7" ht="15" thickBot="1">
      <c r="A23" s="3161"/>
      <c r="B23" s="3165" t="s">
        <v>1629</v>
      </c>
      <c r="C23" s="3168"/>
      <c r="E23" s="3169"/>
      <c r="F23" s="3170" t="s">
        <v>1643</v>
      </c>
      <c r="G23" s="3171"/>
    </row>
    <row r="24" spans="1:7" ht="14.25" thickBot="1">
      <c r="A24" s="3172"/>
      <c r="B24" s="3170" t="s">
        <v>1630</v>
      </c>
      <c r="C24" s="3173">
        <f>C10</f>
        <v>0</v>
      </c>
      <c r="E24" s="3174"/>
      <c r="F24" s="3174"/>
      <c r="G24" s="3175"/>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3177" customWidth="1"/>
    <col min="2" max="16384" width="14.625" style="3177"/>
  </cols>
  <sheetData>
    <row r="1" spans="1:10" ht="16.5">
      <c r="A1" s="3176" t="s">
        <v>2799</v>
      </c>
      <c r="B1" s="3176">
        <f>SUM(B14:B23)</f>
        <v>82153.719999999972</v>
      </c>
      <c r="C1" s="3185"/>
      <c r="D1" s="3185"/>
      <c r="E1" s="3185"/>
      <c r="F1" s="3185"/>
      <c r="G1" s="3186"/>
      <c r="H1" s="3186"/>
      <c r="I1" s="3186"/>
      <c r="J1" s="3186"/>
    </row>
    <row r="2" spans="1:10" ht="16.5">
      <c r="A2" s="3176" t="s">
        <v>2800</v>
      </c>
      <c r="B2" s="3176">
        <f>SUM(C14:C23)</f>
        <v>19077.810000000001</v>
      </c>
      <c r="C2" s="3185"/>
      <c r="D2" s="3185"/>
      <c r="E2" s="3185"/>
      <c r="F2" s="3185"/>
      <c r="G2" s="3186"/>
      <c r="H2" s="3186"/>
      <c r="I2" s="3186"/>
      <c r="J2" s="3186"/>
    </row>
    <row r="3" spans="1:10" ht="16.5">
      <c r="A3" s="3176" t="s">
        <v>2801</v>
      </c>
      <c r="B3" s="3178">
        <f>项目基本情况!D3</f>
        <v>44557</v>
      </c>
      <c r="C3" s="3185"/>
      <c r="D3" s="3185"/>
      <c r="E3" s="3185"/>
      <c r="F3" s="3185"/>
      <c r="G3" s="3186"/>
      <c r="H3" s="3186"/>
      <c r="I3" s="3186"/>
      <c r="J3" s="3186"/>
    </row>
    <row r="4" spans="1:10" ht="33">
      <c r="A4" s="3176" t="s">
        <v>2802</v>
      </c>
      <c r="B4" s="3176" t="s">
        <v>2803</v>
      </c>
      <c r="C4" s="3176" t="s">
        <v>2804</v>
      </c>
      <c r="D4" s="3176" t="s">
        <v>2805</v>
      </c>
      <c r="E4" s="3185"/>
      <c r="F4" s="3185"/>
      <c r="G4" s="3186"/>
      <c r="H4" s="3186"/>
      <c r="I4" s="3186"/>
      <c r="J4" s="3186"/>
    </row>
    <row r="5" spans="1:10" ht="16.5">
      <c r="A5" s="3176" t="s">
        <v>2806</v>
      </c>
      <c r="B5" s="3176">
        <f ca="1">SUM(D14:D23)</f>
        <v>233278</v>
      </c>
      <c r="C5" s="3176">
        <f ca="1">ROUND(B5*10000/$B$1,0)</f>
        <v>28395</v>
      </c>
      <c r="D5" s="3176">
        <f ca="1">ROUND(B5*10000/$B$2,0)</f>
        <v>122277</v>
      </c>
      <c r="E5" s="3185"/>
      <c r="F5" s="3185"/>
      <c r="G5" s="3186"/>
      <c r="H5" s="3186"/>
      <c r="I5" s="3186"/>
      <c r="J5" s="3186"/>
    </row>
    <row r="6" spans="1:10" ht="16.5">
      <c r="A6" s="3176" t="s">
        <v>2807</v>
      </c>
      <c r="B6" s="3176">
        <f ca="1">SUM(G14:G23)</f>
        <v>233278</v>
      </c>
      <c r="C6" s="3176">
        <f t="shared" ref="C6:C8" ca="1" si="0">ROUND(B6*10000/$B$1,0)</f>
        <v>28395</v>
      </c>
      <c r="D6" s="3176">
        <f t="shared" ref="D6:D8" ca="1" si="1">ROUND(B6*10000/$B$2,0)</f>
        <v>122277</v>
      </c>
      <c r="E6" s="3185"/>
      <c r="F6" s="3185"/>
      <c r="G6" s="3186"/>
      <c r="H6" s="3186"/>
      <c r="I6" s="3186"/>
      <c r="J6" s="3186"/>
    </row>
    <row r="7" spans="1:10" ht="16.5">
      <c r="A7" s="3176" t="s">
        <v>2808</v>
      </c>
      <c r="B7" s="3176">
        <f>SUM(H14:H23)</f>
        <v>0</v>
      </c>
      <c r="C7" s="3176">
        <f t="shared" si="0"/>
        <v>0</v>
      </c>
      <c r="D7" s="3176">
        <f t="shared" si="1"/>
        <v>0</v>
      </c>
      <c r="E7" s="3185"/>
      <c r="F7" s="3185"/>
      <c r="G7" s="3186"/>
      <c r="H7" s="3186"/>
      <c r="I7" s="3186"/>
      <c r="J7" s="3186"/>
    </row>
    <row r="8" spans="1:10" ht="16.5">
      <c r="A8" s="3176" t="s">
        <v>2809</v>
      </c>
      <c r="B8" s="3176">
        <f ca="1">SUM(I14:I23)</f>
        <v>220942</v>
      </c>
      <c r="C8" s="3176">
        <f t="shared" ca="1" si="0"/>
        <v>26894</v>
      </c>
      <c r="D8" s="3176">
        <f t="shared" ca="1" si="1"/>
        <v>115811</v>
      </c>
      <c r="E8" s="3185"/>
      <c r="F8" s="3185"/>
      <c r="G8" s="3186"/>
      <c r="H8" s="3186"/>
      <c r="I8" s="3186"/>
      <c r="J8" s="3186"/>
    </row>
    <row r="9" spans="1:10" ht="16.5">
      <c r="A9" s="3176" t="s">
        <v>2810</v>
      </c>
      <c r="B9" s="3184"/>
      <c r="C9" s="3185"/>
      <c r="D9" s="3185"/>
      <c r="E9" s="3185"/>
      <c r="F9" s="3185"/>
      <c r="G9" s="3186"/>
      <c r="H9" s="3186"/>
      <c r="I9" s="3186"/>
      <c r="J9" s="3186"/>
    </row>
    <row r="10" spans="1:10" ht="16.5">
      <c r="A10" s="3176" t="s">
        <v>2811</v>
      </c>
      <c r="B10" s="3184"/>
      <c r="C10" s="3185"/>
      <c r="D10" s="3185"/>
      <c r="E10" s="3185"/>
      <c r="F10" s="3185"/>
      <c r="G10" s="3186"/>
      <c r="H10" s="3186"/>
      <c r="I10" s="3186"/>
      <c r="J10" s="3186"/>
    </row>
    <row r="11" spans="1:10" ht="16.5">
      <c r="A11" s="3176" t="s">
        <v>2828</v>
      </c>
      <c r="B11" s="3184"/>
      <c r="C11" s="3185"/>
      <c r="D11" s="3185"/>
      <c r="E11" s="3185"/>
      <c r="F11" s="3185"/>
      <c r="G11" s="3186"/>
      <c r="H11" s="3186"/>
      <c r="I11" s="3186"/>
      <c r="J11" s="3186"/>
    </row>
    <row r="12" spans="1:10" ht="16.5">
      <c r="A12" s="3185"/>
      <c r="B12" s="3185"/>
      <c r="C12" s="3185"/>
      <c r="D12" s="3185"/>
      <c r="E12" s="3185"/>
      <c r="F12" s="3185"/>
      <c r="G12" s="3186"/>
      <c r="H12" s="3186"/>
      <c r="I12" s="3186"/>
      <c r="J12" s="3186"/>
    </row>
    <row r="13" spans="1:10" ht="33">
      <c r="A13" s="3179" t="s">
        <v>2827</v>
      </c>
      <c r="B13" s="3180" t="s">
        <v>2799</v>
      </c>
      <c r="C13" s="3180" t="s">
        <v>2800</v>
      </c>
      <c r="D13" s="3180" t="s">
        <v>2812</v>
      </c>
      <c r="E13" s="3176" t="s">
        <v>2826</v>
      </c>
      <c r="F13" s="3176" t="s">
        <v>2805</v>
      </c>
      <c r="G13" s="3180" t="s">
        <v>2813</v>
      </c>
      <c r="H13" s="3180" t="s">
        <v>2814</v>
      </c>
      <c r="I13" s="3180" t="s">
        <v>2815</v>
      </c>
      <c r="J13" s="3186"/>
    </row>
    <row r="14" spans="1:10" ht="16.5">
      <c r="A14" s="3181" t="s">
        <v>2825</v>
      </c>
      <c r="B14" s="3182">
        <f>结果表!L38</f>
        <v>82153.719999999972</v>
      </c>
      <c r="C14" s="3182">
        <f>结果表!K38</f>
        <v>19077.810000000001</v>
      </c>
      <c r="D14" s="3182">
        <f ca="1">结果表!C42</f>
        <v>233278</v>
      </c>
      <c r="E14" s="3182">
        <f ca="1">ROUND(D14*10000/B14,0)</f>
        <v>28395</v>
      </c>
      <c r="F14" s="3182">
        <f ca="1">ROUND(D14*10000/C14,0)</f>
        <v>122277</v>
      </c>
      <c r="G14" s="3182">
        <f ca="1">结果表!C44</f>
        <v>233278</v>
      </c>
      <c r="H14" s="3182" t="str">
        <f>结果表!C45</f>
        <v>——</v>
      </c>
      <c r="I14" s="3182">
        <f ca="1">结果表!C46</f>
        <v>220942</v>
      </c>
      <c r="J14" s="3186"/>
    </row>
    <row r="15" spans="1:10" ht="16.5">
      <c r="A15" s="3181" t="s">
        <v>2816</v>
      </c>
      <c r="B15" s="3183"/>
      <c r="C15" s="3183"/>
      <c r="D15" s="3183"/>
      <c r="E15" s="3182" t="e">
        <f t="shared" ref="E15:E23" si="2">ROUND(D15*10000/B15,0)</f>
        <v>#DIV/0!</v>
      </c>
      <c r="F15" s="3182" t="e">
        <f t="shared" ref="F15:F23" si="3">ROUND(D15*10000/C15,0)</f>
        <v>#DIV/0!</v>
      </c>
      <c r="G15" s="2749"/>
      <c r="H15" s="2749"/>
      <c r="I15" s="3183"/>
      <c r="J15" s="3186"/>
    </row>
    <row r="16" spans="1:10" ht="16.5">
      <c r="A16" s="3181" t="s">
        <v>2817</v>
      </c>
      <c r="B16" s="3183"/>
      <c r="C16" s="3183"/>
      <c r="D16" s="3183"/>
      <c r="E16" s="3182" t="e">
        <f t="shared" si="2"/>
        <v>#DIV/0!</v>
      </c>
      <c r="F16" s="3182" t="e">
        <f t="shared" si="3"/>
        <v>#DIV/0!</v>
      </c>
      <c r="G16" s="2749"/>
      <c r="H16" s="2749"/>
      <c r="I16" s="3183"/>
      <c r="J16" s="3186"/>
    </row>
    <row r="17" spans="1:10" ht="16.5">
      <c r="A17" s="3181" t="s">
        <v>2818</v>
      </c>
      <c r="B17" s="3183"/>
      <c r="C17" s="3183"/>
      <c r="D17" s="3183"/>
      <c r="E17" s="3182" t="e">
        <f t="shared" si="2"/>
        <v>#DIV/0!</v>
      </c>
      <c r="F17" s="3182" t="e">
        <f t="shared" si="3"/>
        <v>#DIV/0!</v>
      </c>
      <c r="G17" s="2749"/>
      <c r="H17" s="2749"/>
      <c r="I17" s="3183"/>
      <c r="J17" s="3186"/>
    </row>
    <row r="18" spans="1:10" ht="16.5">
      <c r="A18" s="3181" t="s">
        <v>2819</v>
      </c>
      <c r="B18" s="3183"/>
      <c r="C18" s="3183"/>
      <c r="D18" s="3183"/>
      <c r="E18" s="3182" t="e">
        <f t="shared" si="2"/>
        <v>#DIV/0!</v>
      </c>
      <c r="F18" s="3182" t="e">
        <f t="shared" si="3"/>
        <v>#DIV/0!</v>
      </c>
      <c r="G18" s="3183"/>
      <c r="H18" s="3183"/>
      <c r="I18" s="3183"/>
      <c r="J18" s="3186"/>
    </row>
    <row r="19" spans="1:10" ht="16.5">
      <c r="A19" s="3181" t="s">
        <v>2820</v>
      </c>
      <c r="B19" s="3183"/>
      <c r="C19" s="3183"/>
      <c r="D19" s="3183"/>
      <c r="E19" s="3182" t="e">
        <f t="shared" si="2"/>
        <v>#DIV/0!</v>
      </c>
      <c r="F19" s="3182" t="e">
        <f t="shared" si="3"/>
        <v>#DIV/0!</v>
      </c>
      <c r="G19" s="3183"/>
      <c r="H19" s="3183"/>
      <c r="I19" s="3183"/>
      <c r="J19" s="3186"/>
    </row>
    <row r="20" spans="1:10" ht="16.5">
      <c r="A20" s="3181" t="s">
        <v>2821</v>
      </c>
      <c r="B20" s="3183"/>
      <c r="C20" s="3183"/>
      <c r="D20" s="3183"/>
      <c r="E20" s="3182" t="e">
        <f t="shared" si="2"/>
        <v>#DIV/0!</v>
      </c>
      <c r="F20" s="3182" t="e">
        <f t="shared" si="3"/>
        <v>#DIV/0!</v>
      </c>
      <c r="G20" s="3183"/>
      <c r="H20" s="3183"/>
      <c r="I20" s="3183"/>
      <c r="J20" s="3186"/>
    </row>
    <row r="21" spans="1:10" ht="16.5">
      <c r="A21" s="3181" t="s">
        <v>2822</v>
      </c>
      <c r="B21" s="3183"/>
      <c r="C21" s="3183"/>
      <c r="D21" s="3183"/>
      <c r="E21" s="3182" t="e">
        <f t="shared" si="2"/>
        <v>#DIV/0!</v>
      </c>
      <c r="F21" s="3182" t="e">
        <f t="shared" si="3"/>
        <v>#DIV/0!</v>
      </c>
      <c r="G21" s="3183"/>
      <c r="H21" s="3183"/>
      <c r="I21" s="3183"/>
      <c r="J21" s="3186"/>
    </row>
    <row r="22" spans="1:10" ht="16.5">
      <c r="A22" s="3181" t="s">
        <v>2823</v>
      </c>
      <c r="B22" s="3183"/>
      <c r="C22" s="3183"/>
      <c r="D22" s="3183"/>
      <c r="E22" s="3182" t="e">
        <f t="shared" si="2"/>
        <v>#DIV/0!</v>
      </c>
      <c r="F22" s="3182" t="e">
        <f t="shared" si="3"/>
        <v>#DIV/0!</v>
      </c>
      <c r="G22" s="3183"/>
      <c r="H22" s="3183"/>
      <c r="I22" s="3183"/>
      <c r="J22" s="3186"/>
    </row>
    <row r="23" spans="1:10" ht="16.5">
      <c r="A23" s="3181" t="s">
        <v>2824</v>
      </c>
      <c r="B23" s="3183"/>
      <c r="C23" s="3183"/>
      <c r="D23" s="3183"/>
      <c r="E23" s="3184" t="e">
        <f t="shared" si="2"/>
        <v>#DIV/0!</v>
      </c>
      <c r="F23" s="3184" t="e">
        <f t="shared" si="3"/>
        <v>#DIV/0!</v>
      </c>
      <c r="G23" s="3183"/>
      <c r="H23" s="3183"/>
      <c r="I23" s="3183"/>
      <c r="J23" s="3186"/>
    </row>
    <row r="24" spans="1:10">
      <c r="A24" s="3186"/>
      <c r="B24" s="3186"/>
      <c r="C24" s="3186"/>
      <c r="D24" s="3186"/>
      <c r="E24" s="3186"/>
      <c r="F24" s="3186"/>
      <c r="G24" s="3186"/>
      <c r="H24" s="3186"/>
      <c r="I24" s="3186"/>
      <c r="J24" s="3186"/>
    </row>
    <row r="25" spans="1:10">
      <c r="A25" s="3186"/>
      <c r="B25" s="3186"/>
      <c r="C25" s="3186"/>
      <c r="D25" s="3186"/>
      <c r="E25" s="3186"/>
      <c r="F25" s="3186"/>
      <c r="G25" s="3186"/>
      <c r="H25" s="3186"/>
      <c r="I25" s="3186"/>
      <c r="J25" s="3186"/>
    </row>
    <row r="26" spans="1:10">
      <c r="A26" s="3186"/>
      <c r="B26" s="3186"/>
      <c r="C26" s="3186"/>
      <c r="D26" s="3186"/>
      <c r="E26" s="3186"/>
      <c r="F26" s="3186"/>
      <c r="G26" s="3186"/>
      <c r="H26" s="3186"/>
      <c r="I26" s="3186"/>
      <c r="J26" s="318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61" zoomScaleNormal="100" zoomScaleSheetLayoutView="100" zoomScalePageLayoutView="80" workbookViewId="0">
      <selection activeCell="O81" sqref="O81"/>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c r="E1" s="1715" t="s">
        <v>2022</v>
      </c>
      <c r="F1" s="1717"/>
      <c r="G1" s="306"/>
      <c r="H1" s="306"/>
      <c r="I1" s="306"/>
      <c r="J1" s="1907"/>
      <c r="K1" s="1907"/>
      <c r="L1" s="1907"/>
      <c r="M1" s="1907"/>
      <c r="N1" s="1907"/>
      <c r="O1" s="1907"/>
      <c r="P1" s="1907"/>
      <c r="Q1" s="1907"/>
      <c r="R1" s="1907"/>
      <c r="S1" s="1907"/>
      <c r="T1" s="1907"/>
      <c r="U1" s="1907"/>
      <c r="V1" s="1907"/>
    </row>
    <row r="2" spans="1:22" ht="21.75" customHeight="1" thickBot="1">
      <c r="A2" s="3824" t="str">
        <f>项目基本情况!K2</f>
        <v>北京市北京市昌平区东小口马连店1803-610地块R2二类居住用地出让国有建设用地使用权</v>
      </c>
      <c r="B2" s="3825"/>
      <c r="C2" s="3826"/>
      <c r="D2" s="3826"/>
      <c r="E2" s="3826"/>
      <c r="F2" s="3826"/>
      <c r="G2" s="3825"/>
      <c r="H2" s="3825"/>
      <c r="I2" s="3827"/>
      <c r="J2" s="1908"/>
      <c r="K2" s="1907"/>
      <c r="L2" s="1907"/>
      <c r="M2" s="1907"/>
      <c r="N2" s="1907"/>
      <c r="O2" s="1907"/>
      <c r="P2" s="1907"/>
      <c r="Q2" s="1907"/>
      <c r="R2" s="1907"/>
      <c r="S2" s="1907"/>
      <c r="T2" s="1907"/>
      <c r="U2" s="1907"/>
      <c r="V2" s="1907"/>
    </row>
    <row r="3" spans="1:22" ht="14.25">
      <c r="A3" s="3835" t="s">
        <v>276</v>
      </c>
      <c r="B3" s="3836"/>
      <c r="C3" s="3836"/>
      <c r="D3" s="3836"/>
      <c r="E3" s="3836"/>
      <c r="F3" s="3836"/>
      <c r="G3" s="3836"/>
      <c r="H3" s="3836"/>
      <c r="I3" s="3836"/>
      <c r="J3" s="1908"/>
      <c r="K3" s="1907"/>
      <c r="L3" s="1907"/>
      <c r="M3" s="1907"/>
      <c r="N3" s="1907"/>
      <c r="O3" s="1907"/>
      <c r="P3" s="1907"/>
      <c r="Q3" s="1907"/>
      <c r="R3" s="1907"/>
      <c r="S3" s="1907"/>
      <c r="T3" s="1907"/>
      <c r="U3" s="1907"/>
      <c r="V3" s="1907"/>
    </row>
    <row r="4" spans="1:22" ht="14.25">
      <c r="A4" s="254" t="s">
        <v>277</v>
      </c>
      <c r="B4" s="255" t="s">
        <v>278</v>
      </c>
      <c r="C4" s="256" t="s">
        <v>3203</v>
      </c>
      <c r="D4" s="256" t="s">
        <v>3202</v>
      </c>
      <c r="E4" s="3799" t="s">
        <v>279</v>
      </c>
      <c r="F4" s="3841"/>
      <c r="G4" s="3841"/>
      <c r="H4" s="3841"/>
      <c r="I4" s="3800"/>
      <c r="J4" s="1908"/>
      <c r="K4" s="1907"/>
      <c r="L4" s="3187"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828" t="s">
        <v>280</v>
      </c>
      <c r="B5" s="3829">
        <v>25</v>
      </c>
      <c r="C5" s="3837"/>
      <c r="D5" s="3840"/>
      <c r="E5" s="257" t="s">
        <v>281</v>
      </c>
      <c r="F5" s="258"/>
      <c r="G5" s="258"/>
      <c r="H5" s="258"/>
      <c r="I5" s="259"/>
      <c r="J5" s="1908"/>
      <c r="K5" s="1907"/>
      <c r="L5" s="1907"/>
      <c r="M5" s="1907"/>
      <c r="N5" s="1907"/>
      <c r="O5" s="1907"/>
      <c r="P5" s="1907"/>
      <c r="Q5" s="1907"/>
      <c r="R5" s="1907"/>
      <c r="S5" s="1907"/>
      <c r="T5" s="1907"/>
      <c r="U5" s="1907"/>
      <c r="V5" s="1907"/>
    </row>
    <row r="6" spans="1:22" ht="14.25">
      <c r="A6" s="3828"/>
      <c r="B6" s="3829"/>
      <c r="C6" s="3838"/>
      <c r="D6" s="3840"/>
      <c r="E6" s="257" t="s">
        <v>282</v>
      </c>
      <c r="F6" s="258"/>
      <c r="G6" s="258"/>
      <c r="H6" s="258"/>
      <c r="I6" s="259"/>
      <c r="J6" s="1908"/>
      <c r="K6" s="1907"/>
      <c r="L6" s="1907"/>
      <c r="M6" s="1907"/>
      <c r="N6" s="1907"/>
      <c r="O6" s="1907"/>
      <c r="P6" s="1907"/>
      <c r="Q6" s="1907"/>
      <c r="R6" s="1907"/>
      <c r="S6" s="1907"/>
      <c r="T6" s="1907"/>
      <c r="U6" s="1907"/>
      <c r="V6" s="1907"/>
    </row>
    <row r="7" spans="1:22" ht="14.25">
      <c r="A7" s="3828"/>
      <c r="B7" s="3829"/>
      <c r="C7" s="3839"/>
      <c r="D7" s="3840"/>
      <c r="E7" s="257" t="s">
        <v>283</v>
      </c>
      <c r="F7" s="258"/>
      <c r="G7" s="258"/>
      <c r="H7" s="258"/>
      <c r="I7" s="259"/>
      <c r="J7" s="1908"/>
      <c r="K7" s="1907"/>
      <c r="L7" s="1907"/>
      <c r="M7" s="1907"/>
      <c r="N7" s="1907"/>
      <c r="O7" s="1907"/>
      <c r="P7" s="1907"/>
      <c r="Q7" s="1907"/>
      <c r="R7" s="1907"/>
      <c r="S7" s="1907"/>
      <c r="T7" s="1907"/>
      <c r="U7" s="1907"/>
      <c r="V7" s="1907"/>
    </row>
    <row r="8" spans="1:22" ht="14.25">
      <c r="A8" s="3828" t="s">
        <v>284</v>
      </c>
      <c r="B8" s="3829">
        <v>15</v>
      </c>
      <c r="C8" s="3837"/>
      <c r="D8" s="3840"/>
      <c r="E8" s="257" t="s">
        <v>285</v>
      </c>
      <c r="F8" s="258"/>
      <c r="G8" s="258"/>
      <c r="H8" s="258"/>
      <c r="I8" s="259"/>
      <c r="J8" s="1908"/>
      <c r="K8" s="1907"/>
      <c r="L8" s="1907"/>
      <c r="M8" s="1907"/>
      <c r="N8" s="1907"/>
      <c r="O8" s="1907"/>
      <c r="P8" s="1907"/>
      <c r="Q8" s="1907"/>
      <c r="R8" s="1907"/>
      <c r="S8" s="1907"/>
      <c r="T8" s="1907"/>
      <c r="U8" s="1907"/>
      <c r="V8" s="1907"/>
    </row>
    <row r="9" spans="1:22" ht="14.25">
      <c r="A9" s="3828"/>
      <c r="B9" s="3829"/>
      <c r="C9" s="3839"/>
      <c r="D9" s="3840"/>
      <c r="E9" s="257" t="s">
        <v>286</v>
      </c>
      <c r="F9" s="258"/>
      <c r="G9" s="258"/>
      <c r="H9" s="258"/>
      <c r="I9" s="259"/>
      <c r="J9" s="1908"/>
      <c r="K9" s="1907"/>
      <c r="L9" s="1907"/>
      <c r="M9" s="1907"/>
      <c r="N9" s="1907"/>
      <c r="O9" s="1907"/>
      <c r="P9" s="1907"/>
      <c r="Q9" s="1907"/>
      <c r="R9" s="1907"/>
      <c r="S9" s="1907"/>
      <c r="T9" s="1907"/>
      <c r="U9" s="1907"/>
      <c r="V9" s="1907"/>
    </row>
    <row r="10" spans="1:22" ht="14.25">
      <c r="A10" s="3828" t="s">
        <v>287</v>
      </c>
      <c r="B10" s="3829">
        <v>15</v>
      </c>
      <c r="C10" s="3837"/>
      <c r="D10" s="3840"/>
      <c r="E10" s="257" t="s">
        <v>288</v>
      </c>
      <c r="F10" s="258"/>
      <c r="G10" s="258"/>
      <c r="H10" s="258"/>
      <c r="I10" s="259"/>
      <c r="J10" s="1908"/>
      <c r="K10" s="1907"/>
      <c r="L10" s="1907"/>
      <c r="M10" s="1907"/>
      <c r="N10" s="1907"/>
      <c r="O10" s="1907"/>
      <c r="P10" s="1907"/>
      <c r="Q10" s="1907"/>
      <c r="R10" s="1907"/>
      <c r="S10" s="1907"/>
      <c r="T10" s="1907"/>
      <c r="U10" s="1907"/>
      <c r="V10" s="1907"/>
    </row>
    <row r="11" spans="1:22" ht="14.25">
      <c r="A11" s="3828"/>
      <c r="B11" s="3829"/>
      <c r="C11" s="3839"/>
      <c r="D11" s="3840"/>
      <c r="E11" s="257" t="s">
        <v>289</v>
      </c>
      <c r="F11" s="258"/>
      <c r="G11" s="258"/>
      <c r="H11" s="258"/>
      <c r="I11" s="259"/>
      <c r="J11" s="1908"/>
      <c r="K11" s="1907"/>
      <c r="L11" s="1907"/>
      <c r="M11" s="1907"/>
      <c r="N11" s="1907"/>
      <c r="O11" s="1907"/>
      <c r="P11" s="1907"/>
      <c r="Q11" s="1907"/>
      <c r="R11" s="1907"/>
      <c r="S11" s="1907"/>
      <c r="T11" s="1907"/>
      <c r="U11" s="1907"/>
      <c r="V11" s="1907"/>
    </row>
    <row r="12" spans="1:22" ht="14.25">
      <c r="A12" s="3828" t="s">
        <v>290</v>
      </c>
      <c r="B12" s="3829">
        <v>15</v>
      </c>
      <c r="C12" s="3837"/>
      <c r="D12" s="3840"/>
      <c r="E12" s="257" t="s">
        <v>291</v>
      </c>
      <c r="F12" s="258"/>
      <c r="G12" s="258"/>
      <c r="H12" s="258"/>
      <c r="I12" s="259"/>
      <c r="J12" s="1908"/>
      <c r="K12" s="1907"/>
      <c r="L12" s="1907"/>
      <c r="M12" s="1907"/>
      <c r="N12" s="1907"/>
      <c r="O12" s="1907"/>
      <c r="P12" s="1907"/>
      <c r="Q12" s="1907"/>
      <c r="R12" s="1907"/>
      <c r="S12" s="1907"/>
      <c r="T12" s="1907"/>
      <c r="U12" s="1907"/>
      <c r="V12" s="1907"/>
    </row>
    <row r="13" spans="1:22" ht="14.25">
      <c r="A13" s="3828"/>
      <c r="B13" s="3829"/>
      <c r="C13" s="3839"/>
      <c r="D13" s="3840"/>
      <c r="E13" s="257" t="s">
        <v>292</v>
      </c>
      <c r="F13" s="258"/>
      <c r="G13" s="258"/>
      <c r="H13" s="258"/>
      <c r="I13" s="259"/>
      <c r="J13" s="1908"/>
      <c r="K13" s="1907"/>
      <c r="L13" s="1907"/>
      <c r="M13" s="1907"/>
      <c r="N13" s="1907"/>
      <c r="O13" s="1907"/>
      <c r="P13" s="1907"/>
      <c r="Q13" s="1907"/>
      <c r="R13" s="1907"/>
      <c r="S13" s="1907"/>
      <c r="T13" s="1907"/>
      <c r="U13" s="1907"/>
      <c r="V13" s="1907"/>
    </row>
    <row r="14" spans="1:22" ht="14.25">
      <c r="A14" s="3828" t="s">
        <v>293</v>
      </c>
      <c r="B14" s="3829">
        <v>30</v>
      </c>
      <c r="C14" s="3837">
        <v>5</v>
      </c>
      <c r="D14" s="3840">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828"/>
      <c r="B15" s="3829"/>
      <c r="C15" s="3838"/>
      <c r="D15" s="3840"/>
      <c r="E15" s="257" t="s">
        <v>295</v>
      </c>
      <c r="F15" s="258"/>
      <c r="G15" s="258"/>
      <c r="H15" s="258"/>
      <c r="I15" s="259"/>
      <c r="J15" s="1908"/>
      <c r="K15" s="1907"/>
      <c r="L15" s="1907"/>
      <c r="M15" s="1907"/>
      <c r="N15" s="1907"/>
      <c r="O15" s="1907"/>
      <c r="P15" s="1907"/>
      <c r="Q15" s="1907"/>
      <c r="R15" s="1907"/>
      <c r="S15" s="1907"/>
      <c r="T15" s="1907"/>
      <c r="U15" s="1907"/>
      <c r="V15" s="1907"/>
    </row>
    <row r="16" spans="1:22" ht="14.25">
      <c r="A16" s="3828"/>
      <c r="B16" s="3829"/>
      <c r="C16" s="3839"/>
      <c r="D16" s="3840"/>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842" t="s">
        <v>2938</v>
      </c>
      <c r="F18" s="3843"/>
      <c r="G18" s="3843"/>
      <c r="H18" s="3843"/>
      <c r="I18" s="3843"/>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246465</v>
      </c>
      <c r="D19" s="267">
        <f ca="1">SUMIF(INDIRECT("'"&amp;D4&amp;"'"&amp;"!A:A"),结果表!B19,INDIRECT("'"&amp;D4&amp;"'"&amp;"!B:B"))</f>
        <v>220090</v>
      </c>
      <c r="E19" s="264" t="s">
        <v>301</v>
      </c>
      <c r="F19" s="265" t="s">
        <v>300</v>
      </c>
      <c r="G19" s="268">
        <f ca="1">ROUND(C19*$C$18+D19*$D$18,0)</f>
        <v>233278</v>
      </c>
      <c r="H19" s="269" t="s">
        <v>302</v>
      </c>
      <c r="I19" s="306"/>
      <c r="J19" s="1907"/>
      <c r="K19" s="3286" t="s">
        <v>3238</v>
      </c>
      <c r="L19" s="1907">
        <v>361000</v>
      </c>
      <c r="M19" s="3285">
        <f ca="1">(L19-G19)/L19</f>
        <v>0.35380055401662047</v>
      </c>
      <c r="N19" s="1907"/>
      <c r="O19" s="1907"/>
      <c r="P19" s="1907"/>
      <c r="Q19" s="1907"/>
      <c r="R19" s="1907"/>
      <c r="S19" s="1907"/>
      <c r="T19" s="1907"/>
      <c r="U19" s="1907"/>
      <c r="V19" s="1907"/>
    </row>
    <row r="20" spans="1:26" ht="15">
      <c r="A20" s="270"/>
      <c r="B20" s="271" t="s">
        <v>303</v>
      </c>
      <c r="C20" s="272">
        <f ca="1">SUMIF(INDIRECT("'"&amp;C4&amp;"'"&amp;"!A:A"),结果表!B20,INDIRECT("'"&amp;C4&amp;"'"&amp;"!B:B"))</f>
        <v>30000</v>
      </c>
      <c r="D20" s="273">
        <f ca="1">SUMIF(INDIRECT("'"&amp;D4&amp;"'"&amp;"!A:A"),结果表!B20,INDIRECT("'"&amp;D4&amp;"'"&amp;"!B:B"))</f>
        <v>26790</v>
      </c>
      <c r="E20" s="270"/>
      <c r="F20" s="271" t="s">
        <v>303</v>
      </c>
      <c r="G20" s="274">
        <f ca="1">ROUND(C20*$C$18+D20*$D$18,0)</f>
        <v>28395</v>
      </c>
      <c r="H20" s="275" t="s">
        <v>304</v>
      </c>
      <c r="I20" s="306"/>
      <c r="J20" s="1907"/>
      <c r="K20" s="3286" t="s">
        <v>3239</v>
      </c>
      <c r="L20" s="1907">
        <v>343000</v>
      </c>
      <c r="M20" s="1907"/>
      <c r="N20" s="1907"/>
      <c r="O20" s="1907"/>
      <c r="P20" s="1907">
        <v>233278</v>
      </c>
      <c r="Q20" s="1907"/>
      <c r="R20" s="1907"/>
      <c r="S20" s="1907"/>
      <c r="T20" s="1907"/>
      <c r="U20" s="1907"/>
      <c r="V20" s="1907"/>
    </row>
    <row r="21" spans="1:26" ht="15" customHeight="1">
      <c r="A21" s="270"/>
      <c r="B21" s="276" t="s">
        <v>305</v>
      </c>
      <c r="C21" s="277">
        <f ca="1">SUMIF(INDIRECT("'"&amp;C4&amp;"'"&amp;"!A:A"),结果表!B21,INDIRECT("'"&amp;C4&amp;"'"&amp;"!B:B"))</f>
        <v>129189</v>
      </c>
      <c r="D21" s="148">
        <f ca="1">SUMIF(INDIRECT("'"&amp;D4&amp;"'"&amp;"!A:A"),结果表!B21,INDIRECT("'"&amp;D4&amp;"'"&amp;"!B:B"))</f>
        <v>115364</v>
      </c>
      <c r="E21" s="270"/>
      <c r="F21" s="276" t="s">
        <v>305</v>
      </c>
      <c r="G21" s="278">
        <f ca="1">ROUND(C21*$C$18+D21*$D$18,0)</f>
        <v>122277</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0.11983733927029849</v>
      </c>
      <c r="E22" s="280"/>
      <c r="F22" s="281"/>
      <c r="G22" s="282">
        <f ca="1">ROUND(G19/('数据-汇总表'!D3/666.67),0)</f>
        <v>8152</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801"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848"/>
      <c r="B25" s="1272" t="s">
        <v>309</v>
      </c>
      <c r="C25" s="286">
        <f>IF(B30=0,0,C30)</f>
        <v>0</v>
      </c>
      <c r="D25" s="287"/>
      <c r="E25" s="306"/>
      <c r="F25" s="306"/>
      <c r="G25" s="306"/>
      <c r="H25" s="306"/>
      <c r="I25" s="306"/>
      <c r="J25" s="1907"/>
      <c r="K25" s="1206" t="str">
        <f ca="1">项目基本情况!B16&amp;"国有建设用地使用权价格："&amp;O38&amp;"万元"</f>
        <v>出让国有建设用地使用权价格：233278万元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大写金额：人民币贰拾叁亿叁仟贰佰柒拾捌万元整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单位面积地价：122277元/平方米</v>
      </c>
      <c r="L27" s="1203"/>
      <c r="M27" s="1203"/>
      <c r="N27" s="1203"/>
      <c r="O27" s="1202"/>
      <c r="P27" s="1907"/>
      <c r="Q27" s="1907"/>
      <c r="R27" s="1907"/>
      <c r="S27" s="1907"/>
      <c r="T27" s="1907"/>
      <c r="U27" s="1907"/>
      <c r="V27" s="1907"/>
    </row>
    <row r="28" spans="1:26" ht="18.75" customHeight="1">
      <c r="A28" s="289"/>
      <c r="B28" s="290">
        <v>67806</v>
      </c>
      <c r="C28" s="290">
        <v>40881</v>
      </c>
      <c r="D28" s="291"/>
      <c r="E28" s="306"/>
      <c r="F28" s="306"/>
      <c r="G28" s="306"/>
      <c r="H28" s="306"/>
      <c r="I28" s="306"/>
      <c r="J28" s="1907"/>
      <c r="K28" s="1209" t="str">
        <f ca="1">"楼面地价："&amp;N38&amp;"元/平方米"</f>
        <v>楼面地价：28395元/平方米</v>
      </c>
      <c r="L28" s="1203"/>
      <c r="M28" s="1203"/>
      <c r="N28" s="1203"/>
      <c r="O28" s="1202"/>
      <c r="P28" s="1907"/>
      <c r="V28" s="1907"/>
    </row>
    <row r="29" spans="1:26" ht="18">
      <c r="A29" s="289"/>
      <c r="B29" s="290"/>
      <c r="C29" s="290" t="s">
        <v>3230</v>
      </c>
      <c r="D29" s="291"/>
      <c r="E29" s="306"/>
      <c r="F29" s="306"/>
      <c r="G29" s="306"/>
      <c r="H29" s="306"/>
      <c r="I29" s="306"/>
      <c r="J29" s="1907"/>
      <c r="K29" s="1209" t="str">
        <f ca="1">IF(OR(项目基本情况!E8="抵押价格",项目基本情况!E8="已注销及未注销"),"抵押价格："&amp;O39&amp;"万元","——")</f>
        <v>抵押价格：233278万元</v>
      </c>
      <c r="L29" s="1203"/>
      <c r="M29" s="1203"/>
      <c r="N29" s="1203"/>
      <c r="O29" s="1202"/>
      <c r="P29" s="1907"/>
      <c r="V29" s="1907"/>
    </row>
    <row r="30" spans="1:26" ht="18.75" thickBot="1">
      <c r="A30" s="2792" t="s">
        <v>314</v>
      </c>
      <c r="B30" s="304"/>
      <c r="C30" s="304"/>
      <c r="D30" s="305"/>
      <c r="E30" s="2995" t="s">
        <v>2939</v>
      </c>
      <c r="F30" s="306"/>
      <c r="G30" s="306"/>
      <c r="H30" s="306"/>
      <c r="I30" s="306"/>
      <c r="J30" s="1907"/>
      <c r="K30" s="1209" t="str">
        <f ca="1">IF(K29="——","——","大写金额：人民币"&amp;NUMBERSTRING(INT(O39*10000),2)&amp;"元整")</f>
        <v>大写金额：人民币贰拾叁亿叁仟贰佰柒拾捌万元整</v>
      </c>
      <c r="L30" s="1203"/>
      <c r="M30" s="1203"/>
      <c r="N30" s="1203"/>
      <c r="O30" s="1202"/>
      <c r="P30" s="1907"/>
      <c r="V30" s="1907"/>
    </row>
    <row r="31" spans="1:26" ht="24" customHeight="1" thickBot="1">
      <c r="A31" s="3844" t="s">
        <v>2940</v>
      </c>
      <c r="B31" s="3844"/>
      <c r="C31" s="3844"/>
      <c r="D31" s="3844"/>
      <c r="E31" s="3844"/>
      <c r="F31" s="3844"/>
      <c r="G31" s="3844"/>
      <c r="H31" s="3844"/>
      <c r="I31" s="3844"/>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233278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9" t="s">
        <v>1657</v>
      </c>
      <c r="C33" s="260">
        <f ca="1">ROUND(C32*10000/'数据-汇总表'!E3,0)</f>
        <v>28395</v>
      </c>
      <c r="D33" s="1330" t="s">
        <v>1658</v>
      </c>
      <c r="E33" s="3801" t="s">
        <v>316</v>
      </c>
      <c r="F33" s="292" t="s">
        <v>317</v>
      </c>
      <c r="G33" s="293"/>
      <c r="H33" s="965"/>
      <c r="I33" s="1210"/>
      <c r="J33" s="1907"/>
      <c r="K33" s="1209" t="str">
        <f ca="1">IF(项目基本情况!E9="——","——","抵押净值："&amp;C46&amp;"万元")</f>
        <v>抵押净值：220942万元</v>
      </c>
      <c r="L33" s="1203"/>
      <c r="M33" s="1203"/>
      <c r="N33" s="1203"/>
      <c r="O33" s="1202"/>
      <c r="P33" s="1907"/>
      <c r="V33" s="1907"/>
    </row>
    <row r="34" spans="1:26" s="1205" customFormat="1" ht="18.75" thickBot="1">
      <c r="A34" s="296"/>
      <c r="B34" s="1331" t="s">
        <v>1659</v>
      </c>
      <c r="C34" s="260">
        <f ca="1">ROUND(C32*10000/'数据-汇总表'!D3,0)</f>
        <v>122277</v>
      </c>
      <c r="D34" s="1332" t="s">
        <v>1658</v>
      </c>
      <c r="E34" s="3802"/>
      <c r="F34" s="126" t="s">
        <v>319</v>
      </c>
      <c r="G34" s="295"/>
      <c r="H34" s="104"/>
      <c r="I34" s="306"/>
      <c r="J34" s="1907"/>
      <c r="K34" s="1212" t="str">
        <f ca="1">IF(K33="——","——","大写金额：人民币"&amp;NUMBERSTRING(INT(O41*10000),2)&amp;"元整")</f>
        <v>大写金额：人民币贰拾贰亿零玖佰肆拾贰万元整</v>
      </c>
      <c r="L34" s="1213"/>
      <c r="M34" s="1213"/>
      <c r="N34" s="1213"/>
      <c r="O34" s="1214"/>
      <c r="P34" s="1907"/>
      <c r="Q34" s="288"/>
      <c r="R34" s="288"/>
      <c r="S34" s="288"/>
      <c r="T34" s="288"/>
      <c r="U34" s="288"/>
      <c r="V34" s="1907"/>
      <c r="W34" s="288"/>
      <c r="X34" s="288"/>
      <c r="Y34" s="288"/>
      <c r="Z34" s="288"/>
    </row>
    <row r="35" spans="1:26" ht="15.75" thickBot="1">
      <c r="A35" s="280"/>
      <c r="B35" s="1333"/>
      <c r="C35" s="1334">
        <f ca="1">ROUND(C32/('数据-汇总表'!D3/666.67),0)</f>
        <v>8152</v>
      </c>
      <c r="D35" s="1335" t="s">
        <v>1660</v>
      </c>
      <c r="E35" s="3803"/>
      <c r="F35" s="297" t="s">
        <v>320</v>
      </c>
      <c r="G35" s="967"/>
      <c r="H35" s="966" t="s">
        <v>321</v>
      </c>
      <c r="I35" s="306"/>
      <c r="J35" s="1907"/>
      <c r="K35" s="3807" t="s">
        <v>327</v>
      </c>
      <c r="L35" s="3807" t="s">
        <v>328</v>
      </c>
      <c r="M35" s="1215" t="s">
        <v>329</v>
      </c>
      <c r="N35" s="3807" t="s">
        <v>330</v>
      </c>
      <c r="O35" s="3807" t="s">
        <v>331</v>
      </c>
      <c r="P35" s="1907"/>
      <c r="V35" s="1907"/>
    </row>
    <row r="36" spans="1:26" ht="16.5" customHeight="1">
      <c r="A36" s="299" t="s">
        <v>322</v>
      </c>
      <c r="B36" s="300" t="s">
        <v>311</v>
      </c>
      <c r="C36" s="301" t="s">
        <v>323</v>
      </c>
      <c r="D36" s="301" t="s">
        <v>324</v>
      </c>
      <c r="E36" s="3283" t="s">
        <v>3229</v>
      </c>
      <c r="F36" s="306"/>
      <c r="G36" s="306"/>
      <c r="H36" s="306"/>
      <c r="I36" s="306"/>
      <c r="J36" s="1909"/>
      <c r="K36" s="3808"/>
      <c r="L36" s="3808"/>
      <c r="M36" s="1217" t="s">
        <v>332</v>
      </c>
      <c r="N36" s="3808"/>
      <c r="O36" s="3808"/>
      <c r="P36" s="1907"/>
      <c r="V36" s="1907"/>
    </row>
    <row r="37" spans="1:26" ht="16.5" customHeight="1" thickBot="1">
      <c r="A37" s="1211" t="s">
        <v>325</v>
      </c>
      <c r="B37" s="302">
        <f>'数据-汇总表'!G21</f>
        <v>22548.01</v>
      </c>
      <c r="C37" s="290">
        <f>C28*0.25*0.2</f>
        <v>2044.0500000000002</v>
      </c>
      <c r="D37" s="290">
        <v>1.0305</v>
      </c>
      <c r="E37" s="291">
        <f>ROUND(B37*C37*D37/10000,0)</f>
        <v>4749</v>
      </c>
      <c r="F37" s="306"/>
      <c r="G37" s="306"/>
      <c r="H37" s="306"/>
      <c r="I37" s="306"/>
      <c r="J37" s="1909"/>
      <c r="K37" s="3809"/>
      <c r="L37" s="3809"/>
      <c r="M37" s="1218"/>
      <c r="N37" s="3809"/>
      <c r="O37" s="3809"/>
      <c r="P37" s="1907"/>
      <c r="V37" s="1907"/>
    </row>
    <row r="38" spans="1:26" ht="16.5" customHeight="1" thickBot="1">
      <c r="A38" s="1211" t="s">
        <v>326</v>
      </c>
      <c r="B38" s="302"/>
      <c r="C38" s="290"/>
      <c r="D38" s="290"/>
      <c r="E38" s="291"/>
      <c r="F38" s="306"/>
      <c r="G38" s="306"/>
      <c r="H38" s="306"/>
      <c r="I38" s="306"/>
      <c r="J38" s="1909"/>
      <c r="K38" s="1219">
        <f>'数据-汇总表'!D3</f>
        <v>19077.810000000001</v>
      </c>
      <c r="L38" s="1220">
        <f>'数据-汇总表'!E3</f>
        <v>82153.719999999972</v>
      </c>
      <c r="M38" s="1220">
        <f ca="1">C34</f>
        <v>122277</v>
      </c>
      <c r="N38" s="1220">
        <f ca="1">C33</f>
        <v>28395</v>
      </c>
      <c r="O38" s="1221">
        <f ca="1">C32</f>
        <v>233278</v>
      </c>
      <c r="P38" s="1907">
        <v>232186</v>
      </c>
      <c r="Q38" s="253">
        <f ca="1">O38-P38</f>
        <v>1092</v>
      </c>
      <c r="V38" s="1907"/>
    </row>
    <row r="39" spans="1:26" ht="16.5" customHeight="1" thickBot="1">
      <c r="A39" s="1216"/>
      <c r="B39" s="303"/>
      <c r="C39" s="304"/>
      <c r="D39" s="304"/>
      <c r="E39" s="305">
        <f ca="1">G19-E37</f>
        <v>228529</v>
      </c>
      <c r="F39" s="306"/>
      <c r="G39" s="306"/>
      <c r="H39" s="306"/>
      <c r="I39" s="306"/>
      <c r="J39" s="1909"/>
      <c r="K39" s="3820" t="str">
        <f>MID(A44,3,LEN(A44)-2)</f>
        <v>抵押价格</v>
      </c>
      <c r="L39" s="3821"/>
      <c r="M39" s="3821"/>
      <c r="N39" s="3822"/>
      <c r="O39" s="1337">
        <f ca="1">C44</f>
        <v>233278</v>
      </c>
      <c r="P39" s="1907"/>
      <c r="V39" s="1907"/>
    </row>
    <row r="40" spans="1:26" ht="19.5" thickBot="1">
      <c r="A40" s="103" t="s">
        <v>841</v>
      </c>
      <c r="B40" s="306"/>
      <c r="C40" s="306"/>
      <c r="D40" s="306"/>
      <c r="E40" s="306"/>
      <c r="F40" s="306"/>
      <c r="G40" s="306"/>
      <c r="H40" s="306"/>
      <c r="I40" s="306"/>
      <c r="J40" s="1909"/>
      <c r="K40" s="3820" t="str">
        <f t="shared" ref="K40:K41" si="0">MID(A45,3,LEN(A45)-2)</f>
        <v/>
      </c>
      <c r="L40" s="3821"/>
      <c r="M40" s="3821"/>
      <c r="N40" s="3822"/>
      <c r="O40" s="1337" t="str">
        <f>C45</f>
        <v>——</v>
      </c>
      <c r="P40" s="1907"/>
      <c r="V40" s="1907"/>
    </row>
    <row r="41" spans="1:26" ht="16.5" thickBot="1">
      <c r="A41" s="307" t="s">
        <v>333</v>
      </c>
      <c r="B41" s="308"/>
      <c r="C41" s="309" t="s">
        <v>334</v>
      </c>
      <c r="D41" s="310" t="s">
        <v>335</v>
      </c>
      <c r="E41" s="310" t="s">
        <v>336</v>
      </c>
      <c r="F41" s="311" t="s">
        <v>337</v>
      </c>
      <c r="G41" s="306"/>
      <c r="H41" s="306"/>
      <c r="I41" s="306"/>
      <c r="J41" s="1909"/>
      <c r="K41" s="3820" t="str">
        <f t="shared" si="0"/>
        <v>抵押净值</v>
      </c>
      <c r="L41" s="3821"/>
      <c r="M41" s="3821"/>
      <c r="N41" s="3822"/>
      <c r="O41" s="1337">
        <f ca="1">C46</f>
        <v>220942</v>
      </c>
      <c r="P41" s="1907"/>
      <c r="V41" s="1907"/>
    </row>
    <row r="42" spans="1:26" ht="29.25">
      <c r="A42" s="3849" t="s">
        <v>2032</v>
      </c>
      <c r="B42" s="3850"/>
      <c r="C42" s="260">
        <f ca="1">C32</f>
        <v>233278</v>
      </c>
      <c r="D42" s="312">
        <f ca="1">C33</f>
        <v>28395</v>
      </c>
      <c r="E42" s="312">
        <f ca="1">C34</f>
        <v>122277</v>
      </c>
      <c r="F42" s="313">
        <f ca="1">C35</f>
        <v>8152</v>
      </c>
      <c r="G42" s="306"/>
      <c r="H42" s="306"/>
      <c r="I42" s="314"/>
      <c r="J42" s="1909"/>
      <c r="K42" s="1222" t="s">
        <v>338</v>
      </c>
      <c r="L42" s="1926" t="s">
        <v>339</v>
      </c>
      <c r="M42" s="1223" t="s">
        <v>340</v>
      </c>
      <c r="N42" s="1927" t="s">
        <v>341</v>
      </c>
      <c r="O42" s="1928" t="s">
        <v>342</v>
      </c>
      <c r="P42" s="1907"/>
      <c r="V42" s="1907"/>
    </row>
    <row r="43" spans="1:26" ht="30">
      <c r="A43" s="3859" t="s">
        <v>2686</v>
      </c>
      <c r="B43" s="3860"/>
      <c r="C43" s="260">
        <f>IF(H33="正常操作",G33+G34+G35,G34+G35)</f>
        <v>0</v>
      </c>
      <c r="D43" s="312" t="s">
        <v>42</v>
      </c>
      <c r="E43" s="312" t="s">
        <v>43</v>
      </c>
      <c r="F43" s="313" t="s">
        <v>43</v>
      </c>
      <c r="G43" s="2579" t="s">
        <v>920</v>
      </c>
      <c r="H43" s="306"/>
      <c r="I43" s="314"/>
      <c r="J43" s="1909"/>
      <c r="K43" s="1224" t="str">
        <f>C4</f>
        <v>比较法-住宅、综合</v>
      </c>
      <c r="L43" s="1225">
        <f ca="1">IF(L42="估价结果/万元",C19,C20)</f>
        <v>246465</v>
      </c>
      <c r="M43" s="1226">
        <f>C18</f>
        <v>0.5</v>
      </c>
      <c r="N43" s="1227">
        <f ca="1">IF(N42="测算结果/万元",G19,G20)</f>
        <v>233278</v>
      </c>
      <c r="O43" s="1228">
        <f ca="1">IF(O42="最终结果/万元",C32,C33)</f>
        <v>233278</v>
      </c>
      <c r="P43" s="1907"/>
      <c r="V43" s="1907"/>
    </row>
    <row r="44" spans="1:26" ht="30.75" thickBot="1">
      <c r="A44" s="3849" t="str">
        <f>IF(OR(项目基本情况!E8="抵押价格",项目基本情况!E8="已注销及未注销"),"3.抵押价格","——")</f>
        <v>3.抵押价格</v>
      </c>
      <c r="B44" s="3850"/>
      <c r="C44" s="260">
        <f ca="1">IF(A44="——","——",C42-C43)</f>
        <v>233278</v>
      </c>
      <c r="D44" s="312">
        <f ca="1">ROUND(C44*10000/'数据-汇总表'!E3,0)</f>
        <v>28395</v>
      </c>
      <c r="E44" s="312">
        <f ca="1">ROUND(C44*10000/'数据-汇总表'!D3,0)</f>
        <v>122277</v>
      </c>
      <c r="F44" s="313">
        <f ca="1">ROUND(C44/('数据-汇总表'!D3/666.67),0)</f>
        <v>8152</v>
      </c>
      <c r="G44" s="306"/>
      <c r="H44" s="306"/>
      <c r="I44" s="314"/>
      <c r="J44" s="1909"/>
      <c r="K44" s="1229" t="str">
        <f>D4</f>
        <v>剩余法-待开发</v>
      </c>
      <c r="L44" s="1230">
        <f ca="1">IF(L42="估价结果/万元",D19,D20)</f>
        <v>220090</v>
      </c>
      <c r="M44" s="1231">
        <f>D18</f>
        <v>0.5</v>
      </c>
      <c r="N44" s="1232"/>
      <c r="O44" s="1233"/>
      <c r="P44" s="1907"/>
      <c r="V44" s="1907"/>
    </row>
    <row r="45" spans="1:26" ht="15">
      <c r="A45" s="3854" t="str">
        <f>IF(项目基本情况!E8="已注销及未注销","4.抵押担保权已注销时的抵押价格",IF(项目基本情况!E8="已注销","3.抵押担保权已注销时的抵押价格","——"))</f>
        <v>——</v>
      </c>
      <c r="B45" s="3855"/>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851" t="str">
        <f>IF(项目基本情况!E9="抵押净值",IF(A45="——","4.抵押净值","5.抵押净值"),"——")</f>
        <v>4.抵押净值</v>
      </c>
      <c r="B46" s="3852"/>
      <c r="C46" s="315">
        <f ca="1">IF(A46="——","——",O79)</f>
        <v>220942</v>
      </c>
      <c r="D46" s="312">
        <f ca="1">ROUND(C46*10000/'数据-汇总表'!E3,0)</f>
        <v>26894</v>
      </c>
      <c r="E46" s="312">
        <f ca="1">ROUND(C46*10000/'数据-汇总表'!D3,0)</f>
        <v>115811</v>
      </c>
      <c r="F46" s="313">
        <f ca="1">ROUND(C46/('数据-汇总表'!D3/666.67),0)</f>
        <v>7721</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812" t="s">
        <v>351</v>
      </c>
      <c r="B63" s="3813"/>
      <c r="C63" s="3814"/>
      <c r="D63" s="336">
        <f ca="1">ROUND(C42*F63,0)</f>
        <v>233278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856" t="s">
        <v>355</v>
      </c>
      <c r="B64" s="3857"/>
      <c r="C64" s="3857"/>
      <c r="D64" s="3857"/>
      <c r="E64" s="3857"/>
      <c r="F64" s="3857"/>
      <c r="G64" s="3858"/>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853" t="s">
        <v>363</v>
      </c>
      <c r="B66" s="3819"/>
      <c r="C66" s="3819"/>
      <c r="D66" s="257">
        <f ca="1">IF(H66="情况1",0,IF(H66="情况2",D70,IF(H66="情况3",D71,IF(H66="情况4",D72))))</f>
        <v>12219</v>
      </c>
      <c r="E66" s="978" t="str">
        <f>IF(H66="情况4","(销售额-原购置价)×税（费）率","销售额×税（费）率")</f>
        <v>销售额×税（费）率</v>
      </c>
      <c r="F66" s="345">
        <f>IF(H66="情况1","免征",'数据-取费表'!B41)</f>
        <v>5.5000000000000007E-2</v>
      </c>
      <c r="G66" s="346" t="s">
        <v>364</v>
      </c>
      <c r="H66" s="188" t="s">
        <v>3225</v>
      </c>
      <c r="I66" s="1239"/>
      <c r="J66" s="1913"/>
      <c r="K66" s="1242">
        <v>1</v>
      </c>
      <c r="L66" s="3780" t="s">
        <v>362</v>
      </c>
      <c r="M66" s="3781"/>
      <c r="N66" s="2308"/>
      <c r="O66" s="2309"/>
      <c r="P66" s="2310"/>
      <c r="Q66" s="1907"/>
      <c r="R66" s="1907"/>
      <c r="S66" s="1907"/>
      <c r="T66" s="1907"/>
      <c r="U66" s="1907"/>
      <c r="V66" s="1907"/>
    </row>
    <row r="67" spans="1:22" ht="25.5" customHeight="1">
      <c r="A67" s="347" t="s">
        <v>366</v>
      </c>
      <c r="B67" s="3831" t="s">
        <v>367</v>
      </c>
      <c r="C67" s="3831"/>
      <c r="D67" s="348">
        <v>0</v>
      </c>
      <c r="E67" s="40" t="s">
        <v>368</v>
      </c>
      <c r="F67" s="61" t="s">
        <v>20</v>
      </c>
      <c r="G67" s="3815"/>
      <c r="H67" s="2998" t="s">
        <v>2941</v>
      </c>
      <c r="I67" s="3000"/>
      <c r="J67" s="1914"/>
      <c r="K67" s="1886">
        <v>2</v>
      </c>
      <c r="L67" s="3785" t="s">
        <v>365</v>
      </c>
      <c r="M67" s="3785"/>
      <c r="N67" s="1276">
        <f>'数据-取费表'!B2</f>
        <v>44557</v>
      </c>
      <c r="O67" s="1276"/>
      <c r="P67" s="1276"/>
      <c r="Q67" s="1907"/>
      <c r="R67" s="1907"/>
      <c r="S67" s="1907"/>
      <c r="T67" s="1907"/>
      <c r="U67" s="1907"/>
      <c r="V67" s="1907"/>
    </row>
    <row r="68" spans="1:22" ht="25.5" customHeight="1">
      <c r="A68" s="349"/>
      <c r="B68" s="3831" t="s">
        <v>370</v>
      </c>
      <c r="C68" s="3831"/>
      <c r="D68" s="350"/>
      <c r="E68" s="76"/>
      <c r="F68" s="351"/>
      <c r="G68" s="3816"/>
      <c r="H68" s="2999" t="s">
        <v>2942</v>
      </c>
      <c r="I68" s="3000"/>
      <c r="J68" s="1914"/>
      <c r="K68" s="1886">
        <v>3</v>
      </c>
      <c r="L68" s="3785" t="s">
        <v>369</v>
      </c>
      <c r="M68" s="3785"/>
      <c r="N68" s="1244">
        <f ca="1">C42</f>
        <v>233278</v>
      </c>
      <c r="O68" s="1244"/>
      <c r="P68" s="1244"/>
      <c r="Q68" s="1907"/>
      <c r="R68" s="1907"/>
      <c r="S68" s="1907"/>
      <c r="T68" s="1907"/>
      <c r="U68" s="1907"/>
      <c r="V68" s="1907"/>
    </row>
    <row r="69" spans="1:22" ht="23.45" customHeight="1">
      <c r="A69" s="352"/>
      <c r="B69" s="3831" t="s">
        <v>371</v>
      </c>
      <c r="C69" s="3831"/>
      <c r="D69" s="353"/>
      <c r="E69" s="72"/>
      <c r="F69" s="351"/>
      <c r="G69" s="3817"/>
      <c r="H69" s="2999" t="s">
        <v>2943</v>
      </c>
      <c r="I69" s="3000"/>
      <c r="J69" s="1914"/>
      <c r="K69" s="1245">
        <v>4</v>
      </c>
      <c r="L69" s="3786" t="s">
        <v>2838</v>
      </c>
      <c r="M69" s="3787"/>
      <c r="N69" s="1246">
        <f ca="1">C44</f>
        <v>233278</v>
      </c>
      <c r="O69" s="1246"/>
      <c r="P69" s="1246"/>
      <c r="Q69" s="1907"/>
      <c r="R69" s="1907"/>
      <c r="S69" s="1907"/>
      <c r="T69" s="1907"/>
      <c r="U69" s="1907"/>
      <c r="V69" s="1907"/>
    </row>
    <row r="70" spans="1:22" ht="24" customHeight="1">
      <c r="A70" s="354" t="s">
        <v>372</v>
      </c>
      <c r="B70" s="3831" t="s">
        <v>373</v>
      </c>
      <c r="C70" s="3831"/>
      <c r="D70" s="353">
        <f ca="1">ROUND(D63*'数据-取费表'!B41/(1+'数据-取费表'!C42),0)</f>
        <v>12219</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830" t="s">
        <v>2972</v>
      </c>
      <c r="C71" s="3847"/>
      <c r="D71" s="353">
        <f ca="1">ROUND(D63*'数据-取费表'!B41/(1+'数据-取费表'!C42),0)</f>
        <v>12219</v>
      </c>
      <c r="E71" s="17" t="s">
        <v>374</v>
      </c>
      <c r="F71" s="355">
        <f>'数据-取费表'!B41</f>
        <v>5.5000000000000007E-2</v>
      </c>
      <c r="G71" s="356"/>
      <c r="H71" s="306"/>
      <c r="I71" s="1243"/>
      <c r="J71" s="1914"/>
      <c r="K71" s="2756" t="s">
        <v>375</v>
      </c>
      <c r="L71" s="3788" t="s">
        <v>376</v>
      </c>
      <c r="M71" s="3788"/>
      <c r="N71" s="2756" t="s">
        <v>377</v>
      </c>
      <c r="O71" s="2756" t="s">
        <v>378</v>
      </c>
      <c r="P71" s="2756" t="s">
        <v>379</v>
      </c>
      <c r="Q71" s="1907"/>
      <c r="R71" s="1907"/>
      <c r="S71" s="1907"/>
      <c r="T71" s="1907"/>
      <c r="U71" s="1907"/>
      <c r="V71" s="1907"/>
    </row>
    <row r="72" spans="1:22" ht="12" customHeight="1">
      <c r="A72" s="354" t="s">
        <v>382</v>
      </c>
      <c r="B72" s="3830" t="s">
        <v>2973</v>
      </c>
      <c r="C72" s="3847"/>
      <c r="D72" s="353">
        <f ca="1">C86</f>
        <v>12219</v>
      </c>
      <c r="E72" s="72" t="s">
        <v>383</v>
      </c>
      <c r="F72" s="355">
        <f>'数据-取费表'!B41</f>
        <v>5.5000000000000007E-2</v>
      </c>
      <c r="G72" s="356"/>
      <c r="H72" s="1249"/>
      <c r="I72" s="1243"/>
      <c r="J72" s="1914"/>
      <c r="K72" s="1886">
        <v>1</v>
      </c>
      <c r="L72" s="3784" t="s">
        <v>381</v>
      </c>
      <c r="M72" s="3784"/>
      <c r="N72" s="1247">
        <f ca="1">D66</f>
        <v>12219</v>
      </c>
      <c r="O72" s="1769" t="str">
        <f>E66</f>
        <v>销售额×税（费）率</v>
      </c>
      <c r="P72" s="1248">
        <f>F66</f>
        <v>5.5000000000000007E-2</v>
      </c>
      <c r="Q72" s="1907"/>
      <c r="R72" s="1907"/>
      <c r="S72" s="1907"/>
      <c r="T72" s="1907"/>
      <c r="U72" s="1907"/>
      <c r="V72" s="1907"/>
    </row>
    <row r="73" spans="1:22" ht="24" customHeight="1">
      <c r="A73" s="3818" t="s">
        <v>385</v>
      </c>
      <c r="B73" s="3819"/>
      <c r="C73" s="3819"/>
      <c r="D73" s="357">
        <f ca="1">IF(H73="个人住宅",0,ROUND(D63*I73,0))</f>
        <v>117</v>
      </c>
      <c r="E73" s="17" t="s">
        <v>386</v>
      </c>
      <c r="F73" s="355">
        <f>IF(H73="正常",I73,"免征")</f>
        <v>5.0000000000000001E-4</v>
      </c>
      <c r="G73" s="356"/>
      <c r="H73" s="188" t="s">
        <v>3179</v>
      </c>
      <c r="I73" s="355">
        <f>'数据-取费表'!B49</f>
        <v>5.0000000000000001E-4</v>
      </c>
      <c r="J73" s="1914"/>
      <c r="K73" s="1886">
        <v>2</v>
      </c>
      <c r="L73" s="3784" t="s">
        <v>384</v>
      </c>
      <c r="M73" s="3784"/>
      <c r="N73" s="1247">
        <f t="shared" ref="N73:P74" ca="1" si="1">D73</f>
        <v>117</v>
      </c>
      <c r="O73" s="1769" t="str">
        <f t="shared" si="1"/>
        <v>销售额×税（费）率</v>
      </c>
      <c r="P73" s="1248">
        <f t="shared" si="1"/>
        <v>5.0000000000000001E-4</v>
      </c>
      <c r="Q73" s="1907"/>
      <c r="R73" s="1907"/>
      <c r="S73" s="1907"/>
      <c r="T73" s="1907"/>
      <c r="U73" s="1907"/>
      <c r="V73" s="1907"/>
    </row>
    <row r="74" spans="1:22" ht="24.75">
      <c r="A74" s="3818" t="s">
        <v>388</v>
      </c>
      <c r="B74" s="3819"/>
      <c r="C74" s="3819"/>
      <c r="D74" s="357">
        <f ca="1">IF(H74="个人住宅",D75,D76)</f>
        <v>0</v>
      </c>
      <c r="E74" s="17" t="s">
        <v>389</v>
      </c>
      <c r="F74" s="355" t="str">
        <f>IF(H74="正常",F76,"免征")</f>
        <v>——</v>
      </c>
      <c r="G74" s="968" t="s">
        <v>390</v>
      </c>
      <c r="H74" s="358" t="s">
        <v>3179</v>
      </c>
      <c r="I74" s="41"/>
      <c r="J74" s="1914"/>
      <c r="K74" s="1886">
        <v>3</v>
      </c>
      <c r="L74" s="3784" t="s">
        <v>387</v>
      </c>
      <c r="M74" s="3784"/>
      <c r="N74" s="1247">
        <f t="shared" ca="1" si="1"/>
        <v>0</v>
      </c>
      <c r="O74" s="1769" t="str">
        <f t="shared" si="1"/>
        <v>增值额×税（费）率</v>
      </c>
      <c r="P74" s="1250" t="str">
        <f t="shared" si="1"/>
        <v>——</v>
      </c>
      <c r="Q74" s="1907"/>
      <c r="R74" s="1907"/>
      <c r="S74" s="1907"/>
      <c r="T74" s="1907"/>
      <c r="U74" s="1907"/>
      <c r="V74" s="1907"/>
    </row>
    <row r="75" spans="1:22" ht="12.75">
      <c r="A75" s="354" t="s">
        <v>391</v>
      </c>
      <c r="B75" s="3799" t="s">
        <v>392</v>
      </c>
      <c r="C75" s="3800"/>
      <c r="D75" s="359">
        <v>0</v>
      </c>
      <c r="E75" s="40" t="s">
        <v>393</v>
      </c>
      <c r="F75" s="360"/>
      <c r="G75" s="356"/>
      <c r="H75" s="41"/>
      <c r="I75" s="41"/>
      <c r="J75" s="1914"/>
      <c r="K75" s="2750" t="str">
        <f>IF(H77="非个人房产","",4)</f>
        <v/>
      </c>
      <c r="L75" s="3784" t="str">
        <f>IF(H77="非个人房产","——","个人所得税")</f>
        <v>——</v>
      </c>
      <c r="M75" s="3784"/>
      <c r="N75" s="1251" t="str">
        <f>D77</f>
        <v>——</v>
      </c>
      <c r="O75" s="1782" t="str">
        <f>E77</f>
        <v>——</v>
      </c>
      <c r="P75" s="1252" t="str">
        <f>F77</f>
        <v>——</v>
      </c>
      <c r="Q75" s="1907"/>
      <c r="R75" s="1907"/>
      <c r="S75" s="1907"/>
      <c r="T75" s="1907"/>
      <c r="U75" s="1907"/>
      <c r="V75" s="1907"/>
    </row>
    <row r="76" spans="1:22" ht="24.75">
      <c r="A76" s="354" t="s">
        <v>372</v>
      </c>
      <c r="B76" s="3799" t="s">
        <v>395</v>
      </c>
      <c r="C76" s="3841"/>
      <c r="D76" s="357">
        <f ca="1">IF(H76="转让取得",C99,C115)</f>
        <v>0</v>
      </c>
      <c r="E76" s="17" t="s">
        <v>396</v>
      </c>
      <c r="F76" s="52" t="s">
        <v>20</v>
      </c>
      <c r="G76" s="356"/>
      <c r="H76" s="358" t="s">
        <v>3226</v>
      </c>
      <c r="I76" s="41"/>
      <c r="J76" s="1914"/>
      <c r="K76" s="2750" t="str">
        <f>IF(项目基本情况!K6="上海银行",IF(K75="",4,K75+1),"")</f>
        <v/>
      </c>
      <c r="L76" s="3795" t="str">
        <f>IF(项目基本情况!K6="上海银行","其他处置费用","")</f>
        <v/>
      </c>
      <c r="M76" s="3796"/>
      <c r="N76" s="1247" t="str">
        <f>IF(项目基本情况!K6="上海银行",N89,"")</f>
        <v/>
      </c>
      <c r="O76" s="3797" t="str">
        <f>IF(项目基本情况!K6="上海银行","包含处置中涉及的律师、诉讼、拍卖、评估等费用","")</f>
        <v/>
      </c>
      <c r="P76" s="3798"/>
      <c r="Q76" s="1907"/>
      <c r="R76" s="1907"/>
      <c r="S76" s="1907"/>
      <c r="T76" s="1907"/>
      <c r="U76" s="1907"/>
      <c r="V76" s="1907"/>
    </row>
    <row r="77" spans="1:22" ht="24.75" thickBot="1">
      <c r="A77" s="3810" t="s">
        <v>398</v>
      </c>
      <c r="B77" s="3811"/>
      <c r="C77" s="3811"/>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3236</v>
      </c>
      <c r="I77" s="3001" t="s">
        <v>2944</v>
      </c>
      <c r="J77" s="1914"/>
      <c r="K77" s="3806">
        <f>IF(AND(K75="",K76=""),4,IF(项目基本情况!K6="上海银行",K76+1,K75+1))</f>
        <v>4</v>
      </c>
      <c r="L77" s="3784" t="s">
        <v>2839</v>
      </c>
      <c r="M77" s="2755" t="s">
        <v>394</v>
      </c>
      <c r="N77" s="1253"/>
      <c r="O77" s="1254">
        <f ca="1">SUMIF(N72:N76,"&lt;9e307")</f>
        <v>12336</v>
      </c>
      <c r="P77" s="1255"/>
      <c r="Q77" s="2753">
        <f ca="1">O77/N69</f>
        <v>5.2881111806514114E-2</v>
      </c>
      <c r="R77" s="1907"/>
      <c r="S77" s="1907"/>
      <c r="T77" s="1907"/>
      <c r="U77" s="1907"/>
      <c r="V77" s="1907"/>
    </row>
    <row r="78" spans="1:22" ht="12" customHeight="1">
      <c r="A78" s="1256"/>
      <c r="B78" s="306"/>
      <c r="C78" s="306"/>
      <c r="D78" s="306"/>
      <c r="E78" s="41"/>
      <c r="F78" s="41"/>
      <c r="G78" s="41"/>
      <c r="H78" s="988"/>
      <c r="I78" s="306"/>
      <c r="J78" s="1914"/>
      <c r="K78" s="3806"/>
      <c r="L78" s="3784"/>
      <c r="M78" s="2755" t="s">
        <v>397</v>
      </c>
      <c r="N78" s="1253"/>
      <c r="O78" s="1254" t="str">
        <f ca="1">NUMBERSTRING(INT(O77*10000),2)&amp;"元整"</f>
        <v>壹亿贰仟叁佰叁拾陆万元整</v>
      </c>
      <c r="P78" s="1255"/>
      <c r="Q78" s="1907"/>
      <c r="R78" s="1907"/>
      <c r="S78" s="1907"/>
      <c r="T78" s="1907"/>
      <c r="U78" s="1907"/>
      <c r="V78" s="1907"/>
    </row>
    <row r="79" spans="1:22" ht="13.5" thickBot="1">
      <c r="A79" s="3861" t="s">
        <v>399</v>
      </c>
      <c r="B79" s="3861"/>
      <c r="C79" s="3861"/>
      <c r="D79" s="3861"/>
      <c r="E79" s="3861"/>
      <c r="F79" s="41"/>
      <c r="G79" s="41"/>
      <c r="H79" s="988"/>
      <c r="I79" s="306"/>
      <c r="J79" s="1914"/>
      <c r="K79" s="3782">
        <f>K77+1</f>
        <v>5</v>
      </c>
      <c r="L79" s="3784" t="s">
        <v>2840</v>
      </c>
      <c r="M79" s="2755" t="s">
        <v>394</v>
      </c>
      <c r="N79" s="1253"/>
      <c r="O79" s="1254">
        <f ca="1">N69-O77</f>
        <v>220942</v>
      </c>
      <c r="P79" s="1255"/>
      <c r="Q79" s="1907"/>
      <c r="R79" s="1907"/>
      <c r="S79" s="1907"/>
      <c r="T79" s="1907"/>
      <c r="U79" s="1907"/>
      <c r="V79" s="1907"/>
    </row>
    <row r="80" spans="1:22" ht="25.5">
      <c r="A80" s="3792" t="s">
        <v>400</v>
      </c>
      <c r="B80" s="3793"/>
      <c r="C80" s="979"/>
      <c r="D80" s="979" t="s">
        <v>401</v>
      </c>
      <c r="E80" s="361" t="s">
        <v>402</v>
      </c>
      <c r="F80" s="41"/>
      <c r="G80" s="41"/>
      <c r="H80" s="988"/>
      <c r="I80" s="306"/>
      <c r="J80" s="1907"/>
      <c r="K80" s="3783"/>
      <c r="L80" s="3784"/>
      <c r="M80" s="2755" t="s">
        <v>397</v>
      </c>
      <c r="N80" s="1253"/>
      <c r="O80" s="1254" t="str">
        <f ca="1">NUMBERSTRING(INT(O79*10000),2)&amp;"元整"</f>
        <v>贰拾贰亿零玖佰肆拾贰万元整</v>
      </c>
      <c r="P80" s="1255"/>
      <c r="Q80" s="1907"/>
      <c r="R80" s="1907"/>
      <c r="S80" s="1907"/>
      <c r="T80" s="1907"/>
      <c r="U80" s="1907"/>
      <c r="V80" s="1907"/>
    </row>
    <row r="81" spans="1:26" ht="13.5" thickBot="1">
      <c r="A81" s="372" t="s">
        <v>1790</v>
      </c>
      <c r="B81" s="362" t="s">
        <v>403</v>
      </c>
      <c r="C81" s="363">
        <f ca="1">ROUND((C82+C83)/(1+'数据-取费表'!C42),0)</f>
        <v>222170</v>
      </c>
      <c r="D81" s="364"/>
      <c r="E81" s="365"/>
      <c r="F81" s="41"/>
      <c r="G81" s="41"/>
      <c r="H81" s="988"/>
      <c r="I81" s="306"/>
      <c r="J81" s="1907"/>
      <c r="K81" s="2750">
        <f>K79+1</f>
        <v>6</v>
      </c>
      <c r="L81" s="3804" t="s">
        <v>2841</v>
      </c>
      <c r="M81" s="3805"/>
      <c r="N81" s="1257"/>
      <c r="O81" s="1258">
        <f ca="1">ROUND(O79*10000/'数据-汇总表'!E3,0)</f>
        <v>26894</v>
      </c>
      <c r="P81" s="1259"/>
      <c r="Q81" s="1907"/>
      <c r="R81" s="1907"/>
      <c r="S81" s="1907"/>
      <c r="T81" s="1907"/>
      <c r="U81" s="1907"/>
      <c r="V81" s="1907"/>
    </row>
    <row r="82" spans="1:26" ht="13.5" thickTop="1">
      <c r="A82" s="366" t="s">
        <v>1791</v>
      </c>
      <c r="B82" s="367" t="s">
        <v>404</v>
      </c>
      <c r="C82" s="368">
        <f ca="1">D63</f>
        <v>233278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794" t="s">
        <v>2829</v>
      </c>
      <c r="L83" s="2761" t="s">
        <v>2830</v>
      </c>
      <c r="M83" s="2751">
        <f ca="1">IF(N69&gt;10000,N69*0.5%,IF(AND(N69&gt;1000,N69&lt;=10000),N69*1%,IF(AND(N69&gt;100,N69&lt;=1000),N69*3%,IF(AND(N69&gt;10,N69&lt;=100),N69*5%,N69*8%))))</f>
        <v>1166.3900000000001</v>
      </c>
      <c r="N83" s="52">
        <f ca="1">ROUND(M83,1)</f>
        <v>1166.4000000000001</v>
      </c>
      <c r="O83" s="2754"/>
      <c r="P83" s="1907"/>
      <c r="Q83" s="1907"/>
      <c r="R83" s="1907"/>
      <c r="S83" s="1907"/>
      <c r="T83" s="1907"/>
      <c r="U83" s="1907"/>
      <c r="V83" s="1907"/>
    </row>
    <row r="84" spans="1:26" ht="12.75">
      <c r="A84" s="372" t="s">
        <v>1793</v>
      </c>
      <c r="B84" s="373" t="s">
        <v>406</v>
      </c>
      <c r="C84" s="374"/>
      <c r="D84" s="375" t="s">
        <v>18</v>
      </c>
      <c r="E84" s="2779" t="s">
        <v>2882</v>
      </c>
      <c r="F84" s="41"/>
      <c r="G84" s="41"/>
      <c r="H84" s="988"/>
      <c r="I84" s="306"/>
      <c r="J84" s="1907"/>
      <c r="K84" s="3794"/>
      <c r="L84" s="2761" t="s">
        <v>2831</v>
      </c>
      <c r="M84" s="2751">
        <f ca="1">IF(N69&gt;2000,N69*0.5%,IF(AND(N69&gt;1000,N69&lt;=2000),N69*0.6%,IF(AND(N69&gt;500,N69&lt;=1000),N69*0.7%,IF(AND(N69&gt;200,N69&lt;=500),N69*0.8%,IF(AND(N69&gt;100,N69&lt;=200),N69*0.9%,IF(AND(N69&gt;50,N69&lt;=100),N69*1%,IF(AND(N69&gt;20,N69&lt;=50),N69*1.5%,IF(AND(N69&gt;10,N69&lt;=20),N69*2%,IF(AND(N69&gt;1,N69&lt;=10),N69*2.5%)))))))))</f>
        <v>1166.3900000000001</v>
      </c>
      <c r="N84" s="52">
        <f t="shared" ref="N84:N85" ca="1" si="2">ROUND(M84,1)</f>
        <v>1166.4000000000001</v>
      </c>
      <c r="O84" s="1907" t="s">
        <v>2832</v>
      </c>
      <c r="P84" s="1907"/>
      <c r="Q84" s="1907"/>
      <c r="R84" s="1907"/>
      <c r="S84" s="1907"/>
      <c r="T84" s="1907"/>
      <c r="U84" s="1907"/>
      <c r="V84" s="1907"/>
    </row>
    <row r="85" spans="1:26" ht="12.75">
      <c r="A85" s="372" t="s">
        <v>1794</v>
      </c>
      <c r="B85" s="373" t="s">
        <v>407</v>
      </c>
      <c r="C85" s="376">
        <f ca="1">C81-C84</f>
        <v>222170</v>
      </c>
      <c r="D85" s="369" t="s">
        <v>18</v>
      </c>
      <c r="E85" s="370"/>
      <c r="F85" s="41"/>
      <c r="G85" s="41"/>
      <c r="H85" s="988"/>
      <c r="I85" s="306"/>
      <c r="J85" s="1907"/>
      <c r="K85" s="3794"/>
      <c r="L85" s="2761" t="s">
        <v>2833</v>
      </c>
      <c r="M85" s="2751">
        <f ca="1">IF(N69&gt;1000,N69*0.1%,IF(AND(N69&gt;500,N69&lt;=1000),N69*0.5%,IF(AND(N69&gt;50,N69&lt;=500),N69*1%,IF(AND(N69&gt;1,N69&lt;=50),N69*1.5%))))</f>
        <v>233.27799999999999</v>
      </c>
      <c r="N85" s="52">
        <f t="shared" ca="1" si="2"/>
        <v>233.3</v>
      </c>
      <c r="O85" s="1907" t="s">
        <v>2832</v>
      </c>
      <c r="P85" s="1907"/>
      <c r="Q85" s="1907"/>
      <c r="R85" s="1907"/>
      <c r="S85" s="1907"/>
      <c r="T85" s="1907"/>
      <c r="U85" s="1907"/>
      <c r="V85" s="1907"/>
    </row>
    <row r="86" spans="1:26" ht="13.5" thickBot="1">
      <c r="A86" s="377" t="s">
        <v>1795</v>
      </c>
      <c r="B86" s="378" t="s">
        <v>408</v>
      </c>
      <c r="C86" s="379">
        <f ca="1">IF(C85&lt;=0,0,ROUND(C85*D86,0))</f>
        <v>12219</v>
      </c>
      <c r="D86" s="380">
        <f>'数据-取费表'!B41</f>
        <v>5.5000000000000007E-2</v>
      </c>
      <c r="E86" s="381"/>
      <c r="F86" s="41"/>
      <c r="G86" s="41"/>
      <c r="H86" s="988"/>
      <c r="I86" s="306"/>
      <c r="J86" s="1907"/>
      <c r="K86" s="3794"/>
      <c r="L86" s="2761" t="s">
        <v>2834</v>
      </c>
      <c r="M86" s="2751">
        <f ca="1">N69*0.5%</f>
        <v>1166.3900000000001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794"/>
      <c r="L87" s="2761" t="s">
        <v>2836</v>
      </c>
      <c r="M87" s="2751">
        <f ca="1">IF(N69&gt;=10000,(8.25+(N69-10000)*0.01%),IF(AND(N69&gt;=8000,N69&lt;10000),(7.85+(N69-8000)*0.02%),IF(AND(N69&gt;=5000,N69&lt;8000),(6.65+(N69-5000)*0.04%),IF(AND(N69&gt;=2000,N69&lt;5000),(4.25+(PN69-2000)*0.08%),IF(AND(N69&gt;=1000,N69&lt;2000),(2.75+(N69-1000)*0.15%),IF(AND(N69&gt;=100,N69&lt;1000),(0.5+(N69-100)*0.25%),IF(AND(N69&gt;0,N69&lt;100),N69*0.5%)))))))</f>
        <v>30.5778</v>
      </c>
      <c r="N87" s="52">
        <f ca="1">ROUND(M87*0.9,1)</f>
        <v>27.5</v>
      </c>
      <c r="O87" s="2754"/>
      <c r="P87" s="1907"/>
      <c r="Q87" s="1907"/>
      <c r="R87" s="1907"/>
      <c r="S87" s="1907"/>
      <c r="T87" s="1907"/>
      <c r="U87" s="1907"/>
      <c r="V87" s="1907"/>
      <c r="W87" s="288"/>
      <c r="X87" s="288"/>
      <c r="Y87" s="288"/>
      <c r="Z87" s="288"/>
    </row>
    <row r="88" spans="1:26" s="1265" customFormat="1" ht="15" thickBot="1">
      <c r="A88" s="3833" t="s">
        <v>409</v>
      </c>
      <c r="B88" s="3834"/>
      <c r="C88" s="3834"/>
      <c r="D88" s="3834"/>
      <c r="E88" s="3834"/>
      <c r="F88" s="3834"/>
      <c r="G88" s="3834"/>
      <c r="H88" s="3834"/>
      <c r="I88" s="1266"/>
      <c r="J88" s="1915"/>
      <c r="K88" s="3794"/>
      <c r="L88" s="2761" t="s">
        <v>2837</v>
      </c>
      <c r="M88" s="2751">
        <f ca="1">IF(N69&gt;10000,N69*0.5%,IF(AND(N69&gt;5000,N69&lt;=10000),N69*1%,IF(AND(N69&gt;1000,N69&lt;=5000),N69*2%,IF(AND(N69&gt;200,N69&lt;=1000),N69*3%,N69*5%))))</f>
        <v>1166.3900000000001</v>
      </c>
      <c r="N88" s="52">
        <f ca="1">ROUND(M88,1)</f>
        <v>1166.4000000000001</v>
      </c>
      <c r="O88" s="2754"/>
      <c r="P88" s="1912"/>
      <c r="Q88" s="1912"/>
      <c r="R88" s="1912"/>
      <c r="S88" s="1912"/>
      <c r="T88" s="1912"/>
      <c r="U88" s="1912"/>
      <c r="V88" s="1912"/>
      <c r="W88" s="1916"/>
      <c r="X88" s="1916"/>
      <c r="Y88" s="1916"/>
      <c r="Z88" s="1916"/>
    </row>
    <row r="89" spans="1:26" s="1265" customFormat="1" ht="14.25">
      <c r="A89" s="3792" t="s">
        <v>400</v>
      </c>
      <c r="B89" s="3793"/>
      <c r="C89" s="979"/>
      <c r="D89" s="979" t="s">
        <v>401</v>
      </c>
      <c r="E89" s="382" t="s">
        <v>410</v>
      </c>
      <c r="F89" s="383"/>
      <c r="G89" s="383"/>
      <c r="H89" s="384"/>
      <c r="I89" s="1267"/>
      <c r="J89" s="1917"/>
      <c r="K89" s="3794"/>
      <c r="L89" s="2761" t="s">
        <v>26</v>
      </c>
      <c r="M89" s="2752"/>
      <c r="N89" s="52">
        <f ca="1">ROUND(SUM(N83:N88),0)</f>
        <v>3761</v>
      </c>
      <c r="O89" s="2762">
        <f ca="1">N89/N69</f>
        <v>1.6122394739323895E-2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222170</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1111</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830" t="s">
        <v>418</v>
      </c>
      <c r="F94" s="3831"/>
      <c r="G94" s="3831"/>
      <c r="H94" s="3832"/>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1111</v>
      </c>
      <c r="D96" s="397">
        <f>'数据-取费表'!B43</f>
        <v>5.000000000000001E-3</v>
      </c>
      <c r="E96" s="3789" t="s">
        <v>2389</v>
      </c>
      <c r="F96" s="3790"/>
      <c r="G96" s="3790"/>
      <c r="H96" s="3791"/>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221059</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198.97299729972997</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132247</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833" t="s">
        <v>425</v>
      </c>
      <c r="B101" s="3834"/>
      <c r="C101" s="3834"/>
      <c r="D101" s="3834"/>
      <c r="E101" s="3834"/>
      <c r="F101" s="3834"/>
      <c r="G101" s="3834"/>
      <c r="H101" s="3834"/>
      <c r="I101" s="11"/>
      <c r="J101" s="1912"/>
      <c r="K101" s="3684" t="s">
        <v>3451</v>
      </c>
      <c r="L101" s="1912">
        <v>40881</v>
      </c>
      <c r="M101" s="1912">
        <f>'数据-汇总表'!F19</f>
        <v>51777.739999999991</v>
      </c>
      <c r="N101" s="1912">
        <f>L101*M101</f>
        <v>2116725788.9399996</v>
      </c>
      <c r="O101" s="1912"/>
      <c r="P101" s="1912"/>
      <c r="Q101" s="1912"/>
      <c r="R101" s="1912"/>
      <c r="S101" s="1912"/>
      <c r="T101" s="1912"/>
      <c r="U101" s="1912"/>
      <c r="V101" s="1912"/>
      <c r="W101" s="1916"/>
      <c r="X101" s="1916"/>
      <c r="Y101" s="1916"/>
      <c r="Z101" s="1916"/>
    </row>
    <row r="102" spans="1:26" s="1265" customFormat="1" ht="14.25">
      <c r="A102" s="3792" t="s">
        <v>400</v>
      </c>
      <c r="B102" s="3793"/>
      <c r="C102" s="979"/>
      <c r="D102" s="979" t="s">
        <v>401</v>
      </c>
      <c r="E102" s="382" t="s">
        <v>410</v>
      </c>
      <c r="F102" s="383"/>
      <c r="G102" s="383"/>
      <c r="H102" s="404"/>
      <c r="I102" s="11"/>
      <c r="J102" s="1912"/>
      <c r="K102" s="3684" t="s">
        <v>3452</v>
      </c>
      <c r="L102" s="3685">
        <f>L101*0.25*0.25</f>
        <v>2555.0625</v>
      </c>
      <c r="M102" s="1912">
        <f>'数据-汇总表'!G22</f>
        <v>6350.35</v>
      </c>
      <c r="N102" s="1912">
        <f t="shared" ref="N102:N104" si="3">L102*M102</f>
        <v>16225541.146875001</v>
      </c>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222170</v>
      </c>
      <c r="D103" s="369" t="s">
        <v>18</v>
      </c>
      <c r="E103" s="976"/>
      <c r="F103" s="975"/>
      <c r="G103" s="975"/>
      <c r="H103" s="405"/>
      <c r="I103" s="11"/>
      <c r="J103" s="1912"/>
      <c r="K103" s="3684" t="s">
        <v>3453</v>
      </c>
      <c r="L103" s="3685">
        <f>L101*0.25*0.2</f>
        <v>2044.0500000000002</v>
      </c>
      <c r="M103" s="1912">
        <f>'数据-汇总表'!G21</f>
        <v>22548.01</v>
      </c>
      <c r="N103" s="1912">
        <f t="shared" si="3"/>
        <v>46089259.840499997</v>
      </c>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226750</v>
      </c>
      <c r="D104" s="406"/>
      <c r="E104" s="976"/>
      <c r="F104" s="975"/>
      <c r="G104" s="975"/>
      <c r="H104" s="405"/>
      <c r="I104" s="11"/>
      <c r="J104" s="1912"/>
      <c r="K104" s="3684" t="s">
        <v>3454</v>
      </c>
      <c r="L104" s="3685">
        <f>L101*0.25*0.7</f>
        <v>7154.1749999999993</v>
      </c>
      <c r="M104" s="1912">
        <f>'数据-汇总表'!G23</f>
        <v>1477.62</v>
      </c>
      <c r="N104" s="1912">
        <f t="shared" si="3"/>
        <v>10571152.063499998</v>
      </c>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225639</v>
      </c>
      <c r="D105" s="397"/>
      <c r="E105" s="970"/>
      <c r="F105" s="971"/>
      <c r="G105" s="971"/>
      <c r="H105" s="972"/>
      <c r="I105" s="11"/>
      <c r="J105" s="1912"/>
      <c r="K105" s="1912"/>
      <c r="L105" s="1912"/>
      <c r="M105" s="1912"/>
      <c r="N105" s="1912">
        <f>N101+N102+N103+N104</f>
        <v>2189611741.9908743</v>
      </c>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f>ROUND(N105/10000,0)</f>
        <v>218961</v>
      </c>
      <c r="D106" s="397"/>
      <c r="E106" s="408" t="s">
        <v>428</v>
      </c>
      <c r="F106" s="971"/>
      <c r="G106" s="409" t="s">
        <v>429</v>
      </c>
      <c r="H106" s="410" t="s">
        <v>3224</v>
      </c>
      <c r="I106" s="11"/>
      <c r="J106" s="1912"/>
      <c r="K106" s="3235" t="s">
        <v>2965</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6678</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845" t="s">
        <v>2936</v>
      </c>
      <c r="H108" s="3846"/>
      <c r="I108" s="2851"/>
      <c r="J108" s="1912"/>
      <c r="K108" s="3235" t="s">
        <v>2966</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823" t="s">
        <v>433</v>
      </c>
      <c r="F109" s="3790"/>
      <c r="G109" s="3790"/>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6">
        <v>0</v>
      </c>
      <c r="E110" s="3823" t="s">
        <v>435</v>
      </c>
      <c r="F110" s="3790"/>
      <c r="G110" s="3790"/>
      <c r="H110" s="3791"/>
      <c r="I110" s="11"/>
      <c r="J110" s="1912"/>
      <c r="K110" s="3236" t="s">
        <v>2967</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1111</v>
      </c>
      <c r="D111" s="397">
        <f>'数据-取费表'!B43</f>
        <v>5.000000000000001E-3</v>
      </c>
      <c r="E111" s="3789" t="s">
        <v>2389</v>
      </c>
      <c r="F111" s="3790"/>
      <c r="G111" s="3790"/>
      <c r="H111" s="3791"/>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823" t="s">
        <v>2412</v>
      </c>
      <c r="F112" s="3790"/>
      <c r="G112" s="3790"/>
      <c r="H112" s="3791"/>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-4580</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9" sqref="F59: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1"/>
      <c r="M1" s="3202"/>
      <c r="N1" s="3202"/>
      <c r="O1" s="3202"/>
      <c r="P1" s="2010"/>
      <c r="Q1" s="2010"/>
      <c r="R1" s="2010"/>
      <c r="S1" s="2010"/>
      <c r="T1" s="2010"/>
      <c r="U1" s="2010"/>
      <c r="V1" s="2010"/>
      <c r="W1" s="2010"/>
      <c r="X1" s="2010"/>
      <c r="Y1" s="2010"/>
      <c r="Z1" s="2010"/>
      <c r="AA1" s="2010"/>
      <c r="AB1" s="2010"/>
      <c r="AC1" s="3203"/>
      <c r="AD1" s="1286"/>
    </row>
    <row r="2" spans="1:30" s="1287" customFormat="1" ht="28.5" customHeight="1">
      <c r="A2" s="414" t="s">
        <v>438</v>
      </c>
      <c r="B2" s="499">
        <f>F68</f>
        <v>246465</v>
      </c>
      <c r="C2" s="3211"/>
      <c r="D2" s="3211"/>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c r="AD2" s="1286"/>
    </row>
    <row r="3" spans="1:30" s="1287" customFormat="1" ht="28.5" customHeight="1">
      <c r="A3" s="1327" t="s">
        <v>1651</v>
      </c>
      <c r="B3" s="501">
        <f>ROUND(B2*10000/'数据-汇总表'!E3,0)</f>
        <v>30000</v>
      </c>
      <c r="C3" s="3212"/>
      <c r="D3" s="3216"/>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3204"/>
      <c r="AC3" s="1940"/>
    </row>
    <row r="4" spans="1:30" s="1287" customFormat="1" ht="28.5" customHeight="1">
      <c r="A4" s="502" t="s">
        <v>491</v>
      </c>
      <c r="B4" s="418">
        <f>IF(B48="单位面积地价",C50,ROUND(B2*10000/'数据-汇总表'!D3,0))</f>
        <v>129189</v>
      </c>
      <c r="C4" s="3212"/>
      <c r="D4" s="3216"/>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8613</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884" t="s">
        <v>493</v>
      </c>
      <c r="D6" s="3885"/>
      <c r="E6" s="3884" t="s">
        <v>494</v>
      </c>
      <c r="F6" s="3885"/>
      <c r="G6" s="3884" t="s">
        <v>495</v>
      </c>
      <c r="H6" s="3885"/>
      <c r="I6" s="3884" t="s">
        <v>496</v>
      </c>
      <c r="J6" s="3885"/>
      <c r="K6" s="505" t="s">
        <v>497</v>
      </c>
      <c r="L6" s="2011"/>
      <c r="M6" s="2010"/>
      <c r="N6" s="2010"/>
      <c r="O6" s="2012"/>
      <c r="P6" s="3886" t="s">
        <v>498</v>
      </c>
      <c r="Q6" s="3887"/>
      <c r="R6" s="3872" t="s">
        <v>494</v>
      </c>
      <c r="S6" s="3873"/>
      <c r="T6" s="3872" t="s">
        <v>495</v>
      </c>
      <c r="U6" s="3873"/>
      <c r="V6" s="3892" t="s">
        <v>496</v>
      </c>
      <c r="W6" s="3892"/>
      <c r="X6" s="1497"/>
      <c r="Y6" s="3872" t="s">
        <v>498</v>
      </c>
      <c r="Z6" s="3873"/>
      <c r="AA6" s="3867" t="s">
        <v>494</v>
      </c>
      <c r="AB6" s="3868" t="s">
        <v>495</v>
      </c>
      <c r="AC6" s="3867" t="s">
        <v>496</v>
      </c>
    </row>
    <row r="7" spans="1:30" ht="63.75" customHeight="1">
      <c r="A7" s="506"/>
      <c r="B7" s="507"/>
      <c r="C7" s="3895" t="str">
        <f>结果表!A2</f>
        <v>北京市北京市昌平区东小口马连店1803-610地块R2二类居住用地出让国有建设用地使用权</v>
      </c>
      <c r="D7" s="3896"/>
      <c r="E7" s="3895" t="str">
        <f>土地案例!A22</f>
        <v>北京市海淀区“海淀北部地区整体开发”西北旺镇HD00-0403-0043、0049地块二类居住及基础教育用地</v>
      </c>
      <c r="F7" s="3896"/>
      <c r="G7" s="3895" t="str">
        <f>土地案例!A12</f>
        <v>北京市朝阳区崔各庄乡黑桥村、南皋村棚户区改造项目30-L01-01地块R2二类居住用地(配建“公共租赁住房”)</v>
      </c>
      <c r="H7" s="3896"/>
      <c r="I7" s="3895" t="str">
        <f>土地案例!A21</f>
        <v>北京市海淀区“海淀北部地区整体开发”西北旺镇HD00-0403-0061、0050、0031、0040、0046地块二类居住、其他类多功能、医院及机构养老设施用地</v>
      </c>
      <c r="J7" s="3896"/>
      <c r="K7" s="505"/>
      <c r="L7" s="2011"/>
      <c r="M7" s="2010"/>
      <c r="N7" s="2010"/>
      <c r="O7" s="2012"/>
      <c r="P7" s="3888"/>
      <c r="Q7" s="3889"/>
      <c r="R7" s="3874"/>
      <c r="S7" s="3875"/>
      <c r="T7" s="3874"/>
      <c r="U7" s="3875"/>
      <c r="V7" s="3892"/>
      <c r="W7" s="3892"/>
      <c r="X7" s="1497"/>
      <c r="Y7" s="3874"/>
      <c r="Z7" s="3875"/>
      <c r="AA7" s="3868"/>
      <c r="AB7" s="3868"/>
      <c r="AC7" s="3868"/>
    </row>
    <row r="8" spans="1:30" ht="21" thickBot="1">
      <c r="A8" s="506"/>
      <c r="B8" s="507"/>
      <c r="C8" s="3897" t="s">
        <v>2875</v>
      </c>
      <c r="D8" s="3898"/>
      <c r="E8" s="3897" t="s">
        <v>2875</v>
      </c>
      <c r="F8" s="3898"/>
      <c r="G8" s="3893" t="s">
        <v>2875</v>
      </c>
      <c r="H8" s="3894"/>
      <c r="I8" s="3893" t="s">
        <v>2875</v>
      </c>
      <c r="J8" s="3894"/>
      <c r="K8" s="505" t="s">
        <v>499</v>
      </c>
      <c r="L8" s="2011"/>
      <c r="M8" s="2010"/>
      <c r="N8" s="2010"/>
      <c r="O8" s="2012"/>
      <c r="P8" s="3890"/>
      <c r="Q8" s="3891"/>
      <c r="R8" s="3874"/>
      <c r="S8" s="3875"/>
      <c r="T8" s="3876"/>
      <c r="U8" s="3877"/>
      <c r="V8" s="3892"/>
      <c r="W8" s="3892"/>
      <c r="X8" s="1497"/>
      <c r="Y8" s="3876"/>
      <c r="Z8" s="3877"/>
      <c r="AA8" s="3869"/>
      <c r="AB8" s="3869"/>
      <c r="AC8" s="3869"/>
    </row>
    <row r="9" spans="1:30" s="1200" customFormat="1" ht="21" thickBot="1">
      <c r="A9" s="2625"/>
      <c r="B9" s="2632" t="s">
        <v>500</v>
      </c>
      <c r="C9" s="2624">
        <f>'数据-取费表'!B2</f>
        <v>44557</v>
      </c>
      <c r="D9" s="511">
        <v>100</v>
      </c>
      <c r="E9" s="512" t="str">
        <f>土地案例!J22</f>
        <v>2020-02-14</v>
      </c>
      <c r="F9" s="513">
        <f>SUMIF(72:72,YEAR(E9)&amp;"-"&amp;INT((MONTH(E9)+2)/3),73:73)</f>
        <v>96.5</v>
      </c>
      <c r="G9" s="514" t="str">
        <f>土地案例!J14</f>
        <v>2021-05-10</v>
      </c>
      <c r="H9" s="511">
        <f>SUMIF(72:72,YEAR(G9)&amp;"-"&amp;INT((MONTH(G9)+2)/3),73:73)</f>
        <v>99</v>
      </c>
      <c r="I9" s="514" t="str">
        <f>土地案例!J21</f>
        <v>2020-02-25</v>
      </c>
      <c r="J9" s="511">
        <f>SUMIF(72:72,YEAR(I9)&amp;"-"&amp;INT((MONTH(I9)+2)/3),73:73)</f>
        <v>96.5</v>
      </c>
      <c r="K9" s="515"/>
      <c r="L9" s="2013"/>
      <c r="M9" s="2010"/>
      <c r="N9" s="2010"/>
      <c r="O9" s="2014"/>
      <c r="P9" s="3870" t="s">
        <v>501</v>
      </c>
      <c r="Q9" s="3879"/>
      <c r="R9" s="1498" t="s">
        <v>8</v>
      </c>
      <c r="S9" s="1499">
        <f t="shared" ref="S9:S17" si="0">F9</f>
        <v>96.5</v>
      </c>
      <c r="T9" s="1498" t="s">
        <v>8</v>
      </c>
      <c r="U9" s="1499">
        <f t="shared" ref="U9:U17" si="1">H9</f>
        <v>99</v>
      </c>
      <c r="V9" s="1498" t="s">
        <v>8</v>
      </c>
      <c r="W9" s="1499">
        <f t="shared" ref="W9:W17" si="2">J9</f>
        <v>96.5</v>
      </c>
      <c r="X9" s="1500"/>
      <c r="Y9" s="3870" t="s">
        <v>501</v>
      </c>
      <c r="Z9" s="3871"/>
      <c r="AA9" s="1501">
        <f>D9/F9</f>
        <v>1.0362694300518134</v>
      </c>
      <c r="AB9" s="1501">
        <f>D9/H9</f>
        <v>1.0101010101010102</v>
      </c>
      <c r="AC9" s="1501">
        <f>D9/J9</f>
        <v>1.0362694300518134</v>
      </c>
    </row>
    <row r="10" spans="1:30" s="1200" customFormat="1" ht="21" thickBot="1">
      <c r="A10" s="2626"/>
      <c r="B10" s="2633" t="s">
        <v>502</v>
      </c>
      <c r="C10" s="842" t="s">
        <v>503</v>
      </c>
      <c r="D10" s="511">
        <v>100</v>
      </c>
      <c r="E10" s="516" t="s">
        <v>3179</v>
      </c>
      <c r="F10" s="513">
        <f>SUMIF(75:75,E10,76:76)-SUMIF(75:75,C10,76:76)+100</f>
        <v>100</v>
      </c>
      <c r="G10" s="516" t="s">
        <v>3179</v>
      </c>
      <c r="H10" s="511">
        <f>SUMIF(75:75,G10,76:76)-SUMIF(75:75,C10,76:76)+100</f>
        <v>100</v>
      </c>
      <c r="I10" s="516" t="s">
        <v>3179</v>
      </c>
      <c r="J10" s="511">
        <f>SUMIF(75:75,I10,76:76)-SUMIF(75:75,C10,76:76)+100</f>
        <v>100</v>
      </c>
      <c r="K10" s="515"/>
      <c r="L10" s="2013"/>
      <c r="M10" s="2010"/>
      <c r="N10" s="2010"/>
      <c r="O10" s="2014"/>
      <c r="P10" s="3870" t="s">
        <v>504</v>
      </c>
      <c r="Q10" s="3871"/>
      <c r="R10" s="1498" t="s">
        <v>8</v>
      </c>
      <c r="S10" s="1499">
        <f t="shared" si="0"/>
        <v>100</v>
      </c>
      <c r="T10" s="1498" t="s">
        <v>8</v>
      </c>
      <c r="U10" s="1499">
        <f t="shared" si="1"/>
        <v>100</v>
      </c>
      <c r="V10" s="1498" t="s">
        <v>8</v>
      </c>
      <c r="W10" s="1499">
        <f t="shared" si="2"/>
        <v>100</v>
      </c>
      <c r="X10" s="1500"/>
      <c r="Y10" s="3870" t="s">
        <v>504</v>
      </c>
      <c r="Z10" s="3871"/>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3184</v>
      </c>
      <c r="J11" s="250">
        <f>SUMIF(77:77,I11,78:78)-SUMIF(77:77,C11,78:78)+100</f>
        <v>95</v>
      </c>
      <c r="K11" s="515"/>
      <c r="L11" s="2013"/>
      <c r="M11" s="2010"/>
      <c r="N11" s="2010"/>
      <c r="O11" s="2015"/>
      <c r="P11" s="3878" t="s">
        <v>506</v>
      </c>
      <c r="Q11" s="1131" t="str">
        <f t="shared" ref="Q11:Q17" si="6">B11</f>
        <v>用途</v>
      </c>
      <c r="R11" s="1498" t="s">
        <v>8</v>
      </c>
      <c r="S11" s="1499">
        <f t="shared" si="0"/>
        <v>100</v>
      </c>
      <c r="T11" s="1498" t="s">
        <v>8</v>
      </c>
      <c r="U11" s="1499">
        <f t="shared" si="1"/>
        <v>100</v>
      </c>
      <c r="V11" s="1498" t="s">
        <v>8</v>
      </c>
      <c r="W11" s="1499">
        <f t="shared" si="2"/>
        <v>95</v>
      </c>
      <c r="X11" s="1500"/>
      <c r="Y11" s="3829" t="s">
        <v>507</v>
      </c>
      <c r="Z11" s="1130" t="str">
        <f t="shared" ref="Z11:Z17" si="7">Q11</f>
        <v>用途</v>
      </c>
      <c r="AA11" s="1501">
        <f t="shared" si="3"/>
        <v>1</v>
      </c>
      <c r="AB11" s="1501">
        <f t="shared" si="4"/>
        <v>1</v>
      </c>
      <c r="AC11" s="1501">
        <f t="shared" si="5"/>
        <v>1.0526315789473684</v>
      </c>
    </row>
    <row r="12" spans="1:30" s="1289" customFormat="1" ht="27">
      <c r="A12" s="2628"/>
      <c r="B12" s="2633" t="s">
        <v>2713</v>
      </c>
      <c r="C12" s="896">
        <f>'数据-取费表'!F6</f>
        <v>69.44</v>
      </c>
      <c r="D12" s="251">
        <v>100</v>
      </c>
      <c r="E12" s="520" t="s">
        <v>3181</v>
      </c>
      <c r="F12" s="251">
        <f>ROUND(100/'数据-取费表'!G16,0)</f>
        <v>100</v>
      </c>
      <c r="G12" s="521" t="s">
        <v>3181</v>
      </c>
      <c r="H12" s="251">
        <f>ROUND(100/'数据-取费表'!G16,0)</f>
        <v>100</v>
      </c>
      <c r="I12" s="521" t="s">
        <v>3181</v>
      </c>
      <c r="J12" s="251">
        <f>ROUND(100/'数据-取费表'!G16,0)</f>
        <v>100</v>
      </c>
      <c r="K12" s="522"/>
      <c r="L12" s="2016"/>
      <c r="M12" s="2010"/>
      <c r="N12" s="2010"/>
      <c r="O12" s="2017"/>
      <c r="P12" s="3878"/>
      <c r="Q12" s="1131" t="str">
        <f t="shared" si="6"/>
        <v>土地使用年限（年）</v>
      </c>
      <c r="R12" s="1498" t="s">
        <v>8</v>
      </c>
      <c r="S12" s="1499">
        <f t="shared" si="0"/>
        <v>100</v>
      </c>
      <c r="T12" s="1498" t="s">
        <v>8</v>
      </c>
      <c r="U12" s="1499">
        <f t="shared" si="1"/>
        <v>100</v>
      </c>
      <c r="V12" s="1498" t="s">
        <v>8</v>
      </c>
      <c r="W12" s="1499">
        <f t="shared" si="2"/>
        <v>100</v>
      </c>
      <c r="X12" s="1500"/>
      <c r="Y12" s="3829"/>
      <c r="Z12" s="1130" t="str">
        <f t="shared" si="7"/>
        <v>土地使用年限（年）</v>
      </c>
      <c r="AA12" s="1501">
        <f t="shared" si="3"/>
        <v>1</v>
      </c>
      <c r="AB12" s="1501">
        <f t="shared" si="4"/>
        <v>1</v>
      </c>
      <c r="AC12" s="1501">
        <f t="shared" si="5"/>
        <v>1</v>
      </c>
    </row>
    <row r="13" spans="1:30" ht="20.25">
      <c r="A13" s="2629"/>
      <c r="B13" s="2633" t="s">
        <v>2714</v>
      </c>
      <c r="C13" s="525">
        <f>'数据-汇总表'!I4</f>
        <v>2.83</v>
      </c>
      <c r="D13" s="251">
        <v>100</v>
      </c>
      <c r="E13" s="524">
        <v>2.5</v>
      </c>
      <c r="F13" s="251">
        <f>LOOKUP(E13,82:82,83:83)-LOOKUP(C13,82:82,83:83)+100</f>
        <v>100</v>
      </c>
      <c r="G13" s="525">
        <v>2.5</v>
      </c>
      <c r="H13" s="251">
        <f>LOOKUP(G13,82:82,83:83)-LOOKUP(C13,82:82,83:83)+100</f>
        <v>100</v>
      </c>
      <c r="I13" s="524">
        <v>2.5</v>
      </c>
      <c r="J13" s="251">
        <f>LOOKUP(I13,82:82,83:83)-LOOKUP(C13,82:82,83:83)+100</f>
        <v>100</v>
      </c>
      <c r="K13" s="526">
        <v>2</v>
      </c>
      <c r="L13" s="2018"/>
      <c r="M13" s="2010"/>
      <c r="N13" s="2010"/>
      <c r="O13" s="2019"/>
      <c r="P13" s="3878"/>
      <c r="Q13" s="1131" t="str">
        <f t="shared" si="6"/>
        <v>容积率</v>
      </c>
      <c r="R13" s="1498" t="s">
        <v>8</v>
      </c>
      <c r="S13" s="1499">
        <f t="shared" si="0"/>
        <v>100</v>
      </c>
      <c r="T13" s="1498" t="s">
        <v>8</v>
      </c>
      <c r="U13" s="1499">
        <f t="shared" si="1"/>
        <v>100</v>
      </c>
      <c r="V13" s="1498" t="s">
        <v>8</v>
      </c>
      <c r="W13" s="1499">
        <f t="shared" si="2"/>
        <v>100</v>
      </c>
      <c r="X13" s="1500"/>
      <c r="Y13" s="3829"/>
      <c r="Z13" s="1130" t="str">
        <f t="shared" si="7"/>
        <v>容积率</v>
      </c>
      <c r="AA13" s="1501">
        <f t="shared" si="3"/>
        <v>1</v>
      </c>
      <c r="AB13" s="1501">
        <f t="shared" si="4"/>
        <v>1</v>
      </c>
      <c r="AC13" s="1501">
        <f t="shared" si="5"/>
        <v>1</v>
      </c>
    </row>
    <row r="14" spans="1:30" s="1200" customFormat="1" ht="20.25">
      <c r="A14" s="2626"/>
      <c r="B14" s="2635" t="s">
        <v>2715</v>
      </c>
      <c r="C14" s="2622" t="s">
        <v>3427</v>
      </c>
      <c r="D14" s="529">
        <v>100</v>
      </c>
      <c r="E14" s="1322" t="s">
        <v>3428</v>
      </c>
      <c r="F14" s="251">
        <f>SUMIF(84:84,E14,85:85)-SUMIF(84:84,C14,85:85)+100</f>
        <v>110</v>
      </c>
      <c r="G14" s="3279" t="s">
        <v>3427</v>
      </c>
      <c r="H14" s="251">
        <f>SUMIF(84:84,G14,85:85)-SUMIF(84:84,C14,85:85)+100</f>
        <v>100</v>
      </c>
      <c r="I14" s="3279" t="s">
        <v>3427</v>
      </c>
      <c r="J14" s="251">
        <f>SUMIF(84:84,I14,85:85)-SUMIF(84:84,C14,85:85)+100</f>
        <v>100</v>
      </c>
      <c r="K14" s="522"/>
      <c r="L14" s="2013"/>
      <c r="M14" s="2010"/>
      <c r="N14" s="2010"/>
      <c r="O14" s="2015"/>
      <c r="P14" s="3878"/>
      <c r="Q14" s="1131" t="str">
        <f t="shared" si="6"/>
        <v>配建</v>
      </c>
      <c r="R14" s="1498" t="s">
        <v>8</v>
      </c>
      <c r="S14" s="1499">
        <f t="shared" si="0"/>
        <v>110</v>
      </c>
      <c r="T14" s="1498" t="s">
        <v>8</v>
      </c>
      <c r="U14" s="1499">
        <f t="shared" si="1"/>
        <v>100</v>
      </c>
      <c r="V14" s="1498" t="s">
        <v>8</v>
      </c>
      <c r="W14" s="1499">
        <f t="shared" si="2"/>
        <v>100</v>
      </c>
      <c r="X14" s="1500"/>
      <c r="Y14" s="3829"/>
      <c r="Z14" s="1130" t="str">
        <f t="shared" si="7"/>
        <v>配建</v>
      </c>
      <c r="AA14" s="1501">
        <f>D14/F14</f>
        <v>0.90909090909090906</v>
      </c>
      <c r="AB14" s="1501">
        <f>D14/H14</f>
        <v>1</v>
      </c>
      <c r="AC14" s="1501">
        <f>D14/J14</f>
        <v>1</v>
      </c>
    </row>
    <row r="15" spans="1:30" ht="20.25">
      <c r="A15" s="2630"/>
      <c r="B15" s="3314" t="s">
        <v>3281</v>
      </c>
      <c r="C15" s="3315" t="s">
        <v>3282</v>
      </c>
      <c r="D15" s="531">
        <v>100</v>
      </c>
      <c r="E15" s="3316" t="s">
        <v>3283</v>
      </c>
      <c r="F15" s="251">
        <f>SUMIF(86:86,E15,87:87)-SUMIF(86:86,C15,87:87)+100</f>
        <v>110</v>
      </c>
      <c r="G15" s="3317" t="s">
        <v>3307</v>
      </c>
      <c r="H15" s="531">
        <f>SUMIF(86:86,G15,87:87)-SUMIF(86:86,C15,87:87)+100</f>
        <v>100</v>
      </c>
      <c r="I15" s="3317" t="s">
        <v>3283</v>
      </c>
      <c r="J15" s="531">
        <f>SUMIF(86:86,I15,87:87)-SUMIF(86:86,C15,87:87)+100</f>
        <v>110</v>
      </c>
      <c r="K15" s="522"/>
      <c r="L15" s="2020"/>
      <c r="M15" s="2010"/>
      <c r="N15" s="2010"/>
      <c r="O15" s="2019"/>
      <c r="P15" s="3878"/>
      <c r="Q15" s="1131" t="str">
        <f t="shared" si="6"/>
        <v>限价</v>
      </c>
      <c r="R15" s="1498" t="s">
        <v>8</v>
      </c>
      <c r="S15" s="1499">
        <f t="shared" si="0"/>
        <v>110</v>
      </c>
      <c r="T15" s="1498" t="s">
        <v>8</v>
      </c>
      <c r="U15" s="1499">
        <f t="shared" si="1"/>
        <v>100</v>
      </c>
      <c r="V15" s="1498" t="s">
        <v>8</v>
      </c>
      <c r="W15" s="1499">
        <f t="shared" si="2"/>
        <v>110</v>
      </c>
      <c r="X15" s="1500"/>
      <c r="Y15" s="3829"/>
      <c r="Z15" s="1130" t="str">
        <f t="shared" si="7"/>
        <v>限价</v>
      </c>
      <c r="AA15" s="1501">
        <f>D15/F15</f>
        <v>0.90909090909090906</v>
      </c>
      <c r="AB15" s="1501">
        <f>D15/H15</f>
        <v>1</v>
      </c>
      <c r="AC15" s="1501">
        <f>D15/J15</f>
        <v>0.90909090909090906</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878"/>
      <c r="Q16" s="1131">
        <f t="shared" si="6"/>
        <v>0</v>
      </c>
      <c r="R16" s="1498" t="s">
        <v>8</v>
      </c>
      <c r="S16" s="1499">
        <f t="shared" si="0"/>
        <v>100</v>
      </c>
      <c r="T16" s="1498" t="s">
        <v>8</v>
      </c>
      <c r="U16" s="1499">
        <f t="shared" si="1"/>
        <v>100</v>
      </c>
      <c r="V16" s="1498" t="s">
        <v>8</v>
      </c>
      <c r="W16" s="1499">
        <f t="shared" si="2"/>
        <v>100</v>
      </c>
      <c r="X16" s="1500"/>
      <c r="Y16" s="3829"/>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97</v>
      </c>
      <c r="G17" s="541"/>
      <c r="H17" s="540">
        <f>SUMIF(90:90,G18,91:91)-SUMIF(90:90,C18,91:91)+100</f>
        <v>97</v>
      </c>
      <c r="I17" s="543"/>
      <c r="J17" s="540">
        <f>SUMIF(90:90,I18,91:91)-SUMIF(90:90,C18,91:91)+100</f>
        <v>97</v>
      </c>
      <c r="K17" s="526">
        <v>3</v>
      </c>
      <c r="L17" s="2020"/>
      <c r="M17" s="2010"/>
      <c r="N17" s="2010"/>
      <c r="O17" s="2019"/>
      <c r="P17" s="3880" t="s">
        <v>511</v>
      </c>
      <c r="Q17" s="1502" t="str">
        <f t="shared" si="6"/>
        <v>居住社区成熟度</v>
      </c>
      <c r="R17" s="1503" t="s">
        <v>8</v>
      </c>
      <c r="S17" s="1504">
        <f t="shared" si="0"/>
        <v>97</v>
      </c>
      <c r="T17" s="1503" t="s">
        <v>8</v>
      </c>
      <c r="U17" s="1504">
        <f t="shared" si="1"/>
        <v>97</v>
      </c>
      <c r="V17" s="1503" t="s">
        <v>8</v>
      </c>
      <c r="W17" s="1504">
        <f t="shared" si="2"/>
        <v>97</v>
      </c>
      <c r="X17" s="1497"/>
      <c r="Y17" s="3880" t="s">
        <v>511</v>
      </c>
      <c r="Z17" s="1505" t="str">
        <f t="shared" si="7"/>
        <v>居住社区成熟度</v>
      </c>
      <c r="AA17" s="1506">
        <f t="shared" si="3"/>
        <v>1.0309278350515463</v>
      </c>
      <c r="AB17" s="1506">
        <f t="shared" si="4"/>
        <v>1.0309278350515463</v>
      </c>
      <c r="AC17" s="1506">
        <f t="shared" si="5"/>
        <v>1.0309278350515463</v>
      </c>
    </row>
    <row r="18" spans="1:29" ht="20.25">
      <c r="A18" s="523"/>
      <c r="B18" s="544"/>
      <c r="C18" s="545" t="s">
        <v>3187</v>
      </c>
      <c r="D18" s="548"/>
      <c r="E18" s="3288" t="s">
        <v>3188</v>
      </c>
      <c r="F18" s="546"/>
      <c r="G18" s="3288" t="s">
        <v>3188</v>
      </c>
      <c r="H18" s="550"/>
      <c r="I18" s="3288" t="s">
        <v>3188</v>
      </c>
      <c r="J18" s="546"/>
      <c r="K18" s="522"/>
      <c r="L18" s="2020"/>
      <c r="M18" s="2010"/>
      <c r="N18" s="2010"/>
      <c r="O18" s="2019"/>
      <c r="P18" s="3881"/>
      <c r="Q18" s="1502"/>
      <c r="R18" s="1503"/>
      <c r="S18" s="1504"/>
      <c r="T18" s="1503"/>
      <c r="U18" s="1504"/>
      <c r="V18" s="1503"/>
      <c r="W18" s="1504"/>
      <c r="X18" s="1497"/>
      <c r="Y18" s="3881"/>
      <c r="Z18" s="1505"/>
      <c r="AA18" s="1506">
        <v>1</v>
      </c>
      <c r="AB18" s="1506">
        <v>1</v>
      </c>
      <c r="AC18" s="1506">
        <v>1</v>
      </c>
    </row>
    <row r="19" spans="1:29" ht="71.25" hidden="1">
      <c r="A19" s="523"/>
      <c r="B19" s="551" t="s">
        <v>512</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881"/>
      <c r="Q19" s="1502" t="str">
        <f>B19</f>
        <v>商业繁华度</v>
      </c>
      <c r="R19" s="1503" t="s">
        <v>8</v>
      </c>
      <c r="S19" s="1504">
        <f>F19</f>
        <v>100</v>
      </c>
      <c r="T19" s="1503" t="s">
        <v>8</v>
      </c>
      <c r="U19" s="1504">
        <f>H19</f>
        <v>100</v>
      </c>
      <c r="V19" s="1503" t="s">
        <v>8</v>
      </c>
      <c r="W19" s="1504">
        <f>J19</f>
        <v>100</v>
      </c>
      <c r="X19" s="1497"/>
      <c r="Y19" s="3881"/>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881"/>
      <c r="Q20" s="1502"/>
      <c r="R20" s="1503"/>
      <c r="S20" s="1504"/>
      <c r="T20" s="1503"/>
      <c r="U20" s="1504"/>
      <c r="V20" s="1503"/>
      <c r="W20" s="1504"/>
      <c r="X20" s="1497"/>
      <c r="Y20" s="3881"/>
      <c r="Z20" s="1505"/>
      <c r="AA20" s="1506">
        <v>1</v>
      </c>
      <c r="AB20" s="1506">
        <v>1</v>
      </c>
      <c r="AC20" s="1506">
        <v>1</v>
      </c>
    </row>
    <row r="21" spans="1:29" ht="71.25" hidden="1">
      <c r="A21" s="523"/>
      <c r="B21" s="551" t="s">
        <v>513</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881"/>
      <c r="Q21" s="1502" t="str">
        <f>B21</f>
        <v>办公集聚程度</v>
      </c>
      <c r="R21" s="1503" t="s">
        <v>8</v>
      </c>
      <c r="S21" s="1504">
        <f>F21</f>
        <v>100</v>
      </c>
      <c r="T21" s="1503" t="s">
        <v>8</v>
      </c>
      <c r="U21" s="1504">
        <f>H21</f>
        <v>100</v>
      </c>
      <c r="V21" s="1503" t="s">
        <v>8</v>
      </c>
      <c r="W21" s="1504">
        <f>J21</f>
        <v>100</v>
      </c>
      <c r="X21" s="1497"/>
      <c r="Y21" s="3881"/>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881"/>
      <c r="Q22" s="1502"/>
      <c r="R22" s="1503"/>
      <c r="S22" s="1504"/>
      <c r="T22" s="1503"/>
      <c r="U22" s="1504"/>
      <c r="V22" s="1503"/>
      <c r="W22" s="1504"/>
      <c r="X22" s="1497"/>
      <c r="Y22" s="3881"/>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0"/>
      <c r="M23" s="2010"/>
      <c r="N23" s="2010"/>
      <c r="O23" s="2019"/>
      <c r="P23" s="3881"/>
      <c r="Q23" s="1502" t="str">
        <f>B23</f>
        <v>交通便捷度</v>
      </c>
      <c r="R23" s="1503" t="s">
        <v>8</v>
      </c>
      <c r="S23" s="1504">
        <f>F23</f>
        <v>100</v>
      </c>
      <c r="T23" s="1503" t="s">
        <v>8</v>
      </c>
      <c r="U23" s="1504">
        <f>H23</f>
        <v>100</v>
      </c>
      <c r="V23" s="1503" t="s">
        <v>8</v>
      </c>
      <c r="W23" s="1504">
        <f>J23</f>
        <v>100</v>
      </c>
      <c r="X23" s="1497"/>
      <c r="Y23" s="3881"/>
      <c r="Z23" s="1505" t="str">
        <f>Q23</f>
        <v>交通便捷度</v>
      </c>
      <c r="AA23" s="1506">
        <f t="shared" si="3"/>
        <v>1</v>
      </c>
      <c r="AB23" s="1506">
        <f t="shared" si="4"/>
        <v>1</v>
      </c>
      <c r="AC23" s="1506">
        <f t="shared" si="5"/>
        <v>1</v>
      </c>
    </row>
    <row r="24" spans="1:29" ht="20.25">
      <c r="A24" s="523"/>
      <c r="B24" s="569"/>
      <c r="C24" s="545" t="s">
        <v>3187</v>
      </c>
      <c r="D24" s="548"/>
      <c r="E24" s="549" t="s">
        <v>3187</v>
      </c>
      <c r="F24" s="546"/>
      <c r="G24" s="547" t="s">
        <v>3187</v>
      </c>
      <c r="H24" s="546"/>
      <c r="I24" s="549" t="s">
        <v>3187</v>
      </c>
      <c r="J24" s="546"/>
      <c r="K24" s="522"/>
      <c r="L24" s="2020"/>
      <c r="M24" s="2010"/>
      <c r="N24" s="2010"/>
      <c r="O24" s="2019"/>
      <c r="P24" s="3881"/>
      <c r="Q24" s="1502"/>
      <c r="R24" s="1503"/>
      <c r="S24" s="1504"/>
      <c r="T24" s="1503"/>
      <c r="U24" s="1504"/>
      <c r="V24" s="1503"/>
      <c r="W24" s="1504"/>
      <c r="X24" s="1497"/>
      <c r="Y24" s="3881"/>
      <c r="Z24" s="1505"/>
      <c r="AA24" s="1506">
        <v>1</v>
      </c>
      <c r="AB24" s="1506">
        <v>1</v>
      </c>
      <c r="AC24" s="1506">
        <v>1</v>
      </c>
    </row>
    <row r="25" spans="1:29" ht="27">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881"/>
      <c r="Q25" s="1502" t="str">
        <f t="shared" ref="Q25:Q39" si="8">B25</f>
        <v>区域土地利用方向</v>
      </c>
      <c r="R25" s="1503" t="s">
        <v>8</v>
      </c>
      <c r="S25" s="1504">
        <f>F25</f>
        <v>100</v>
      </c>
      <c r="T25" s="1503" t="s">
        <v>8</v>
      </c>
      <c r="U25" s="1504">
        <f>H25</f>
        <v>100</v>
      </c>
      <c r="V25" s="1503" t="s">
        <v>8</v>
      </c>
      <c r="W25" s="1504">
        <f>J25</f>
        <v>100</v>
      </c>
      <c r="X25" s="1497"/>
      <c r="Y25" s="3881"/>
      <c r="Z25" s="1505" t="str">
        <f>Q25</f>
        <v>区域土地利用方向</v>
      </c>
      <c r="AA25" s="1506">
        <f t="shared" si="3"/>
        <v>1</v>
      </c>
      <c r="AB25" s="1506">
        <f t="shared" si="4"/>
        <v>1</v>
      </c>
      <c r="AC25" s="1506">
        <f t="shared" si="5"/>
        <v>1</v>
      </c>
    </row>
    <row r="26" spans="1:29" ht="20.25">
      <c r="A26" s="506"/>
      <c r="B26" s="991"/>
      <c r="C26" s="545" t="s">
        <v>3187</v>
      </c>
      <c r="D26" s="548"/>
      <c r="E26" s="545" t="s">
        <v>3187</v>
      </c>
      <c r="F26" s="546"/>
      <c r="G26" s="545" t="s">
        <v>3187</v>
      </c>
      <c r="H26" s="546"/>
      <c r="I26" s="545" t="s">
        <v>3187</v>
      </c>
      <c r="J26" s="546"/>
      <c r="K26" s="522"/>
      <c r="L26" s="2020"/>
      <c r="M26" s="2010"/>
      <c r="N26" s="2010"/>
      <c r="O26" s="2019"/>
      <c r="P26" s="3881"/>
      <c r="Q26" s="1502"/>
      <c r="R26" s="1503"/>
      <c r="S26" s="1504"/>
      <c r="T26" s="1503"/>
      <c r="U26" s="1504"/>
      <c r="V26" s="1503"/>
      <c r="W26" s="1504"/>
      <c r="X26" s="1497"/>
      <c r="Y26" s="3881"/>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102</v>
      </c>
      <c r="I27" s="555"/>
      <c r="J27" s="550">
        <f>SUMIF(100:100,I28,101:101)-SUMIF(100:100,C28,101:101)+100</f>
        <v>100</v>
      </c>
      <c r="K27" s="526">
        <v>2</v>
      </c>
      <c r="L27" s="2020"/>
      <c r="M27" s="2010"/>
      <c r="N27" s="2010"/>
      <c r="O27" s="2019"/>
      <c r="P27" s="3881"/>
      <c r="Q27" s="1502" t="str">
        <f t="shared" si="8"/>
        <v>自然及人文环境状况</v>
      </c>
      <c r="R27" s="1503" t="s">
        <v>8</v>
      </c>
      <c r="S27" s="1504">
        <f>F27</f>
        <v>100</v>
      </c>
      <c r="T27" s="1503" t="s">
        <v>8</v>
      </c>
      <c r="U27" s="1504">
        <f>H27</f>
        <v>102</v>
      </c>
      <c r="V27" s="1503" t="s">
        <v>8</v>
      </c>
      <c r="W27" s="1504">
        <f>J27</f>
        <v>100</v>
      </c>
      <c r="X27" s="1497"/>
      <c r="Y27" s="3881"/>
      <c r="Z27" s="1505" t="str">
        <f>Q27</f>
        <v>自然及人文环境状况</v>
      </c>
      <c r="AA27" s="1506">
        <f t="shared" si="3"/>
        <v>1</v>
      </c>
      <c r="AB27" s="1506">
        <f t="shared" si="4"/>
        <v>0.98039215686274506</v>
      </c>
      <c r="AC27" s="1506">
        <f t="shared" si="5"/>
        <v>1</v>
      </c>
    </row>
    <row r="28" spans="1:29" ht="20.25">
      <c r="A28" s="506"/>
      <c r="B28" s="557"/>
      <c r="C28" s="545" t="s">
        <v>3188</v>
      </c>
      <c r="D28" s="548"/>
      <c r="E28" s="545" t="s">
        <v>3188</v>
      </c>
      <c r="F28" s="546"/>
      <c r="G28" s="545" t="s">
        <v>3187</v>
      </c>
      <c r="H28" s="546"/>
      <c r="I28" s="545" t="s">
        <v>3188</v>
      </c>
      <c r="J28" s="546"/>
      <c r="K28" s="522"/>
      <c r="L28" s="2020"/>
      <c r="M28" s="2010"/>
      <c r="N28" s="2010"/>
      <c r="O28" s="2019"/>
      <c r="P28" s="3881"/>
      <c r="Q28" s="1502"/>
      <c r="R28" s="1503"/>
      <c r="S28" s="1504"/>
      <c r="T28" s="1503"/>
      <c r="U28" s="1504"/>
      <c r="V28" s="1503"/>
      <c r="W28" s="1504"/>
      <c r="X28" s="1497"/>
      <c r="Y28" s="3881"/>
      <c r="Z28" s="1505"/>
      <c r="AA28" s="1506">
        <v>1</v>
      </c>
      <c r="AB28" s="1506">
        <v>1</v>
      </c>
      <c r="AC28" s="1506">
        <v>1</v>
      </c>
    </row>
    <row r="29" spans="1:29" s="1200" customFormat="1" ht="42.75">
      <c r="A29" s="568"/>
      <c r="B29" s="2431" t="s">
        <v>2505</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881"/>
      <c r="Q29" s="1131" t="str">
        <f t="shared" si="8"/>
        <v>公共配套设施</v>
      </c>
      <c r="R29" s="1498" t="s">
        <v>8</v>
      </c>
      <c r="S29" s="1499">
        <f>F29</f>
        <v>100</v>
      </c>
      <c r="T29" s="1498" t="s">
        <v>8</v>
      </c>
      <c r="U29" s="1499">
        <f>H29</f>
        <v>100</v>
      </c>
      <c r="V29" s="1498" t="s">
        <v>8</v>
      </c>
      <c r="W29" s="1499">
        <f>J29</f>
        <v>100</v>
      </c>
      <c r="X29" s="1500"/>
      <c r="Y29" s="3881"/>
      <c r="Z29" s="1130" t="str">
        <f>Q29</f>
        <v>公共配套设施</v>
      </c>
      <c r="AA29" s="1506">
        <f>D29/F29</f>
        <v>1</v>
      </c>
      <c r="AB29" s="1506">
        <f>D29/H29</f>
        <v>1</v>
      </c>
      <c r="AC29" s="1506">
        <f>D29/J29</f>
        <v>1</v>
      </c>
    </row>
    <row r="30" spans="1:29" s="1200" customFormat="1" ht="20.25">
      <c r="A30" s="568"/>
      <c r="B30" s="557"/>
      <c r="C30" s="570" t="s">
        <v>3188</v>
      </c>
      <c r="D30" s="548"/>
      <c r="E30" s="3289" t="s">
        <v>3188</v>
      </c>
      <c r="F30" s="546"/>
      <c r="G30" s="3290" t="s">
        <v>3188</v>
      </c>
      <c r="H30" s="546"/>
      <c r="I30" s="3289" t="s">
        <v>3188</v>
      </c>
      <c r="J30" s="546"/>
      <c r="K30" s="522"/>
      <c r="L30" s="2013"/>
      <c r="M30" s="2010"/>
      <c r="N30" s="2010"/>
      <c r="O30" s="2015"/>
      <c r="P30" s="3881"/>
      <c r="Q30" s="1131"/>
      <c r="R30" s="1498"/>
      <c r="S30" s="1499"/>
      <c r="T30" s="1498"/>
      <c r="U30" s="1499"/>
      <c r="V30" s="1498"/>
      <c r="W30" s="1499"/>
      <c r="X30" s="1500"/>
      <c r="Y30" s="3881"/>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1</v>
      </c>
      <c r="L31" s="2013"/>
      <c r="M31" s="2010"/>
      <c r="N31" s="2010"/>
      <c r="O31" s="2015"/>
      <c r="P31" s="3881"/>
      <c r="Q31" s="2424" t="str">
        <f t="shared" ref="Q31" si="9">B31</f>
        <v>基础设施水平</v>
      </c>
      <c r="R31" s="1498" t="s">
        <v>8</v>
      </c>
      <c r="S31" s="1499">
        <f>F31</f>
        <v>100</v>
      </c>
      <c r="T31" s="1498" t="s">
        <v>8</v>
      </c>
      <c r="U31" s="1499">
        <f>H31</f>
        <v>100</v>
      </c>
      <c r="V31" s="1498" t="s">
        <v>8</v>
      </c>
      <c r="W31" s="1499">
        <f>J31</f>
        <v>100</v>
      </c>
      <c r="X31" s="1500"/>
      <c r="Y31" s="3881"/>
      <c r="Z31" s="2423" t="str">
        <f>Q31</f>
        <v>基础设施水平</v>
      </c>
      <c r="AA31" s="1506">
        <f>D31/F31</f>
        <v>1</v>
      </c>
      <c r="AB31" s="1506">
        <f>D31/H31</f>
        <v>1</v>
      </c>
      <c r="AC31" s="1506">
        <f>D31/J31</f>
        <v>1</v>
      </c>
    </row>
    <row r="32" spans="1:29" s="1200" customFormat="1" ht="20.25">
      <c r="A32" s="568"/>
      <c r="B32" s="557"/>
      <c r="C32" s="570" t="s">
        <v>3189</v>
      </c>
      <c r="D32" s="548"/>
      <c r="E32" s="2432" t="s">
        <v>3189</v>
      </c>
      <c r="F32" s="546"/>
      <c r="G32" s="570" t="s">
        <v>3189</v>
      </c>
      <c r="H32" s="546"/>
      <c r="I32" s="570" t="s">
        <v>3189</v>
      </c>
      <c r="J32" s="546"/>
      <c r="K32" s="522"/>
      <c r="L32" s="2013"/>
      <c r="M32" s="2010"/>
      <c r="N32" s="2010"/>
      <c r="O32" s="2015"/>
      <c r="P32" s="3881"/>
      <c r="Q32" s="2424"/>
      <c r="R32" s="1498"/>
      <c r="S32" s="1499"/>
      <c r="T32" s="1498"/>
      <c r="U32" s="1499"/>
      <c r="V32" s="1498"/>
      <c r="W32" s="1499"/>
      <c r="X32" s="1500"/>
      <c r="Y32" s="3881"/>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881"/>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881"/>
      <c r="Z33" s="1505" t="str">
        <f t="shared" ref="Z33:Z47" si="13">Q33</f>
        <v>临街状况</v>
      </c>
      <c r="AA33" s="1506">
        <f t="shared" si="3"/>
        <v>1</v>
      </c>
      <c r="AB33" s="1506">
        <f t="shared" si="4"/>
        <v>1</v>
      </c>
      <c r="AC33" s="1506">
        <f t="shared" si="5"/>
        <v>1</v>
      </c>
    </row>
    <row r="34" spans="1:29" ht="27" hidden="1">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881"/>
      <c r="Q34" s="1502" t="str">
        <f t="shared" si="8"/>
        <v>毗邻道路的类型与等级</v>
      </c>
      <c r="R34" s="1503" t="s">
        <v>8</v>
      </c>
      <c r="S34" s="1504">
        <f t="shared" si="10"/>
        <v>100</v>
      </c>
      <c r="T34" s="1503" t="s">
        <v>8</v>
      </c>
      <c r="U34" s="1504">
        <f t="shared" si="11"/>
        <v>100</v>
      </c>
      <c r="V34" s="1503" t="s">
        <v>8</v>
      </c>
      <c r="W34" s="1504">
        <f t="shared" si="12"/>
        <v>100</v>
      </c>
      <c r="X34" s="1497"/>
      <c r="Y34" s="3881"/>
      <c r="Z34" s="1505" t="str">
        <f t="shared" si="13"/>
        <v>毗邻道路的类型与等级</v>
      </c>
      <c r="AA34" s="1506">
        <f t="shared" si="3"/>
        <v>1</v>
      </c>
      <c r="AB34" s="1506">
        <f t="shared" si="4"/>
        <v>1</v>
      </c>
      <c r="AC34" s="1506">
        <f t="shared" si="5"/>
        <v>1</v>
      </c>
    </row>
    <row r="35" spans="1:29" ht="20.25" hidden="1">
      <c r="A35" s="523"/>
      <c r="B35" s="557"/>
      <c r="C35" s="545"/>
      <c r="D35" s="548"/>
      <c r="E35" s="567"/>
      <c r="F35" s="546"/>
      <c r="G35" s="545"/>
      <c r="H35" s="546"/>
      <c r="I35" s="567"/>
      <c r="J35" s="546"/>
      <c r="K35" s="572"/>
      <c r="L35" s="2020"/>
      <c r="M35" s="2010"/>
      <c r="N35" s="2010"/>
      <c r="O35" s="2019"/>
      <c r="P35" s="3881"/>
      <c r="Q35" s="1502"/>
      <c r="R35" s="1503"/>
      <c r="S35" s="1504"/>
      <c r="T35" s="1503"/>
      <c r="U35" s="1504"/>
      <c r="V35" s="1503"/>
      <c r="W35" s="1504"/>
      <c r="X35" s="1497"/>
      <c r="Y35" s="3881"/>
      <c r="Z35" s="1505"/>
      <c r="AA35" s="1506">
        <v>1</v>
      </c>
      <c r="AB35" s="1506">
        <v>1</v>
      </c>
      <c r="AC35" s="1506">
        <v>1</v>
      </c>
    </row>
    <row r="36" spans="1:29" ht="20.25">
      <c r="A36" s="523"/>
      <c r="B36" s="573" t="s">
        <v>520</v>
      </c>
      <c r="C36" s="571" t="s">
        <v>1379</v>
      </c>
      <c r="D36" s="566">
        <v>100</v>
      </c>
      <c r="E36" s="574" t="s">
        <v>1377</v>
      </c>
      <c r="F36" s="531">
        <f>SUMIF(110:110,E36,111:111)-SUMIF(110:110,C36,111:111)+100</f>
        <v>103</v>
      </c>
      <c r="G36" s="571" t="s">
        <v>1375</v>
      </c>
      <c r="H36" s="531">
        <f>SUMIF(110:110,G36,111:111)-SUMIF(110:110,C36,111:111)+100</f>
        <v>106</v>
      </c>
      <c r="I36" s="574" t="s">
        <v>1377</v>
      </c>
      <c r="J36" s="531">
        <f>SUMIF(110:110,I36,111:111)-SUMIF(110:110,C36,111:111)+100</f>
        <v>103</v>
      </c>
      <c r="K36" s="575">
        <v>3</v>
      </c>
      <c r="L36" s="2020"/>
      <c r="M36" s="2010"/>
      <c r="N36" s="2010"/>
      <c r="O36" s="2019"/>
      <c r="P36" s="3881"/>
      <c r="Q36" s="1502" t="str">
        <f t="shared" si="8"/>
        <v>土地级别</v>
      </c>
      <c r="R36" s="1503" t="s">
        <v>8</v>
      </c>
      <c r="S36" s="1504">
        <f t="shared" si="10"/>
        <v>103</v>
      </c>
      <c r="T36" s="1503" t="s">
        <v>8</v>
      </c>
      <c r="U36" s="1504">
        <f t="shared" si="11"/>
        <v>106</v>
      </c>
      <c r="V36" s="1503" t="s">
        <v>8</v>
      </c>
      <c r="W36" s="1504">
        <f t="shared" si="12"/>
        <v>103</v>
      </c>
      <c r="X36" s="1497"/>
      <c r="Y36" s="3881"/>
      <c r="Z36" s="1505" t="str">
        <f t="shared" si="13"/>
        <v>土地级别</v>
      </c>
      <c r="AA36" s="1506">
        <f t="shared" si="3"/>
        <v>0.970873786407767</v>
      </c>
      <c r="AB36" s="1506">
        <f t="shared" si="4"/>
        <v>0.94339622641509435</v>
      </c>
      <c r="AC36" s="1506">
        <f t="shared" si="5"/>
        <v>0.970873786407767</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881"/>
      <c r="Q37" s="1502">
        <f t="shared" si="8"/>
        <v>111</v>
      </c>
      <c r="R37" s="1503" t="s">
        <v>8</v>
      </c>
      <c r="S37" s="1504">
        <f t="shared" si="10"/>
        <v>100</v>
      </c>
      <c r="T37" s="1503" t="s">
        <v>8</v>
      </c>
      <c r="U37" s="1504">
        <f t="shared" si="11"/>
        <v>100</v>
      </c>
      <c r="V37" s="1503" t="s">
        <v>8</v>
      </c>
      <c r="W37" s="1504">
        <f t="shared" si="12"/>
        <v>100</v>
      </c>
      <c r="X37" s="1497"/>
      <c r="Y37" s="3881"/>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882" t="s">
        <v>521</v>
      </c>
      <c r="Q38" s="1502">
        <f t="shared" si="8"/>
        <v>111</v>
      </c>
      <c r="R38" s="1503" t="s">
        <v>8</v>
      </c>
      <c r="S38" s="1504">
        <f t="shared" si="10"/>
        <v>100</v>
      </c>
      <c r="T38" s="1503" t="s">
        <v>8</v>
      </c>
      <c r="U38" s="1504">
        <f t="shared" si="11"/>
        <v>100</v>
      </c>
      <c r="V38" s="1503" t="s">
        <v>8</v>
      </c>
      <c r="W38" s="1504">
        <f t="shared" si="12"/>
        <v>100</v>
      </c>
      <c r="X38" s="1497"/>
      <c r="Y38" s="3883"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883"/>
      <c r="Q39" s="1502">
        <f t="shared" si="8"/>
        <v>111</v>
      </c>
      <c r="R39" s="1507" t="s">
        <v>8</v>
      </c>
      <c r="S39" s="1508">
        <f t="shared" si="10"/>
        <v>100</v>
      </c>
      <c r="T39" s="1507" t="s">
        <v>8</v>
      </c>
      <c r="U39" s="1508">
        <f t="shared" si="11"/>
        <v>100</v>
      </c>
      <c r="V39" s="1507" t="s">
        <v>8</v>
      </c>
      <c r="W39" s="1508">
        <f t="shared" si="12"/>
        <v>100</v>
      </c>
      <c r="X39" s="1509"/>
      <c r="Y39" s="3883"/>
      <c r="Z39" s="1510">
        <f t="shared" si="13"/>
        <v>111</v>
      </c>
      <c r="AA39" s="1506">
        <f t="shared" si="3"/>
        <v>1</v>
      </c>
      <c r="AB39" s="1506">
        <f t="shared" si="4"/>
        <v>1</v>
      </c>
      <c r="AC39" s="1506">
        <f t="shared" si="5"/>
        <v>1</v>
      </c>
    </row>
    <row r="40" spans="1:29" ht="20.25">
      <c r="A40" s="2620" t="s">
        <v>2711</v>
      </c>
      <c r="B40" s="586" t="s">
        <v>523</v>
      </c>
      <c r="C40" s="587">
        <f>'数据-基础表'!A3</f>
        <v>31537.81</v>
      </c>
      <c r="D40" s="588">
        <v>100</v>
      </c>
      <c r="E40" s="587">
        <f>土地案例!D22</f>
        <v>48727.09</v>
      </c>
      <c r="F40" s="588">
        <f>LOOKUP(E40,119:119,120:120)-LOOKUP(C40,119:119,120:120)+100</f>
        <v>100.5</v>
      </c>
      <c r="G40" s="587">
        <f>土地案例!D14</f>
        <v>34118.69</v>
      </c>
      <c r="H40" s="588">
        <f>LOOKUP(G40,119:119,120:120)-LOOKUP(C40,119:119,120:120)+100</f>
        <v>100</v>
      </c>
      <c r="I40" s="589">
        <f>土地案例!D21</f>
        <v>67309.960000000006</v>
      </c>
      <c r="J40" s="588">
        <f>LOOKUP(I40,119:119,120:120)-LOOKUP(C40,119:119,120:120)+100</f>
        <v>101</v>
      </c>
      <c r="K40" s="572"/>
      <c r="L40" s="2020"/>
      <c r="M40" s="2010"/>
      <c r="N40" s="2010"/>
      <c r="O40" s="2019"/>
      <c r="P40" s="3883"/>
      <c r="Q40" s="1502" t="str">
        <f>B40</f>
        <v>宗地面积</v>
      </c>
      <c r="R40" s="1503" t="s">
        <v>8</v>
      </c>
      <c r="S40" s="1504">
        <f t="shared" si="10"/>
        <v>100.5</v>
      </c>
      <c r="T40" s="1503" t="s">
        <v>8</v>
      </c>
      <c r="U40" s="1504">
        <f t="shared" si="11"/>
        <v>100</v>
      </c>
      <c r="V40" s="1503" t="s">
        <v>8</v>
      </c>
      <c r="W40" s="1504">
        <f t="shared" si="12"/>
        <v>101</v>
      </c>
      <c r="X40" s="1497"/>
      <c r="Y40" s="3883"/>
      <c r="Z40" s="1505" t="str">
        <f t="shared" si="13"/>
        <v>宗地面积</v>
      </c>
      <c r="AA40" s="1506">
        <f t="shared" si="3"/>
        <v>0.99502487562189057</v>
      </c>
      <c r="AB40" s="1506">
        <f t="shared" si="4"/>
        <v>1</v>
      </c>
      <c r="AC40" s="1506">
        <f t="shared" si="5"/>
        <v>0.99009900990099009</v>
      </c>
    </row>
    <row r="41" spans="1:29" ht="20.25">
      <c r="A41" s="585"/>
      <c r="B41" s="518" t="s">
        <v>524</v>
      </c>
      <c r="C41" s="590" t="s">
        <v>3190</v>
      </c>
      <c r="D41" s="531">
        <v>100</v>
      </c>
      <c r="E41" s="590" t="s">
        <v>3190</v>
      </c>
      <c r="F41" s="531">
        <f>SUMIF(121:121,E41,122:122)-SUMIF(121:121,C41,122:122)+100</f>
        <v>100</v>
      </c>
      <c r="G41" s="590" t="s">
        <v>3190</v>
      </c>
      <c r="H41" s="531">
        <f>SUMIF(121:121,G41,122:122)-SUMIF(121:121,C41,122:122)+100</f>
        <v>100</v>
      </c>
      <c r="I41" s="590" t="s">
        <v>3190</v>
      </c>
      <c r="J41" s="531">
        <f>SUMIF(121:121,I41,122:122)-SUMIF(121:121,C41,122:122)+100</f>
        <v>100</v>
      </c>
      <c r="K41" s="575">
        <v>3</v>
      </c>
      <c r="L41" s="2020"/>
      <c r="M41" s="2010"/>
      <c r="N41" s="2010"/>
      <c r="O41" s="2019"/>
      <c r="P41" s="3883"/>
      <c r="Q41" s="1502" t="str">
        <f t="shared" ref="Q41:Q47" si="14">B41</f>
        <v>宗地形状</v>
      </c>
      <c r="R41" s="1503" t="s">
        <v>8</v>
      </c>
      <c r="S41" s="1504">
        <f t="shared" si="10"/>
        <v>100</v>
      </c>
      <c r="T41" s="1503" t="s">
        <v>8</v>
      </c>
      <c r="U41" s="1504">
        <f t="shared" si="11"/>
        <v>100</v>
      </c>
      <c r="V41" s="1503" t="s">
        <v>8</v>
      </c>
      <c r="W41" s="1504">
        <f t="shared" si="12"/>
        <v>100</v>
      </c>
      <c r="X41" s="1497"/>
      <c r="Y41" s="3883"/>
      <c r="Z41" s="1505" t="str">
        <f t="shared" si="13"/>
        <v>宗地形状</v>
      </c>
      <c r="AA41" s="1506">
        <f t="shared" si="3"/>
        <v>1</v>
      </c>
      <c r="AB41" s="1506">
        <f t="shared" si="4"/>
        <v>1</v>
      </c>
      <c r="AC41" s="1506">
        <f t="shared" si="5"/>
        <v>1</v>
      </c>
    </row>
    <row r="42" spans="1:29" ht="20.25">
      <c r="A42" s="585"/>
      <c r="B42" s="518" t="s">
        <v>525</v>
      </c>
      <c r="C42" s="590" t="s">
        <v>3192</v>
      </c>
      <c r="D42" s="531">
        <v>100</v>
      </c>
      <c r="E42" s="590" t="s">
        <v>3192</v>
      </c>
      <c r="F42" s="531">
        <f>SUMIF(123:123,E42,124:124)-SUMIF(123:123,C42,124:124)+100</f>
        <v>100</v>
      </c>
      <c r="G42" s="590" t="s">
        <v>3192</v>
      </c>
      <c r="H42" s="531">
        <f>SUMIF(123:123,G42,124:124)-SUMIF(123:123,C42,124:124)+100</f>
        <v>100</v>
      </c>
      <c r="I42" s="590" t="s">
        <v>3192</v>
      </c>
      <c r="J42" s="531">
        <f>SUMIF(123:123,I42,124:124)-SUMIF(123:123,C42,124:124)+100</f>
        <v>100</v>
      </c>
      <c r="K42" s="575">
        <v>2</v>
      </c>
      <c r="L42" s="2020"/>
      <c r="M42" s="2010"/>
      <c r="N42" s="2010"/>
      <c r="O42" s="2019"/>
      <c r="P42" s="3883"/>
      <c r="Q42" s="1502" t="str">
        <f t="shared" si="14"/>
        <v>临街宽度及深度</v>
      </c>
      <c r="R42" s="1503" t="s">
        <v>8</v>
      </c>
      <c r="S42" s="1504">
        <f t="shared" si="10"/>
        <v>100</v>
      </c>
      <c r="T42" s="1503" t="s">
        <v>8</v>
      </c>
      <c r="U42" s="1504">
        <f t="shared" si="11"/>
        <v>100</v>
      </c>
      <c r="V42" s="1503" t="s">
        <v>8</v>
      </c>
      <c r="W42" s="1504">
        <f t="shared" si="12"/>
        <v>100</v>
      </c>
      <c r="X42" s="1497"/>
      <c r="Y42" s="3883"/>
      <c r="Z42" s="1505" t="str">
        <f t="shared" si="13"/>
        <v>临街宽度及深度</v>
      </c>
      <c r="AA42" s="1506">
        <f t="shared" si="3"/>
        <v>1</v>
      </c>
      <c r="AB42" s="1506">
        <f t="shared" si="4"/>
        <v>1</v>
      </c>
      <c r="AC42" s="1506">
        <f t="shared" si="5"/>
        <v>1</v>
      </c>
    </row>
    <row r="43" spans="1:29" s="1200" customFormat="1" ht="20.25">
      <c r="A43" s="591"/>
      <c r="B43" s="1805" t="s">
        <v>2385</v>
      </c>
      <c r="C43" s="592" t="s">
        <v>3195</v>
      </c>
      <c r="D43" s="251">
        <v>100</v>
      </c>
      <c r="E43" s="592" t="s">
        <v>3197</v>
      </c>
      <c r="F43" s="531">
        <f>SUMIF(125:125,E43,126:126)-SUMIF(125:125,C43,126:126)+100</f>
        <v>99</v>
      </c>
      <c r="G43" s="592" t="s">
        <v>3197</v>
      </c>
      <c r="H43" s="531">
        <f>SUMIF(125:125,G43,126:126)-SUMIF(125:125,C43,126:126)+100</f>
        <v>99</v>
      </c>
      <c r="I43" s="592" t="s">
        <v>3197</v>
      </c>
      <c r="J43" s="531">
        <f>SUMIF(125:125,I43,126:126)-SUMIF(125:125,C43,126:126)+100</f>
        <v>99</v>
      </c>
      <c r="K43" s="575">
        <v>1</v>
      </c>
      <c r="L43" s="2013"/>
      <c r="M43" s="2010"/>
      <c r="N43" s="2010"/>
      <c r="O43" s="2015"/>
      <c r="P43" s="3883"/>
      <c r="Q43" s="1502" t="str">
        <f t="shared" si="14"/>
        <v>宗地开发程度</v>
      </c>
      <c r="R43" s="1498" t="s">
        <v>8</v>
      </c>
      <c r="S43" s="1499">
        <f t="shared" si="10"/>
        <v>99</v>
      </c>
      <c r="T43" s="1498" t="s">
        <v>8</v>
      </c>
      <c r="U43" s="1499">
        <f t="shared" si="11"/>
        <v>99</v>
      </c>
      <c r="V43" s="1498" t="s">
        <v>8</v>
      </c>
      <c r="W43" s="1499">
        <f t="shared" si="12"/>
        <v>99</v>
      </c>
      <c r="X43" s="1500"/>
      <c r="Y43" s="3883"/>
      <c r="Z43" s="1130" t="str">
        <f t="shared" si="13"/>
        <v>宗地开发程度</v>
      </c>
      <c r="AA43" s="1501">
        <f t="shared" si="3"/>
        <v>1.0101010101010102</v>
      </c>
      <c r="AB43" s="1501">
        <f t="shared" si="4"/>
        <v>1.0101010101010102</v>
      </c>
      <c r="AC43" s="1501">
        <f t="shared" si="5"/>
        <v>1.0101010101010102</v>
      </c>
    </row>
    <row r="44" spans="1:29" ht="21" thickBot="1">
      <c r="A44" s="585"/>
      <c r="B44" s="518" t="s">
        <v>526</v>
      </c>
      <c r="C44" s="590" t="s">
        <v>3187</v>
      </c>
      <c r="D44" s="531">
        <v>100</v>
      </c>
      <c r="E44" s="590" t="s">
        <v>3187</v>
      </c>
      <c r="F44" s="531">
        <f>SUMIF(127:127,E44,128:128)-SUMIF(127:127,C44,128:128)+100</f>
        <v>100</v>
      </c>
      <c r="G44" s="590" t="s">
        <v>3187</v>
      </c>
      <c r="H44" s="531">
        <f>SUMIF(127:127,G44,128:128)-SUMIF(127:127,C44,128:128)+100</f>
        <v>100</v>
      </c>
      <c r="I44" s="590" t="s">
        <v>3187</v>
      </c>
      <c r="J44" s="531">
        <f>SUMIF(127:127,I44,128:128)-SUMIF(127:127,C44,128:128)+100</f>
        <v>100</v>
      </c>
      <c r="K44" s="575">
        <v>2</v>
      </c>
      <c r="L44" s="2020"/>
      <c r="M44" s="2010"/>
      <c r="N44" s="2010"/>
      <c r="O44" s="2019"/>
      <c r="P44" s="3883" t="s">
        <v>521</v>
      </c>
      <c r="Q44" s="1502" t="str">
        <f t="shared" si="14"/>
        <v>工程地质条件</v>
      </c>
      <c r="R44" s="1503" t="s">
        <v>8</v>
      </c>
      <c r="S44" s="1504">
        <f t="shared" si="10"/>
        <v>100</v>
      </c>
      <c r="T44" s="1503" t="s">
        <v>8</v>
      </c>
      <c r="U44" s="1504">
        <f t="shared" si="11"/>
        <v>100</v>
      </c>
      <c r="V44" s="1503" t="s">
        <v>8</v>
      </c>
      <c r="W44" s="1504">
        <f t="shared" si="12"/>
        <v>100</v>
      </c>
      <c r="X44" s="1497"/>
      <c r="Y44" s="3883"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883"/>
      <c r="Q45" s="1502">
        <f t="shared" si="14"/>
        <v>111</v>
      </c>
      <c r="R45" s="1503" t="s">
        <v>8</v>
      </c>
      <c r="S45" s="1504">
        <f t="shared" si="10"/>
        <v>100</v>
      </c>
      <c r="T45" s="1503" t="s">
        <v>8</v>
      </c>
      <c r="U45" s="1504">
        <f t="shared" si="11"/>
        <v>100</v>
      </c>
      <c r="V45" s="1503" t="s">
        <v>8</v>
      </c>
      <c r="W45" s="1504">
        <f t="shared" si="12"/>
        <v>100</v>
      </c>
      <c r="X45" s="1497"/>
      <c r="Y45" s="3883"/>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883"/>
      <c r="Q46" s="1502">
        <f t="shared" si="14"/>
        <v>111</v>
      </c>
      <c r="R46" s="1503" t="s">
        <v>8</v>
      </c>
      <c r="S46" s="1504">
        <f t="shared" si="10"/>
        <v>100</v>
      </c>
      <c r="T46" s="1503" t="s">
        <v>8</v>
      </c>
      <c r="U46" s="1504">
        <f t="shared" si="11"/>
        <v>100</v>
      </c>
      <c r="V46" s="1503" t="s">
        <v>8</v>
      </c>
      <c r="W46" s="1504">
        <f t="shared" si="12"/>
        <v>100</v>
      </c>
      <c r="X46" s="1497"/>
      <c r="Y46" s="3883"/>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883"/>
      <c r="Q47" s="1502">
        <f t="shared" si="14"/>
        <v>111</v>
      </c>
      <c r="R47" s="1507" t="s">
        <v>8</v>
      </c>
      <c r="S47" s="1508">
        <f t="shared" si="10"/>
        <v>100</v>
      </c>
      <c r="T47" s="1507" t="s">
        <v>8</v>
      </c>
      <c r="U47" s="1508">
        <f t="shared" si="11"/>
        <v>100</v>
      </c>
      <c r="V47" s="1507" t="s">
        <v>8</v>
      </c>
      <c r="W47" s="1508">
        <f t="shared" si="12"/>
        <v>100</v>
      </c>
      <c r="X47" s="1509"/>
      <c r="Y47" s="3883"/>
      <c r="Z47" s="1510">
        <f t="shared" si="13"/>
        <v>111</v>
      </c>
      <c r="AA47" s="1506">
        <f t="shared" si="3"/>
        <v>1</v>
      </c>
      <c r="AB47" s="1506">
        <f t="shared" si="4"/>
        <v>1</v>
      </c>
      <c r="AC47" s="1506">
        <f t="shared" si="5"/>
        <v>1</v>
      </c>
    </row>
    <row r="48" spans="1:29" ht="20.25">
      <c r="A48" s="598" t="s">
        <v>527</v>
      </c>
      <c r="B48" s="599" t="s">
        <v>3186</v>
      </c>
      <c r="C48" s="600" t="s">
        <v>1</v>
      </c>
      <c r="D48" s="601"/>
      <c r="E48" s="602">
        <f>ROUND(土地案例!M22,0)</f>
        <v>50587</v>
      </c>
      <c r="F48" s="603"/>
      <c r="G48" s="604">
        <f>ROUND(土地案例!M14,0)</f>
        <v>49474</v>
      </c>
      <c r="H48" s="605"/>
      <c r="I48" s="602">
        <f>ROUND(土地案例!M21,0)</f>
        <v>46670</v>
      </c>
      <c r="J48" s="605"/>
      <c r="K48" s="1291"/>
      <c r="L48" s="2022"/>
      <c r="M48" s="2010"/>
      <c r="N48" s="2010"/>
      <c r="O48" s="2023"/>
      <c r="P48" s="3878" t="str">
        <f>A48</f>
        <v>成交单价</v>
      </c>
      <c r="Q48" s="3878"/>
      <c r="R48" s="3892">
        <f>E48</f>
        <v>50587</v>
      </c>
      <c r="S48" s="3892"/>
      <c r="T48" s="3892">
        <f>G48</f>
        <v>49474</v>
      </c>
      <c r="U48" s="3892"/>
      <c r="V48" s="3892">
        <f>I48</f>
        <v>46670</v>
      </c>
      <c r="W48" s="3892"/>
      <c r="X48" s="1492"/>
      <c r="Y48" s="1511"/>
      <c r="Z48" s="1492"/>
      <c r="AA48" s="1492"/>
      <c r="AB48" s="1492"/>
      <c r="AC48" s="1492"/>
    </row>
    <row r="49" spans="1:29" ht="21" thickBot="1">
      <c r="A49" s="606" t="s">
        <v>2649</v>
      </c>
      <c r="B49" s="607"/>
      <c r="C49" s="608">
        <f>R50</f>
        <v>46013</v>
      </c>
      <c r="D49" s="3006" t="s">
        <v>2945</v>
      </c>
      <c r="E49" s="608">
        <f>R49</f>
        <v>43583</v>
      </c>
      <c r="F49" s="3007">
        <v>0.45</v>
      </c>
      <c r="G49" s="609">
        <f>T49</f>
        <v>48131</v>
      </c>
      <c r="H49" s="3007">
        <v>0.1</v>
      </c>
      <c r="I49" s="608">
        <f>V49</f>
        <v>46326</v>
      </c>
      <c r="J49" s="3007">
        <v>0.45</v>
      </c>
      <c r="K49" s="3008">
        <f>F49+H49+J49</f>
        <v>1</v>
      </c>
      <c r="L49" s="2022"/>
      <c r="M49" s="2010"/>
      <c r="N49" s="2010"/>
      <c r="O49" s="2023"/>
      <c r="P49" s="3878" t="str">
        <f>A49</f>
        <v>比较价格（元/平方米）</v>
      </c>
      <c r="Q49" s="3878"/>
      <c r="R49" s="3902">
        <f>ROUND(PRODUCT(R48,AA9:AA47),0)</f>
        <v>43583</v>
      </c>
      <c r="S49" s="3902"/>
      <c r="T49" s="3902">
        <f>ROUND(PRODUCT(T48,AB9:AB47),0)</f>
        <v>48131</v>
      </c>
      <c r="U49" s="3902"/>
      <c r="V49" s="3902">
        <f>ROUND(PRODUCT(V48,AC9:AC47),0)</f>
        <v>46326</v>
      </c>
      <c r="W49" s="3902"/>
      <c r="X49" s="1492"/>
      <c r="Y49" s="1492"/>
      <c r="Z49" s="1492"/>
      <c r="AA49" s="1492"/>
      <c r="AB49" s="1492"/>
      <c r="AC49" s="1492"/>
    </row>
    <row r="50" spans="1:29" ht="21" thickBot="1">
      <c r="A50" s="610" t="s">
        <v>2877</v>
      </c>
      <c r="B50" s="611"/>
      <c r="C50" s="612">
        <f>R50</f>
        <v>46013</v>
      </c>
      <c r="D50" s="612"/>
      <c r="E50" s="612"/>
      <c r="F50" s="612"/>
      <c r="G50" s="612"/>
      <c r="H50" s="612"/>
      <c r="I50" s="612"/>
      <c r="J50" s="612"/>
      <c r="K50" s="1292"/>
      <c r="L50" s="2022"/>
      <c r="M50" s="2010"/>
      <c r="N50" s="2010"/>
      <c r="O50" s="2023"/>
      <c r="P50" s="3899" t="str">
        <f>A50</f>
        <v>估价对象XX用房的比较价格（楼面单价，元/平方米）</v>
      </c>
      <c r="Q50" s="3900"/>
      <c r="R50" s="3901">
        <f>ROUND(IF(D49="简单平均",AVERAGE(R49:W49),R49*F49+T49*H49+V49*J49),0)</f>
        <v>46013</v>
      </c>
      <c r="S50" s="3901"/>
      <c r="T50" s="3901"/>
      <c r="U50" s="3901"/>
      <c r="V50" s="3901"/>
      <c r="W50" s="3901"/>
      <c r="X50" s="1492"/>
      <c r="Y50" s="1492"/>
      <c r="Z50" s="1492"/>
      <c r="AA50" s="1492"/>
      <c r="AB50" s="1492"/>
      <c r="AC50" s="1492"/>
    </row>
    <row r="51" spans="1:29" ht="20.25">
      <c r="A51" s="3205"/>
      <c r="B51" s="3205"/>
      <c r="C51" s="3205"/>
      <c r="D51" s="3205"/>
      <c r="E51" s="3205"/>
      <c r="F51" s="3205"/>
      <c r="G51" s="3207"/>
      <c r="H51" s="3205"/>
      <c r="I51" s="3205"/>
      <c r="J51" s="3205"/>
      <c r="K51" s="3208"/>
      <c r="L51" s="2027"/>
      <c r="M51" s="2010"/>
      <c r="N51" s="2010"/>
      <c r="O51" s="2023"/>
      <c r="P51" s="2023"/>
      <c r="Q51" s="2023"/>
      <c r="R51" s="2023"/>
      <c r="S51" s="2023"/>
      <c r="T51" s="2023"/>
      <c r="U51" s="2023"/>
      <c r="V51" s="2023"/>
      <c r="W51" s="2023"/>
      <c r="X51" s="2023"/>
      <c r="Y51" s="2023"/>
      <c r="Z51" s="2023"/>
      <c r="AA51" s="2023"/>
      <c r="AB51" s="2023"/>
      <c r="AC51" s="2023"/>
    </row>
    <row r="52" spans="1:29" ht="20.25">
      <c r="A52" s="3205"/>
      <c r="B52" s="3205"/>
      <c r="C52" s="3205"/>
      <c r="D52" s="3205"/>
      <c r="E52" s="3205"/>
      <c r="F52" s="3205"/>
      <c r="G52" s="3205"/>
      <c r="H52" s="3205"/>
      <c r="I52" s="3205"/>
      <c r="J52" s="3205"/>
      <c r="K52" s="3208"/>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f>IF(E48&lt;E49,E49/E48-1,E48/E49-1)</f>
        <v>0.16070486198747225</v>
      </c>
      <c r="F53" s="616" t="str">
        <f>IF(OR(E53&gt;=0.3,E53&lt;=-0.3),"超过30%","")</f>
        <v/>
      </c>
      <c r="G53" s="615">
        <f>IF(G48&lt;G49,G49/G48-1,G48/G49-1)</f>
        <v>2.7903014689077743E-2</v>
      </c>
      <c r="H53" s="616" t="str">
        <f>IF(OR(G53&gt;=0.3,G53&lt;=-0.3),"超过30%","")</f>
        <v/>
      </c>
      <c r="I53" s="615">
        <f>IF(I48&lt;I49,I49/I48-1,I48/I49-1)</f>
        <v>7.4256357121271765E-3</v>
      </c>
      <c r="J53" s="616" t="str">
        <f>IF(OR(I53&gt;=0.3,I53&lt;=-0.3),"超过30%","")</f>
        <v/>
      </c>
      <c r="K53" s="3208"/>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f>IF(E49&lt;G49,G49/E49-1,E49/G49-1)</f>
        <v>0.10435261455154543</v>
      </c>
      <c r="F54" s="616" t="str">
        <f>IF(OR(E54&gt;=0.2,E54&lt;=-0.2),"超过20%","")</f>
        <v/>
      </c>
      <c r="G54" s="615">
        <f>IF(G49&lt;I49,I49/G49-1,G49/I49-1)</f>
        <v>3.8963001338341297E-2</v>
      </c>
      <c r="H54" s="616" t="str">
        <f>IF(OR(G54&gt;=0.2,G54&lt;=-0.2),"超过20%","")</f>
        <v/>
      </c>
      <c r="I54" s="615">
        <f>IF(I49&lt;E49,E49/I49-1,I49/E49-1)</f>
        <v>6.2937383842323946E-2</v>
      </c>
      <c r="J54" s="616" t="str">
        <f>IF(OR(I54&gt;=0.2,I54&lt;=-0.2),"超过20%","")</f>
        <v/>
      </c>
      <c r="K54" s="3208"/>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f>IF(E48&lt;G48,G48/E48-1,E48/G48-1)</f>
        <v>2.2496664914904763E-2</v>
      </c>
      <c r="F55" s="616" t="str">
        <f>IF(OR(E55&gt;=0.3,E55&lt;=-0.3),"超过30%","")</f>
        <v/>
      </c>
      <c r="G55" s="615">
        <f>IF(G48&lt;I48,I48/G48-1,G48/I48-1)</f>
        <v>6.0081422755517533E-2</v>
      </c>
      <c r="H55" s="616" t="str">
        <f>IF(OR(G55&gt;=0.3,G55&lt;=-0.3),"超过30%","")</f>
        <v/>
      </c>
      <c r="I55" s="615">
        <f>IF(I48&lt;E48,E48/I48-1,I48/E48-1)</f>
        <v>8.3929719305763983E-2</v>
      </c>
      <c r="J55" s="616" t="str">
        <f>IF(OR(I55&gt;=0.3,I55&lt;=-0.3),"超过30%","")</f>
        <v/>
      </c>
      <c r="K55" s="3209"/>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9"/>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862" t="s">
        <v>2245</v>
      </c>
      <c r="H57" s="3863"/>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46013</v>
      </c>
      <c r="C58" s="624">
        <v>1</v>
      </c>
      <c r="D58" s="2104">
        <v>1</v>
      </c>
      <c r="E58" s="3336">
        <f>'数据-汇总表'!E19+'数据-汇总表'!E9</f>
        <v>51777.739999999991</v>
      </c>
      <c r="F58" s="625">
        <f t="shared" ref="F58:F67" si="15">ROUND(B58*E58/10000,0)</f>
        <v>238245</v>
      </c>
      <c r="G58" s="3864"/>
      <c r="H58" s="3865"/>
      <c r="I58" s="1490">
        <v>1</v>
      </c>
      <c r="J58" s="1490">
        <v>1</v>
      </c>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8052</v>
      </c>
      <c r="C59" s="369">
        <f t="shared" ref="C59:C67" si="16">IF($C$57="北京市系数",I59,J59)</f>
        <v>0.7</v>
      </c>
      <c r="D59" s="2105">
        <v>0.25</v>
      </c>
      <c r="E59" s="628">
        <f>'数据-基础表'!Q5</f>
        <v>1477.62</v>
      </c>
      <c r="F59" s="625">
        <f t="shared" si="15"/>
        <v>1190</v>
      </c>
      <c r="G59" s="3866" t="s">
        <v>2246</v>
      </c>
      <c r="H59" s="1858" t="str">
        <f>项目基本情况!B43</f>
        <v>七级</v>
      </c>
      <c r="I59" s="1490">
        <f>SUMIF(修正!$A$45:$A$56,H59,修正!B45:B56)</f>
        <v>0.7</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4601</v>
      </c>
      <c r="C60" s="369">
        <f t="shared" si="16"/>
        <v>0.4</v>
      </c>
      <c r="D60" s="2105">
        <v>0.25</v>
      </c>
      <c r="E60" s="628">
        <v>0</v>
      </c>
      <c r="F60" s="625">
        <f t="shared" si="15"/>
        <v>0</v>
      </c>
      <c r="G60" s="3866"/>
      <c r="H60" s="1858" t="str">
        <f>项目基本情况!B43</f>
        <v>七级</v>
      </c>
      <c r="I60" s="1490">
        <f>SUMIF(修正!$A$45:$A$56,H60,修正!C45:C56)</f>
        <v>0.4</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3221</v>
      </c>
      <c r="C61" s="369">
        <f t="shared" si="16"/>
        <v>0.28000000000000003</v>
      </c>
      <c r="D61" s="2105">
        <v>0.25</v>
      </c>
      <c r="E61" s="628">
        <v>0</v>
      </c>
      <c r="F61" s="625">
        <f t="shared" si="15"/>
        <v>0</v>
      </c>
      <c r="G61" s="3866"/>
      <c r="H61" s="1858" t="str">
        <f>项目基本情况!B43</f>
        <v>七级</v>
      </c>
      <c r="I61" s="1490">
        <f>SUMIF(修正!$A$45:$A$56,H61,修正!D45:D56)</f>
        <v>0.28000000000000003</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2876</v>
      </c>
      <c r="C62" s="369">
        <f t="shared" si="16"/>
        <v>0.25</v>
      </c>
      <c r="D62" s="2105">
        <v>0.25</v>
      </c>
      <c r="E62" s="628">
        <v>0</v>
      </c>
      <c r="F62" s="625">
        <f t="shared" si="15"/>
        <v>0</v>
      </c>
      <c r="G62" s="3866"/>
      <c r="H62" s="1858" t="str">
        <f>项目基本情况!B43</f>
        <v>七级</v>
      </c>
      <c r="I62" s="1490">
        <f>SUMIF(修正!$A$45:$A$56,H62,修正!E45:E56)</f>
        <v>0.25</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2876</v>
      </c>
      <c r="C63" s="369">
        <f t="shared" si="16"/>
        <v>0.25</v>
      </c>
      <c r="D63" s="2105">
        <v>0.25</v>
      </c>
      <c r="E63" s="630">
        <f>'数据-汇总表'!E11</f>
        <v>55.18</v>
      </c>
      <c r="F63" s="625">
        <f t="shared" si="15"/>
        <v>16</v>
      </c>
      <c r="G63" s="1855" t="s">
        <v>2247</v>
      </c>
      <c r="H63" s="1858" t="str">
        <f>项目基本情况!C43</f>
        <v>七级</v>
      </c>
      <c r="I63" s="1490">
        <f>SUMIF(修正!$A$45:$A$56,H63,修正!F45:F56)</f>
        <v>0.25</v>
      </c>
      <c r="J63" s="1491"/>
      <c r="K63" s="3210"/>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2876</v>
      </c>
      <c r="C64" s="369">
        <f t="shared" si="16"/>
        <v>0.25</v>
      </c>
      <c r="D64" s="2105">
        <v>0.25</v>
      </c>
      <c r="E64" s="630">
        <f>'数据-汇总表'!E12</f>
        <v>6350.35</v>
      </c>
      <c r="F64" s="625">
        <f t="shared" si="15"/>
        <v>1826</v>
      </c>
      <c r="G64" s="1856" t="s">
        <v>891</v>
      </c>
      <c r="H64" s="1854" t="str">
        <f>IF(G64="商业",项目基本情况!B43,IF(G64="办公",项目基本情况!C43,IF(G64="住宅",项目基本情况!D43,项目基本情况!E43)))</f>
        <v>七级</v>
      </c>
      <c r="I64" s="1490">
        <f>SUMIF(修正!$A$45:$A$56,H64,修正!G45:G56)</f>
        <v>0.25</v>
      </c>
      <c r="J64" s="1491"/>
      <c r="K64" s="3210"/>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2301</v>
      </c>
      <c r="C65" s="369">
        <f t="shared" si="16"/>
        <v>0.2</v>
      </c>
      <c r="D65" s="2105">
        <v>0.25</v>
      </c>
      <c r="E65" s="630">
        <f>'数据-汇总表'!E13</f>
        <v>22548.01</v>
      </c>
      <c r="F65" s="625">
        <f t="shared" si="15"/>
        <v>5188</v>
      </c>
      <c r="G65" s="1856" t="s">
        <v>891</v>
      </c>
      <c r="H65" s="1854" t="str">
        <f>IF(G65="商业",项目基本情况!B43,IF(G65="办公",项目基本情况!C43,IF(G65="住宅",项目基本情况!D43,项目基本情况!E43)))</f>
        <v>七级</v>
      </c>
      <c r="I65" s="1490">
        <f>SUMIF(修正!$A$45:$A$56,H65,修正!H45:H56)</f>
        <v>0.2</v>
      </c>
      <c r="J65" s="1491"/>
      <c r="K65" s="3210"/>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2301</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10"/>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2301</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10"/>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82208.899999999994</v>
      </c>
      <c r="F68" s="633">
        <f>IF(B48="楼面地价",SUM(F58:F67),ROUND(C50*E68/10000,0))</f>
        <v>246465</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023"/>
      <c r="P70" s="2023"/>
      <c r="Q70" s="2023"/>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C73-0.5</f>
        <v>99.5</v>
      </c>
      <c r="E73" s="719">
        <f t="shared" ref="E73:K73" si="20">D73-0.5</f>
        <v>99</v>
      </c>
      <c r="F73" s="719">
        <f t="shared" si="20"/>
        <v>98.5</v>
      </c>
      <c r="G73" s="719">
        <f t="shared" si="20"/>
        <v>98</v>
      </c>
      <c r="H73" s="719">
        <f t="shared" si="20"/>
        <v>97.5</v>
      </c>
      <c r="I73" s="719">
        <f t="shared" si="20"/>
        <v>97</v>
      </c>
      <c r="J73" s="719">
        <f t="shared" si="20"/>
        <v>96.5</v>
      </c>
      <c r="K73" s="719">
        <f t="shared" si="20"/>
        <v>96</v>
      </c>
      <c r="L73" s="719"/>
      <c r="M73" s="2507"/>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8" t="s">
        <v>3180</v>
      </c>
      <c r="D77" s="3278" t="s">
        <v>3185</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95</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1">D82&amp;"（含）"&amp;"-"&amp;E82</f>
        <v>1（含）-2</v>
      </c>
      <c r="E81" s="671" t="str">
        <f t="shared" si="21"/>
        <v>2（含）-3</v>
      </c>
      <c r="F81" s="671" t="str">
        <f t="shared" si="21"/>
        <v>3（含）-4</v>
      </c>
      <c r="G81" s="671" t="str">
        <f t="shared" si="21"/>
        <v>4（含）-</v>
      </c>
      <c r="H81" s="671" t="str">
        <f t="shared" si="21"/>
        <v>（含）-</v>
      </c>
      <c r="I81" s="671" t="str">
        <f t="shared" si="21"/>
        <v>（含）-</v>
      </c>
      <c r="J81" s="671" t="str">
        <f t="shared" si="21"/>
        <v>（含）-</v>
      </c>
      <c r="K81" s="671" t="str">
        <f t="shared" si="21"/>
        <v>（含）-</v>
      </c>
      <c r="L81" s="671" t="str">
        <f t="shared" si="21"/>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98</v>
      </c>
      <c r="E83" s="668">
        <f t="shared" ref="E83:M83" si="22">IF($B$48="单位面积地价",D83+$K13,D83-$K13)</f>
        <v>96</v>
      </c>
      <c r="F83" s="668">
        <f t="shared" si="22"/>
        <v>94</v>
      </c>
      <c r="G83" s="668">
        <f t="shared" si="22"/>
        <v>92</v>
      </c>
      <c r="H83" s="668">
        <f t="shared" si="22"/>
        <v>90</v>
      </c>
      <c r="I83" s="668">
        <f t="shared" si="22"/>
        <v>88</v>
      </c>
      <c r="J83" s="668">
        <f t="shared" si="22"/>
        <v>86</v>
      </c>
      <c r="K83" s="668">
        <f t="shared" si="22"/>
        <v>84</v>
      </c>
      <c r="L83" s="668">
        <f t="shared" si="22"/>
        <v>82</v>
      </c>
      <c r="M83" s="668">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80" t="s">
        <v>3183</v>
      </c>
      <c r="D84" s="1323" t="s">
        <v>3182</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90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限价</v>
      </c>
      <c r="C86" s="3280" t="s">
        <v>3284</v>
      </c>
      <c r="D86" s="3280" t="s">
        <v>3282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90</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99</v>
      </c>
      <c r="E105" s="668">
        <f>D105-$K31</f>
        <v>98</v>
      </c>
      <c r="F105" s="668">
        <f>E105-$K31</f>
        <v>97</v>
      </c>
      <c r="G105" s="668">
        <f>F105-$K31</f>
        <v>96</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1" t="s">
        <v>3433</v>
      </c>
      <c r="D110" s="3281" t="s">
        <v>3432</v>
      </c>
      <c r="E110" s="3281" t="s">
        <v>3431</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97</v>
      </c>
      <c r="E111" s="668">
        <f t="shared" ref="E111:M111" si="25">D111-$K36</f>
        <v>94</v>
      </c>
      <c r="F111" s="668">
        <f t="shared" si="25"/>
        <v>91</v>
      </c>
      <c r="G111" s="668">
        <f t="shared" si="25"/>
        <v>88</v>
      </c>
      <c r="H111" s="668">
        <f t="shared" si="25"/>
        <v>85</v>
      </c>
      <c r="I111" s="668">
        <f t="shared" si="25"/>
        <v>82</v>
      </c>
      <c r="J111" s="668">
        <f t="shared" si="25"/>
        <v>79</v>
      </c>
      <c r="K111" s="668">
        <f t="shared" si="25"/>
        <v>76</v>
      </c>
      <c r="L111" s="668">
        <f t="shared" si="25"/>
        <v>73</v>
      </c>
      <c r="M111" s="668">
        <f t="shared" si="25"/>
        <v>70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6">C119&amp;"(含)"&amp;"-"&amp;D119</f>
        <v>0(含)-20000</v>
      </c>
      <c r="D118" s="693" t="str">
        <f t="shared" si="26"/>
        <v>20000(含)-40000</v>
      </c>
      <c r="E118" s="693" t="str">
        <f t="shared" si="26"/>
        <v>40000(含)-60000</v>
      </c>
      <c r="F118" s="693" t="str">
        <f t="shared" si="26"/>
        <v>60000(含)-80000</v>
      </c>
      <c r="G118" s="693" t="str">
        <f t="shared" si="26"/>
        <v>80000(含)-100000</v>
      </c>
      <c r="H118" s="693" t="str">
        <f t="shared" si="26"/>
        <v>100000(含)-</v>
      </c>
      <c r="I118" s="693"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f>C119+20000</f>
        <v>20000</v>
      </c>
      <c r="E119" s="719">
        <f t="shared" ref="E119:H119" si="27">D119+20000</f>
        <v>40000</v>
      </c>
      <c r="F119" s="719">
        <f t="shared" si="27"/>
        <v>60000</v>
      </c>
      <c r="G119" s="719">
        <f t="shared" si="27"/>
        <v>80000</v>
      </c>
      <c r="H119" s="719">
        <f t="shared" si="27"/>
        <v>100000</v>
      </c>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C120+0.5</f>
        <v>100.5</v>
      </c>
      <c r="E120" s="715">
        <f t="shared" ref="E120:H120" si="28">D120+0.5</f>
        <v>101</v>
      </c>
      <c r="F120" s="715">
        <f t="shared" si="28"/>
        <v>101.5</v>
      </c>
      <c r="G120" s="715">
        <f t="shared" si="28"/>
        <v>102</v>
      </c>
      <c r="H120" s="715">
        <f t="shared" si="28"/>
        <v>102.5</v>
      </c>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1" t="s">
        <v>3191</v>
      </c>
      <c r="D121" s="707"/>
      <c r="E121" s="707"/>
      <c r="F121" s="707"/>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29">C122-$K41</f>
        <v>97</v>
      </c>
      <c r="E122" s="668">
        <f t="shared" si="29"/>
        <v>94</v>
      </c>
      <c r="F122" s="668">
        <f t="shared" si="29"/>
        <v>91</v>
      </c>
      <c r="G122" s="668">
        <f t="shared" si="29"/>
        <v>88</v>
      </c>
      <c r="H122" s="668">
        <f t="shared" si="29"/>
        <v>85</v>
      </c>
      <c r="I122" s="668">
        <f t="shared" si="29"/>
        <v>82</v>
      </c>
      <c r="J122" s="668">
        <f t="shared" si="29"/>
        <v>79</v>
      </c>
      <c r="K122" s="668">
        <f t="shared" si="29"/>
        <v>76</v>
      </c>
      <c r="L122" s="668">
        <f t="shared" si="29"/>
        <v>73</v>
      </c>
      <c r="M122" s="669">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80" t="s">
        <v>3193</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C124-$K42</f>
        <v>98</v>
      </c>
      <c r="E124" s="668">
        <f t="shared" si="30"/>
        <v>96</v>
      </c>
      <c r="F124" s="668">
        <f t="shared" si="30"/>
        <v>94</v>
      </c>
      <c r="G124" s="668">
        <f t="shared" si="30"/>
        <v>92</v>
      </c>
      <c r="H124" s="668">
        <f t="shared" si="30"/>
        <v>90</v>
      </c>
      <c r="I124" s="668">
        <f t="shared" si="30"/>
        <v>88</v>
      </c>
      <c r="J124" s="668">
        <f t="shared" si="30"/>
        <v>86</v>
      </c>
      <c r="K124" s="668">
        <f t="shared" si="30"/>
        <v>84</v>
      </c>
      <c r="L124" s="668">
        <f t="shared" si="30"/>
        <v>82</v>
      </c>
      <c r="M124" s="669">
        <f t="shared" si="30"/>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3194</v>
      </c>
      <c r="D125" s="1323" t="s">
        <v>3196</v>
      </c>
      <c r="E125" s="1323" t="s">
        <v>3198</v>
      </c>
      <c r="F125" s="1323" t="s">
        <v>3199</v>
      </c>
      <c r="G125" s="1323" t="s">
        <v>3200</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1">D126-$K43</f>
        <v>98</v>
      </c>
      <c r="F126" s="668">
        <f t="shared" si="31"/>
        <v>97</v>
      </c>
      <c r="G126" s="668">
        <f t="shared" si="31"/>
        <v>96</v>
      </c>
      <c r="H126" s="668">
        <f t="shared" si="31"/>
        <v>95</v>
      </c>
      <c r="I126" s="668">
        <f t="shared" si="31"/>
        <v>94</v>
      </c>
      <c r="J126" s="668">
        <f t="shared" si="31"/>
        <v>93</v>
      </c>
      <c r="K126" s="668">
        <f t="shared" si="31"/>
        <v>92</v>
      </c>
      <c r="L126" s="668">
        <f t="shared" si="31"/>
        <v>91</v>
      </c>
      <c r="M126" s="669">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80" t="s">
        <v>3201</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2">C128-$K44</f>
        <v>98</v>
      </c>
      <c r="E128" s="668">
        <f t="shared" si="32"/>
        <v>96</v>
      </c>
      <c r="F128" s="668">
        <f t="shared" si="32"/>
        <v>94</v>
      </c>
      <c r="G128" s="668">
        <f t="shared" si="32"/>
        <v>92</v>
      </c>
      <c r="H128" s="668">
        <f t="shared" si="32"/>
        <v>90</v>
      </c>
      <c r="I128" s="668">
        <f t="shared" si="32"/>
        <v>88</v>
      </c>
      <c r="J128" s="668">
        <f t="shared" si="32"/>
        <v>86</v>
      </c>
      <c r="K128" s="668">
        <f t="shared" si="32"/>
        <v>84</v>
      </c>
      <c r="L128" s="668">
        <f t="shared" si="32"/>
        <v>82</v>
      </c>
      <c r="M128" s="669">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686" t="str">
        <f>项目基本情况!B1</f>
        <v>北京市北京市昌平区东小口马连店1803-610地块R2二类居住用地出让国有建设用地使用权抵押价格预评估</v>
      </c>
      <c r="C37" s="3686"/>
      <c r="D37" s="3686"/>
      <c r="E37" s="3686"/>
      <c r="F37" s="3686"/>
      <c r="G37" s="3686"/>
      <c r="H37" s="3686"/>
      <c r="I37" s="3686"/>
    </row>
    <row r="38" spans="1:9">
      <c r="A38" s="1580"/>
      <c r="B38" s="1580"/>
    </row>
    <row r="39" spans="1:9">
      <c r="A39" s="1578" t="s">
        <v>1868</v>
      </c>
      <c r="B39" s="1578" t="s">
        <v>2011</v>
      </c>
    </row>
    <row r="40" spans="1:9">
      <c r="A40" s="1578"/>
      <c r="B40" s="1578" t="str">
        <f>项目基本情况!B5</f>
        <v>兴业银行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Q32" sqref="Q3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220090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26790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115364</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7691</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 ca="1">SUM(C10:K10)</f>
        <v>348250</v>
      </c>
      <c r="D6" s="2542"/>
      <c r="E6" s="2542"/>
      <c r="F6" s="2542"/>
      <c r="G6" s="2542"/>
      <c r="H6" s="2542"/>
      <c r="I6" s="2542"/>
      <c r="J6" s="2542"/>
      <c r="K6" s="2544"/>
      <c r="L6" s="3188"/>
      <c r="M6" s="3188"/>
      <c r="N6" s="3188"/>
      <c r="O6" s="3188"/>
      <c r="P6" s="3188"/>
      <c r="Q6" s="3188"/>
      <c r="R6" s="3188"/>
      <c r="S6" s="3188"/>
      <c r="T6" s="3188"/>
      <c r="U6" s="3188"/>
      <c r="V6" s="3188"/>
      <c r="W6" s="3188"/>
      <c r="X6" s="3188"/>
      <c r="Y6" s="3188"/>
      <c r="Z6" s="3188"/>
    </row>
    <row r="7" spans="1:31" s="1991" customFormat="1" ht="15">
      <c r="A7" s="2545" t="s">
        <v>441</v>
      </c>
      <c r="B7" s="2546" t="s">
        <v>442</v>
      </c>
      <c r="C7" s="427" t="s">
        <v>3171</v>
      </c>
      <c r="D7" s="427" t="s">
        <v>3172</v>
      </c>
      <c r="E7" s="427" t="s">
        <v>34</v>
      </c>
      <c r="F7" s="427" t="s">
        <v>3297</v>
      </c>
      <c r="G7" s="427" t="s">
        <v>3447</v>
      </c>
      <c r="H7" s="427"/>
      <c r="I7" s="427"/>
      <c r="J7" s="427"/>
      <c r="K7" s="428"/>
      <c r="AA7" s="1990"/>
      <c r="AB7" s="1990"/>
      <c r="AC7" s="1990"/>
      <c r="AD7" s="1990"/>
      <c r="AE7" s="1990"/>
    </row>
    <row r="8" spans="1:31" s="1993" customFormat="1" ht="13.5" customHeight="1">
      <c r="A8" s="790" t="s">
        <v>1812</v>
      </c>
      <c r="B8" s="257" t="s">
        <v>443</v>
      </c>
      <c r="C8" s="2547">
        <f>'不动产比较法-住宅'!C48</f>
        <v>62510</v>
      </c>
      <c r="D8" s="2547"/>
      <c r="E8" s="2547">
        <f>'不动产比较法-车位2'!C38</f>
        <v>6257</v>
      </c>
      <c r="F8" s="2547">
        <f>'不动产比较法-仓储2'!C36</f>
        <v>13301</v>
      </c>
      <c r="G8" s="2547">
        <f ca="1">不动产收益法!B3</f>
        <v>13752</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51777.739999999991</v>
      </c>
      <c r="D9" s="432">
        <f>SUMIF('数据-汇总表'!$C19:$C33,'剩余法-待开发'!D7,'数据-汇总表'!$E19:$E33)</f>
        <v>0</v>
      </c>
      <c r="E9" s="432">
        <f>SUMIF('数据-汇总表'!$C19:$C33,'剩余法-待开发'!E7,'数据-汇总表'!$E19:$E33)</f>
        <v>22548.01</v>
      </c>
      <c r="F9" s="432">
        <f>SUMIF('数据-汇总表'!$C19:$C33,'剩余法-待开发'!F7,'数据-汇总表'!$E19:$E33)</f>
        <v>6350.35</v>
      </c>
      <c r="G9" s="432">
        <f>SUMIF('数据-汇总表'!$C19:$C33,'剩余法-待开发'!G7,'数据-汇总表'!$E19:$E33)</f>
        <v>1477.62</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323663</v>
      </c>
      <c r="D10" s="2734"/>
      <c r="E10" s="2734">
        <f>ROUND(E8*E9/10000,0)</f>
        <v>14108</v>
      </c>
      <c r="F10" s="2734">
        <f>ROUND(F8*F9/10000,0)</f>
        <v>8447</v>
      </c>
      <c r="G10" s="2734">
        <f ca="1">ROUND(G8*G9/10000,0)</f>
        <v>2032</v>
      </c>
      <c r="H10" s="2550"/>
      <c r="I10" s="2550"/>
      <c r="J10" s="2550"/>
      <c r="K10" s="2551"/>
      <c r="M10" s="1993">
        <f>'数据-取费表'!AH8</f>
        <v>772</v>
      </c>
      <c r="N10" s="1993">
        <f>E9/M10</f>
        <v>29.207266839378235</v>
      </c>
      <c r="O10" s="1993">
        <f>E10*10000/E9</f>
        <v>6256.8714489660069</v>
      </c>
      <c r="P10" s="1993">
        <f>E10/M10</f>
        <v>18.274611398963732</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8"/>
      <c r="M11" s="3188"/>
      <c r="N11" s="3188"/>
      <c r="O11" s="3188"/>
      <c r="P11" s="3188"/>
      <c r="Q11" s="3188"/>
      <c r="R11" s="3188"/>
      <c r="S11" s="3188"/>
      <c r="T11" s="3188"/>
      <c r="U11" s="3188"/>
      <c r="V11" s="3188"/>
      <c r="W11" s="3188"/>
      <c r="X11" s="3188"/>
      <c r="Y11" s="3188"/>
      <c r="Z11" s="3188"/>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9"/>
      <c r="M12" s="3189"/>
      <c r="N12" s="3189"/>
      <c r="O12" s="3189"/>
      <c r="P12" s="3189"/>
      <c r="Q12" s="3189"/>
      <c r="R12" s="3189"/>
      <c r="S12" s="3189"/>
      <c r="T12" s="3189"/>
      <c r="U12" s="3189"/>
      <c r="V12" s="3189"/>
      <c r="W12" s="3189"/>
      <c r="X12" s="3189"/>
      <c r="Y12" s="3189"/>
      <c r="Z12" s="3189"/>
    </row>
    <row r="13" spans="1:31" s="1994" customFormat="1" ht="13.5" customHeight="1">
      <c r="A13" s="2555" t="s">
        <v>1815</v>
      </c>
      <c r="B13" s="2556" t="s">
        <v>450</v>
      </c>
      <c r="C13" s="441">
        <f ca="1">IF(B1="",'数据-取费表'!P16,INDIRECT("'数据-取费表'!p"&amp;$K$1)+INDIRECT("'数据-取费表'!t"&amp;$K$1))</f>
        <v>32412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972</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699</v>
      </c>
      <c r="D15" s="2557"/>
      <c r="E15" s="2558"/>
      <c r="F15" s="2560">
        <f>'数据-取费表'!B34</f>
        <v>0.03</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1643</v>
      </c>
      <c r="D16" s="2557">
        <f ca="1">IF(B1="",'数据-汇总表'!E3,INDIRECT("'数据-取费表'!K"&amp;$K$1)+INDIRECT("'数据-取费表'!S"&amp;$K$1))</f>
        <v>82153.719999999972</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486</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36212</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288</v>
      </c>
      <c r="D19" s="2567">
        <f ca="1">D16</f>
        <v>82153.719999999972</v>
      </c>
      <c r="E19" s="2521">
        <f>'数据-取费表'!B32</f>
        <v>35</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1436</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828</v>
      </c>
      <c r="D21" s="2557">
        <f ca="1">IF(B1="",'数据-汇总表'!E5,IF(INDIRECT("'数据-取费表'!c"&amp;$K$1)="住宅",INDIRECT("'数据-取费表'!k"&amp;$K$1),0))</f>
        <v>51777.739999999976</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608</v>
      </c>
      <c r="D22" s="2557">
        <f ca="1">IF(B1="",'数据-汇总表'!E6,IF(INDIRECT("'数据-取费表'!c"&amp;$K$1)="住宅",INDIRECT("'数据-取费表'!s"&amp;$K$1),INDIRECT("'数据-取费表'!k"&amp;$K$1)+INDIRECT("'数据-取费表'!s"&amp;$K$1)))</f>
        <v>30375.979999999996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759</v>
      </c>
      <c r="D23" s="459"/>
      <c r="E23" s="459"/>
      <c r="F23" s="2569">
        <f>'数据-取费表'!B37</f>
        <v>0.02</v>
      </c>
      <c r="G23" s="2525" t="s">
        <v>2391</v>
      </c>
      <c r="H23" s="2526"/>
      <c r="I23" s="2526"/>
      <c r="J23" s="2526"/>
      <c r="K23" s="2527"/>
      <c r="L23" s="3190"/>
      <c r="M23" s="3190"/>
      <c r="N23" s="3190"/>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 ca="1">ROUND(C6*F24,0)</f>
        <v>6965</v>
      </c>
      <c r="D24" s="466"/>
      <c r="E24" s="464"/>
      <c r="F24" s="2569">
        <f>'数据-取费表'!B38</f>
        <v>0.02</v>
      </c>
      <c r="G24" s="2534" t="s">
        <v>470</v>
      </c>
      <c r="H24" s="2528"/>
      <c r="I24" s="2528"/>
      <c r="J24" s="2528"/>
      <c r="K24" s="275"/>
      <c r="L24" s="3190"/>
      <c r="M24" s="3190"/>
      <c r="N24" s="3190"/>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1"/>
      <c r="M25" s="3191"/>
      <c r="N25" s="3191"/>
      <c r="O25" s="3191"/>
      <c r="P25" s="3191"/>
      <c r="Q25" s="3191"/>
      <c r="R25" s="3191"/>
      <c r="S25" s="3191"/>
      <c r="T25" s="3191"/>
      <c r="U25" s="3191"/>
      <c r="V25" s="3191"/>
      <c r="W25" s="3191"/>
      <c r="X25" s="3191"/>
      <c r="Y25" s="3191"/>
      <c r="Z25" s="3191"/>
    </row>
    <row r="26" spans="1:26" s="1996" customFormat="1" ht="13.5" customHeight="1">
      <c r="A26" s="2563" t="s">
        <v>1828</v>
      </c>
      <c r="B26" s="2741" t="s">
        <v>2791</v>
      </c>
      <c r="C26" s="2570">
        <f ca="1">C28</f>
        <v>2496</v>
      </c>
      <c r="D26" s="458">
        <f ca="1">C27</f>
        <v>0.11559999999999999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0"/>
      <c r="M26" s="3190"/>
      <c r="N26" s="3190"/>
      <c r="O26" s="3190"/>
      <c r="P26" s="3190"/>
      <c r="Q26" s="3190"/>
      <c r="R26" s="3190"/>
      <c r="S26" s="3190"/>
      <c r="T26" s="3190"/>
      <c r="U26" s="3190"/>
      <c r="V26" s="3190"/>
      <c r="W26" s="3190"/>
      <c r="X26" s="3190"/>
      <c r="Y26" s="3190"/>
      <c r="Z26" s="3190"/>
    </row>
    <row r="27" spans="1:26" s="1998" customFormat="1" ht="13.5" customHeight="1">
      <c r="A27" s="790" t="s">
        <v>1823</v>
      </c>
      <c r="B27" s="2571" t="s">
        <v>467</v>
      </c>
      <c r="C27" s="2572">
        <f ca="1">ROUND(IF('数据-取费表'!B22&lt;=1,(1+C25)*F26*'数据-取费表'!B24,(1+C25)*(POWER((1+F26),'数据-取费表'!B24)-1)),4)</f>
        <v>0.11559999999999999</v>
      </c>
      <c r="D27" s="463"/>
      <c r="E27" s="464"/>
      <c r="F27" s="465"/>
      <c r="G27" s="2420" t="str">
        <f>IF('数据-取费表'!B22&lt;=1,"（1+取得税费率/(1+5%)）×年利率×建设期","（1+取得税费率）/(1+5%)×((1+年利率)^建设期-1)")</f>
        <v>（1+取得税费率）/(1+5%)×((1+年利率)^建设期-1)</v>
      </c>
      <c r="H27" s="2528"/>
      <c r="I27" s="2528"/>
      <c r="J27" s="2528"/>
      <c r="K27" s="275"/>
      <c r="L27" s="3192"/>
      <c r="M27" s="3192"/>
      <c r="N27" s="3192"/>
      <c r="O27" s="3192"/>
      <c r="P27" s="3192"/>
      <c r="Q27" s="3192"/>
      <c r="R27" s="3192"/>
      <c r="S27" s="3192"/>
      <c r="T27" s="3192"/>
      <c r="U27" s="3192"/>
      <c r="V27" s="3192"/>
      <c r="W27" s="3192"/>
      <c r="X27" s="3192"/>
      <c r="Y27" s="3192"/>
      <c r="Z27" s="3192"/>
    </row>
    <row r="28" spans="1:26" s="1998" customFormat="1" ht="13.5" customHeight="1">
      <c r="A28" s="790" t="s">
        <v>1824</v>
      </c>
      <c r="B28" s="2571" t="s">
        <v>2793</v>
      </c>
      <c r="C28" s="2573">
        <f ca="1">ROUND(IF('数据-取费表'!B22&lt;=1,(C18+C19+C20+C23+C24)*F26*'数据-取费表'!B24/2,(C18+C19+C20+C23+C24)*(POWER((1+F26),'数据-取费表'!B24/2)-1)),0)</f>
        <v>2496</v>
      </c>
      <c r="D28" s="463"/>
      <c r="E28" s="464"/>
      <c r="F28" s="465"/>
      <c r="G28" s="2420" t="str">
        <f>IF('数据-取费表'!B22&lt;=1,"（1）-（4）项×年利率×建设期÷2","（1）-（4）项×((1+年利率)^(建设期÷2)-1)")</f>
        <v>（1）-（4）项×((1+年利率)^(建设期÷2)-1)</v>
      </c>
      <c r="H28" s="2528"/>
      <c r="I28" s="2528"/>
      <c r="J28" s="2528"/>
      <c r="K28" s="275"/>
      <c r="L28" s="3192"/>
      <c r="M28" s="3192"/>
      <c r="N28" s="3192"/>
      <c r="O28" s="3192"/>
      <c r="P28" s="3192"/>
      <c r="Q28" s="3192"/>
      <c r="R28" s="3192"/>
      <c r="S28" s="3192"/>
      <c r="T28" s="3192"/>
      <c r="U28" s="3192"/>
      <c r="V28" s="3192"/>
      <c r="W28" s="3192"/>
      <c r="X28" s="3192"/>
      <c r="Y28" s="3192"/>
      <c r="Z28" s="3192"/>
    </row>
    <row r="29" spans="1:26" s="1998" customFormat="1" ht="13.5" customHeight="1">
      <c r="A29" s="2574" t="s">
        <v>1829</v>
      </c>
      <c r="B29" s="2564" t="s">
        <v>468</v>
      </c>
      <c r="C29" s="2565">
        <f ca="1">ROUND(C6*F29/(1+'数据-取费表'!C42),0)</f>
        <v>18242</v>
      </c>
      <c r="D29" s="459"/>
      <c r="E29" s="459"/>
      <c r="F29" s="2742">
        <f>'数据-取费表'!B41</f>
        <v>5.5000000000000007E-2</v>
      </c>
      <c r="G29" s="2534" t="s">
        <v>469</v>
      </c>
      <c r="H29" s="2526"/>
      <c r="I29" s="2526"/>
      <c r="J29" s="2526"/>
      <c r="K29" s="2527"/>
      <c r="L29" s="3192"/>
      <c r="M29" s="3192"/>
      <c r="N29" s="3192"/>
      <c r="O29" s="3192"/>
      <c r="P29" s="3192"/>
      <c r="Q29" s="3192"/>
      <c r="R29" s="3192"/>
      <c r="S29" s="3192"/>
      <c r="T29" s="3192"/>
      <c r="U29" s="3192"/>
      <c r="V29" s="3192"/>
      <c r="W29" s="3192"/>
      <c r="X29" s="3192"/>
      <c r="Y29" s="3192"/>
      <c r="Z29" s="3192"/>
    </row>
    <row r="30" spans="1:26" s="1999" customFormat="1" ht="13.5" customHeight="1">
      <c r="A30" s="1559" t="s">
        <v>1830</v>
      </c>
      <c r="B30" s="2575" t="s">
        <v>471</v>
      </c>
      <c r="C30" s="2570">
        <f ca="1">C31</f>
        <v>66398</v>
      </c>
      <c r="D30" s="468">
        <f ca="1">C32</f>
        <v>0.14460000000000001</v>
      </c>
      <c r="E30" s="460" t="s">
        <v>466</v>
      </c>
      <c r="F30" s="462"/>
      <c r="G30" s="2533" t="s">
        <v>2910</v>
      </c>
      <c r="H30" s="2526"/>
      <c r="I30" s="2526"/>
      <c r="J30" s="2526"/>
      <c r="K30" s="2527"/>
      <c r="L30" s="3193"/>
      <c r="M30" s="3193"/>
      <c r="N30" s="3193"/>
      <c r="O30" s="3193"/>
      <c r="P30" s="3193"/>
      <c r="Q30" s="3193"/>
      <c r="R30" s="3193"/>
      <c r="S30" s="3193"/>
      <c r="T30" s="3193"/>
      <c r="U30" s="3193"/>
      <c r="V30" s="3193"/>
      <c r="W30" s="3193"/>
      <c r="X30" s="3193"/>
      <c r="Y30" s="3193"/>
      <c r="Z30" s="3193"/>
    </row>
    <row r="31" spans="1:26" s="1998" customFormat="1" ht="13.5" customHeight="1">
      <c r="A31" s="790" t="s">
        <v>1823</v>
      </c>
      <c r="B31" s="2571"/>
      <c r="C31" s="441">
        <f ca="1">C18+C19+C20+C23+C24+C26+C29</f>
        <v>66398</v>
      </c>
      <c r="D31" s="463"/>
      <c r="E31" s="464"/>
      <c r="F31" s="465"/>
      <c r="G31" s="257"/>
      <c r="H31" s="2528"/>
      <c r="I31" s="2528"/>
      <c r="J31" s="2528"/>
      <c r="K31" s="275"/>
      <c r="L31" s="3192"/>
      <c r="M31" s="3192"/>
      <c r="N31" s="3192"/>
      <c r="O31" s="3192"/>
      <c r="P31" s="3192"/>
      <c r="Q31" s="3192"/>
      <c r="R31" s="3192"/>
      <c r="S31" s="3192"/>
      <c r="T31" s="3192"/>
      <c r="U31" s="3192"/>
      <c r="V31" s="3192"/>
      <c r="W31" s="3192"/>
      <c r="X31" s="3192"/>
      <c r="Y31" s="3192"/>
      <c r="Z31" s="3192"/>
    </row>
    <row r="32" spans="1:26" s="1998" customFormat="1" ht="13.5" customHeight="1">
      <c r="A32" s="790" t="s">
        <v>1824</v>
      </c>
      <c r="B32" s="2571"/>
      <c r="C32" s="52">
        <f ca="1">ROUND(C25+D26,4)</f>
        <v>0.14460000000000001</v>
      </c>
      <c r="D32" s="463"/>
      <c r="E32" s="464"/>
      <c r="F32" s="465"/>
      <c r="G32" s="257"/>
      <c r="H32" s="2528"/>
      <c r="I32" s="2528"/>
      <c r="J32" s="2528"/>
      <c r="K32" s="275"/>
      <c r="L32" s="3192"/>
      <c r="M32" s="3192"/>
      <c r="N32" s="3192"/>
      <c r="O32" s="3192"/>
      <c r="P32" s="3192"/>
      <c r="Q32" s="3192"/>
      <c r="R32" s="3192"/>
      <c r="S32" s="3192"/>
      <c r="T32" s="3192"/>
      <c r="U32" s="3192"/>
      <c r="V32" s="3192"/>
      <c r="W32" s="3192"/>
      <c r="X32" s="3192"/>
      <c r="Y32" s="3192"/>
      <c r="Z32" s="3192"/>
    </row>
    <row r="33" spans="1:26" s="2000" customFormat="1" ht="13.5" customHeight="1">
      <c r="A33" s="2739" t="s">
        <v>2788</v>
      </c>
      <c r="B33" s="2737" t="s">
        <v>2786</v>
      </c>
      <c r="C33" s="469">
        <f ca="1">C35</f>
        <v>5023</v>
      </c>
      <c r="D33" s="458">
        <f ca="1">C34</f>
        <v>0.1132</v>
      </c>
      <c r="E33" s="460" t="s">
        <v>466</v>
      </c>
      <c r="F33" s="470">
        <f ca="1">IF(B1="",'数据-取费表'!Q16,INDIRECT("'数据-取费表'!q"&amp;$K$1))</f>
        <v>0.11</v>
      </c>
      <c r="G33" s="2529"/>
      <c r="H33" s="2530"/>
      <c r="I33" s="2530"/>
      <c r="J33" s="2530"/>
      <c r="K33" s="2531"/>
      <c r="L33" s="3194"/>
      <c r="M33" s="3194"/>
      <c r="N33" s="3194"/>
      <c r="O33" s="3194"/>
      <c r="P33" s="3194"/>
      <c r="Q33" s="3194"/>
      <c r="R33" s="3194"/>
      <c r="S33" s="3194"/>
      <c r="T33" s="3194"/>
      <c r="U33" s="3194"/>
      <c r="V33" s="3194"/>
      <c r="W33" s="3194"/>
      <c r="X33" s="3194"/>
      <c r="Y33" s="3194"/>
      <c r="Z33" s="3194"/>
    </row>
    <row r="34" spans="1:26" s="2001" customFormat="1" ht="13.5" customHeight="1">
      <c r="A34" s="366" t="s">
        <v>1823</v>
      </c>
      <c r="B34" s="2576" t="s">
        <v>472</v>
      </c>
      <c r="C34" s="463">
        <f ca="1">ROUND((1+C25)*F33,4)</f>
        <v>0.1132</v>
      </c>
      <c r="D34" s="463"/>
      <c r="E34" s="464"/>
      <c r="F34" s="471"/>
      <c r="G34" s="257" t="s">
        <v>2254</v>
      </c>
      <c r="H34" s="2528"/>
      <c r="I34" s="2528"/>
      <c r="J34" s="2528"/>
      <c r="K34" s="275"/>
      <c r="L34" s="3195"/>
      <c r="M34" s="3195"/>
      <c r="N34" s="3195"/>
      <c r="O34" s="3195"/>
      <c r="P34" s="3195"/>
      <c r="Q34" s="3195"/>
      <c r="R34" s="3195"/>
      <c r="S34" s="3195"/>
      <c r="T34" s="3195"/>
      <c r="U34" s="3195"/>
      <c r="V34" s="3195"/>
      <c r="W34" s="3195"/>
      <c r="X34" s="3195"/>
      <c r="Y34" s="3195"/>
      <c r="Z34" s="3195"/>
    </row>
    <row r="35" spans="1:26" s="2001" customFormat="1" ht="13.5" customHeight="1" thickBot="1">
      <c r="A35" s="1560" t="s">
        <v>1824</v>
      </c>
      <c r="B35" s="2738" t="s">
        <v>2794</v>
      </c>
      <c r="C35" s="1552">
        <f ca="1">ROUND((C18+C19+C20+C23+C24)*F33,0)</f>
        <v>5023</v>
      </c>
      <c r="D35" s="1553"/>
      <c r="E35" s="2577"/>
      <c r="F35" s="1554"/>
      <c r="G35" s="2535"/>
      <c r="H35" s="2536"/>
      <c r="I35" s="2536"/>
      <c r="J35" s="2536"/>
      <c r="K35" s="2537"/>
      <c r="L35" s="3195"/>
      <c r="M35" s="3195"/>
      <c r="N35" s="3195"/>
      <c r="O35" s="3195"/>
      <c r="P35" s="3195"/>
      <c r="Q35" s="3195"/>
      <c r="R35" s="3195"/>
      <c r="S35" s="3195"/>
      <c r="T35" s="3195"/>
      <c r="U35" s="3195"/>
      <c r="V35" s="3195"/>
      <c r="W35" s="3195"/>
      <c r="X35" s="3195"/>
      <c r="Y35" s="3195"/>
      <c r="Z35" s="3195"/>
    </row>
    <row r="36" spans="1:26" s="1963" customFormat="1" ht="13.5" customHeight="1" thickBot="1">
      <c r="A36" s="280" t="s">
        <v>1811</v>
      </c>
      <c r="B36" s="2539"/>
      <c r="C36" s="2578">
        <f ca="1">ROUND((C6-C30-C33)/(1+D30+D33),0)</f>
        <v>220090</v>
      </c>
      <c r="D36" s="2539"/>
      <c r="E36" s="2539"/>
      <c r="F36" s="2539"/>
      <c r="G36" s="2538" t="s">
        <v>2795</v>
      </c>
      <c r="H36" s="2539"/>
      <c r="I36" s="2539"/>
      <c r="J36" s="2539"/>
      <c r="K36" s="2540"/>
      <c r="L36" s="3189"/>
      <c r="M36" s="3189"/>
      <c r="N36" s="3189"/>
      <c r="O36" s="3189"/>
      <c r="P36" s="3189"/>
      <c r="Q36" s="3189"/>
      <c r="R36" s="3189"/>
      <c r="S36" s="3189"/>
      <c r="T36" s="3189"/>
      <c r="U36" s="3189"/>
      <c r="V36" s="3189"/>
      <c r="W36" s="3189"/>
      <c r="X36" s="3189"/>
      <c r="Y36" s="3189"/>
      <c r="Z36" s="3189"/>
    </row>
    <row r="37" spans="1:26" s="1993" customFormat="1">
      <c r="A37" s="3196"/>
      <c r="C37" s="3197"/>
      <c r="E37" s="3196"/>
    </row>
    <row r="38" spans="1:26" s="1993" customFormat="1" ht="12.75" customHeight="1">
      <c r="A38" s="3196"/>
      <c r="C38" s="3197"/>
      <c r="E38" s="3196"/>
    </row>
    <row r="39" spans="1:26" s="1993" customFormat="1">
      <c r="A39" s="3196"/>
      <c r="C39" s="3197"/>
      <c r="E39" s="3196"/>
    </row>
    <row r="40" spans="1:26" s="1993" customFormat="1">
      <c r="A40" s="3196"/>
      <c r="C40" s="3197"/>
      <c r="E40" s="3196"/>
    </row>
    <row r="41" spans="1:26" s="1993" customFormat="1">
      <c r="A41" s="3196"/>
      <c r="C41" s="3197"/>
      <c r="E41" s="3196"/>
    </row>
    <row r="42" spans="1:26" s="1993" customFormat="1">
      <c r="A42" s="3196"/>
      <c r="C42" s="3197"/>
      <c r="E42" s="3196"/>
    </row>
    <row r="43" spans="1:26" s="1993" customFormat="1">
      <c r="A43" s="3196"/>
      <c r="C43" s="3197"/>
      <c r="E43" s="3196"/>
    </row>
    <row r="44" spans="1:26" s="1993" customFormat="1">
      <c r="A44" s="3196"/>
      <c r="C44" s="3197"/>
      <c r="E44" s="3196"/>
    </row>
    <row r="45" spans="1:26" s="1993" customFormat="1">
      <c r="A45" s="3196"/>
      <c r="C45" s="3197"/>
      <c r="E45" s="3196"/>
    </row>
    <row r="46" spans="1:26" s="1993" customFormat="1">
      <c r="A46" s="3196"/>
      <c r="C46" s="3197"/>
      <c r="E46" s="3196"/>
    </row>
    <row r="47" spans="1:26" s="1993" customFormat="1">
      <c r="A47" s="3196"/>
      <c r="C47" s="3197"/>
      <c r="E47" s="3196"/>
    </row>
    <row r="48" spans="1:26"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row r="226" spans="1:5" s="1993" customFormat="1">
      <c r="A226" s="3196"/>
      <c r="C226" s="3197"/>
      <c r="E226" s="3196"/>
    </row>
    <row r="227" spans="1:5" s="1993" customFormat="1">
      <c r="A227" s="3196"/>
      <c r="C227" s="3197"/>
      <c r="E227" s="3196"/>
    </row>
    <row r="228" spans="1:5" s="1993" customFormat="1">
      <c r="A228" s="3196"/>
      <c r="C228" s="3197"/>
      <c r="E228" s="3196"/>
    </row>
    <row r="229" spans="1:5" s="1993" customFormat="1">
      <c r="A229" s="3196"/>
      <c r="C229" s="3197"/>
      <c r="E229" s="3196"/>
    </row>
    <row r="230" spans="1:5" s="1993" customFormat="1">
      <c r="A230" s="3196"/>
      <c r="C230" s="3197"/>
      <c r="E230" s="3196"/>
    </row>
    <row r="231" spans="1:5" s="1993" customFormat="1">
      <c r="A231" s="3196"/>
      <c r="C231" s="3197"/>
      <c r="E231" s="3196"/>
    </row>
    <row r="232" spans="1:5" s="1993" customFormat="1">
      <c r="A232" s="3196"/>
      <c r="C232" s="3197"/>
      <c r="E232" s="3196"/>
    </row>
    <row r="233" spans="1:5" s="1993" customFormat="1">
      <c r="A233" s="3196"/>
      <c r="C233" s="3197"/>
      <c r="E233" s="3196"/>
    </row>
    <row r="234" spans="1:5" s="1993" customFormat="1">
      <c r="A234" s="3196"/>
      <c r="C234" s="3197"/>
      <c r="E234" s="3196"/>
    </row>
    <row r="235" spans="1:5" s="1993" customFormat="1">
      <c r="A235" s="3196"/>
      <c r="C235" s="3197"/>
      <c r="E235" s="3196"/>
    </row>
    <row r="236" spans="1:5" s="1993" customFormat="1">
      <c r="A236" s="3196"/>
      <c r="C236" s="3197"/>
      <c r="E236" s="3196"/>
    </row>
    <row r="237" spans="1:5" s="1993" customFormat="1">
      <c r="A237" s="3196"/>
      <c r="C237" s="3197"/>
      <c r="E237" s="3196"/>
    </row>
    <row r="238" spans="1:5" s="1993" customFormat="1">
      <c r="A238" s="3196"/>
      <c r="C238" s="3197"/>
      <c r="E238" s="3196"/>
    </row>
    <row r="239" spans="1:5" s="1993" customFormat="1">
      <c r="A239" s="3196"/>
      <c r="C239" s="3197"/>
      <c r="E239" s="3196"/>
    </row>
    <row r="240" spans="1:5" s="1993" customFormat="1">
      <c r="A240" s="3196"/>
      <c r="C240" s="3197"/>
      <c r="E240" s="3196"/>
    </row>
    <row r="241" spans="1:5" s="1993" customFormat="1">
      <c r="A241" s="3196"/>
      <c r="C241" s="3197"/>
      <c r="E241" s="3196"/>
    </row>
    <row r="242" spans="1:5" s="1993" customFormat="1">
      <c r="A242" s="3196"/>
      <c r="C242" s="3197"/>
      <c r="E242" s="3196"/>
    </row>
    <row r="243" spans="1:5" s="1993" customFormat="1">
      <c r="A243" s="3196"/>
      <c r="C243" s="3197"/>
      <c r="E243" s="3196"/>
    </row>
    <row r="244" spans="1:5" s="1993" customFormat="1">
      <c r="A244" s="3196"/>
      <c r="C244" s="3197"/>
      <c r="E244" s="3196"/>
    </row>
    <row r="245" spans="1:5" s="1993" customFormat="1">
      <c r="A245" s="3196"/>
      <c r="C245" s="3197"/>
      <c r="E245" s="3196"/>
    </row>
    <row r="246" spans="1:5" s="1993" customFormat="1">
      <c r="A246" s="3196"/>
      <c r="C246" s="3197"/>
      <c r="E246" s="3196"/>
    </row>
    <row r="247" spans="1:5" s="1993" customFormat="1">
      <c r="A247" s="3196"/>
      <c r="C247" s="3197"/>
      <c r="E247" s="3196"/>
    </row>
    <row r="248" spans="1:5" s="1993" customFormat="1">
      <c r="A248" s="3196"/>
      <c r="C248" s="3197"/>
      <c r="E248" s="3196"/>
    </row>
    <row r="249" spans="1:5" s="1993" customFormat="1">
      <c r="A249" s="3196"/>
      <c r="C249" s="3197"/>
      <c r="E249" s="3196"/>
    </row>
    <row r="250" spans="1:5" s="1993" customFormat="1">
      <c r="A250" s="3196"/>
      <c r="C250" s="3197"/>
      <c r="E250" s="3196"/>
    </row>
    <row r="251" spans="1:5" s="1993" customFormat="1">
      <c r="A251" s="3196"/>
      <c r="C251" s="3197"/>
      <c r="E251" s="3196"/>
    </row>
    <row r="252" spans="1:5" s="1993" customFormat="1">
      <c r="A252" s="3196"/>
      <c r="C252" s="3197"/>
      <c r="E252" s="3196"/>
    </row>
    <row r="253" spans="1:5" s="1993" customFormat="1">
      <c r="A253" s="3196"/>
      <c r="C253" s="3197"/>
      <c r="E253" s="3196"/>
    </row>
    <row r="254" spans="1:5" s="1993" customFormat="1">
      <c r="A254" s="3196"/>
      <c r="C254" s="3197"/>
      <c r="E254" s="3196"/>
    </row>
    <row r="255" spans="1:5" s="1993" customFormat="1">
      <c r="A255" s="3196"/>
      <c r="C255" s="3197"/>
      <c r="E255" s="3196"/>
    </row>
    <row r="256" spans="1:5" s="1993" customFormat="1">
      <c r="A256" s="3196"/>
      <c r="C256" s="3197"/>
      <c r="E256" s="3196"/>
    </row>
    <row r="257" spans="1:5" s="1993" customFormat="1">
      <c r="A257" s="3196"/>
      <c r="C257" s="3197"/>
      <c r="E257" s="3196"/>
    </row>
    <row r="258" spans="1:5" s="1993" customFormat="1">
      <c r="A258" s="3196"/>
      <c r="C258" s="3197"/>
      <c r="E258" s="3196"/>
    </row>
    <row r="259" spans="1:5" s="1993" customFormat="1">
      <c r="A259" s="3196"/>
      <c r="C259" s="3197"/>
      <c r="E259" s="3196"/>
    </row>
    <row r="260" spans="1:5" s="1993" customFormat="1">
      <c r="A260" s="3196"/>
      <c r="C260" s="3197"/>
      <c r="E260" s="3196"/>
    </row>
    <row r="261" spans="1:5" s="1993" customFormat="1">
      <c r="A261" s="3196"/>
      <c r="C261" s="3197"/>
      <c r="E261" s="3196"/>
    </row>
    <row r="262" spans="1:5" s="1993" customFormat="1">
      <c r="A262" s="3196"/>
      <c r="C262" s="3197"/>
      <c r="E262" s="3196"/>
    </row>
    <row r="263" spans="1:5" s="1993" customFormat="1">
      <c r="A263" s="3196"/>
      <c r="C263" s="3197"/>
      <c r="E263" s="3196"/>
    </row>
    <row r="264" spans="1:5" s="1993" customFormat="1">
      <c r="A264" s="3196"/>
      <c r="C264" s="3197"/>
      <c r="E264" s="3196"/>
    </row>
    <row r="265" spans="1:5" s="1993" customFormat="1">
      <c r="A265" s="3196"/>
      <c r="C265" s="3197"/>
      <c r="E265" s="3196"/>
    </row>
    <row r="266" spans="1:5" s="1993" customFormat="1">
      <c r="A266" s="3196"/>
      <c r="C266" s="3197"/>
      <c r="E266" s="3196"/>
    </row>
    <row r="267" spans="1:5" s="1993" customFormat="1">
      <c r="A267" s="3196"/>
      <c r="C267" s="3197"/>
      <c r="E267" s="3196"/>
    </row>
    <row r="268" spans="1:5" s="1993" customFormat="1">
      <c r="A268" s="3196"/>
      <c r="C268" s="3197"/>
      <c r="E268" s="3196"/>
    </row>
    <row r="269" spans="1:5" s="1993" customFormat="1">
      <c r="A269" s="3196"/>
      <c r="C269" s="3197"/>
      <c r="E269" s="3196"/>
    </row>
    <row r="270" spans="1:5" s="1993" customFormat="1">
      <c r="A270" s="3196"/>
      <c r="C270" s="3197"/>
      <c r="E270" s="3196"/>
    </row>
    <row r="271" spans="1:5" s="1993" customFormat="1">
      <c r="A271" s="3196"/>
      <c r="C271" s="3197"/>
      <c r="E271" s="3196"/>
    </row>
    <row r="272" spans="1:5" s="1993" customFormat="1">
      <c r="A272" s="3196"/>
      <c r="C272" s="3197"/>
      <c r="E272" s="3196"/>
    </row>
    <row r="273" spans="1:5" s="1993" customFormat="1">
      <c r="A273" s="3196"/>
      <c r="C273" s="3197"/>
      <c r="E273" s="3196"/>
    </row>
    <row r="274" spans="1:5" s="1993" customFormat="1">
      <c r="A274" s="3196"/>
      <c r="C274" s="3197"/>
      <c r="E274" s="3196"/>
    </row>
    <row r="275" spans="1:5" s="1993" customFormat="1">
      <c r="A275" s="3196"/>
      <c r="C275" s="3197"/>
      <c r="E275" s="3196"/>
    </row>
    <row r="276" spans="1:5" s="1993" customFormat="1">
      <c r="A276" s="3196"/>
      <c r="C276" s="3197"/>
      <c r="E276" s="3196"/>
    </row>
    <row r="277" spans="1:5" s="1993" customFormat="1">
      <c r="A277" s="3196"/>
      <c r="C277" s="3197"/>
      <c r="E277" s="3196"/>
    </row>
    <row r="278" spans="1:5" s="1993" customFormat="1">
      <c r="A278" s="3196"/>
      <c r="C278" s="3197"/>
      <c r="E278" s="3196"/>
    </row>
    <row r="279" spans="1:5" s="1993" customFormat="1">
      <c r="A279" s="3196"/>
      <c r="C279" s="3197"/>
      <c r="E279" s="3196"/>
    </row>
    <row r="280" spans="1:5" s="1993" customFormat="1">
      <c r="A280" s="3196"/>
      <c r="C280" s="3197"/>
      <c r="E280" s="3196"/>
    </row>
    <row r="281" spans="1:5" s="1993" customFormat="1">
      <c r="A281" s="3196"/>
      <c r="C281" s="3197"/>
      <c r="E281" s="3196"/>
    </row>
    <row r="282" spans="1:5" s="1993" customFormat="1">
      <c r="A282" s="3196"/>
      <c r="C282" s="3197"/>
      <c r="E282" s="3196"/>
    </row>
    <row r="283" spans="1:5" s="1993" customFormat="1">
      <c r="A283" s="3196"/>
      <c r="C283" s="3197"/>
      <c r="E283" s="3196"/>
    </row>
    <row r="284" spans="1:5" s="1993" customFormat="1">
      <c r="A284" s="3196"/>
      <c r="C284" s="3197"/>
      <c r="E284" s="3196"/>
    </row>
    <row r="285" spans="1:5" s="1993" customFormat="1">
      <c r="A285" s="3196"/>
      <c r="C285" s="3197"/>
      <c r="E285" s="3196"/>
    </row>
    <row r="286" spans="1:5" s="1993" customFormat="1">
      <c r="A286" s="3196"/>
      <c r="C286" s="3197"/>
      <c r="E286" s="3196"/>
    </row>
    <row r="287" spans="1:5" s="1993" customFormat="1">
      <c r="A287" s="3196"/>
      <c r="C287" s="3197"/>
      <c r="E287" s="3196"/>
    </row>
    <row r="288" spans="1:5" s="1993" customFormat="1">
      <c r="A288" s="3196"/>
      <c r="C288" s="3197"/>
      <c r="E288" s="3196"/>
    </row>
    <row r="289" spans="1:5" s="1993" customFormat="1">
      <c r="A289" s="3196"/>
      <c r="C289" s="3197"/>
      <c r="E289" s="3196"/>
    </row>
    <row r="290" spans="1:5" s="1993" customFormat="1">
      <c r="A290" s="3196"/>
      <c r="C290" s="3197"/>
      <c r="E290" s="3196"/>
    </row>
    <row r="291" spans="1:5" s="1993" customFormat="1">
      <c r="A291" s="3196"/>
      <c r="C291" s="3197"/>
      <c r="E291" s="3196"/>
    </row>
    <row r="292" spans="1:5" s="1993" customFormat="1">
      <c r="A292" s="3196"/>
      <c r="C292" s="3197"/>
      <c r="E292" s="3196"/>
    </row>
    <row r="293" spans="1:5" s="1993" customFormat="1">
      <c r="A293" s="3196"/>
      <c r="C293" s="3197"/>
      <c r="E293" s="3196"/>
    </row>
    <row r="294" spans="1:5" s="1993" customFormat="1">
      <c r="A294" s="3196"/>
      <c r="C294" s="3197"/>
      <c r="E294" s="3196"/>
    </row>
    <row r="295" spans="1:5" s="1993" customFormat="1">
      <c r="A295" s="3196"/>
      <c r="C295" s="3197"/>
      <c r="E295" s="3196"/>
    </row>
    <row r="296" spans="1:5" s="1993" customFormat="1">
      <c r="A296" s="3196"/>
      <c r="C296" s="3197"/>
      <c r="E296" s="3196"/>
    </row>
    <row r="297" spans="1:5" s="1993" customFormat="1">
      <c r="A297" s="3196"/>
      <c r="C297" s="3197"/>
      <c r="E297" s="3196"/>
    </row>
    <row r="298" spans="1:5" s="1993" customFormat="1">
      <c r="A298" s="3196"/>
      <c r="C298" s="3197"/>
      <c r="E298" s="3196"/>
    </row>
    <row r="299" spans="1:5" s="1993" customFormat="1">
      <c r="A299" s="3196"/>
      <c r="C299" s="3197"/>
      <c r="E299" s="3196"/>
    </row>
    <row r="300" spans="1:5" s="1993" customFormat="1">
      <c r="A300" s="3196"/>
      <c r="C300" s="3197"/>
      <c r="E300" s="3196"/>
    </row>
    <row r="301" spans="1:5" s="1993" customFormat="1">
      <c r="A301" s="3196"/>
      <c r="C301" s="3197"/>
      <c r="E301" s="3196"/>
    </row>
    <row r="302" spans="1:5" s="1993" customFormat="1">
      <c r="A302" s="3196"/>
      <c r="C302" s="3197"/>
      <c r="E302" s="3196"/>
    </row>
    <row r="303" spans="1:5" s="1993" customFormat="1">
      <c r="A303" s="3196"/>
      <c r="C303" s="3197"/>
      <c r="E303" s="3196"/>
    </row>
    <row r="304" spans="1:5" s="1993" customFormat="1">
      <c r="A304" s="3196"/>
      <c r="C304" s="3197"/>
      <c r="E304" s="3196"/>
    </row>
    <row r="305" spans="1:5" s="1993" customFormat="1">
      <c r="A305" s="3196"/>
      <c r="C305" s="3197"/>
      <c r="E305" s="3196"/>
    </row>
    <row r="306" spans="1:5" s="1993" customFormat="1">
      <c r="A306" s="3196"/>
      <c r="C306" s="3197"/>
      <c r="E306" s="3196"/>
    </row>
    <row r="307" spans="1:5" s="1993" customFormat="1">
      <c r="A307" s="3196"/>
      <c r="C307" s="3197"/>
      <c r="E307" s="3196"/>
    </row>
    <row r="308" spans="1:5" s="1993" customFormat="1">
      <c r="A308" s="3196"/>
      <c r="C308" s="3197"/>
      <c r="E308" s="3196"/>
    </row>
    <row r="309" spans="1:5" s="1993" customFormat="1">
      <c r="A309" s="3196"/>
      <c r="C309" s="3197"/>
      <c r="E309" s="3196"/>
    </row>
    <row r="310" spans="1:5" s="1993" customFormat="1">
      <c r="A310" s="3196"/>
      <c r="C310" s="3197"/>
      <c r="E310" s="3196"/>
    </row>
    <row r="311" spans="1:5" s="1993" customFormat="1">
      <c r="A311" s="3196"/>
      <c r="C311" s="3197"/>
      <c r="E311" s="3196"/>
    </row>
    <row r="312" spans="1:5" s="1993" customFormat="1">
      <c r="A312" s="3196"/>
      <c r="C312" s="3197"/>
      <c r="E312" s="3196"/>
    </row>
    <row r="313" spans="1:5" s="1993" customFormat="1">
      <c r="A313" s="3196"/>
      <c r="C313" s="3197"/>
      <c r="E313" s="3196"/>
    </row>
    <row r="314" spans="1:5" s="1993" customFormat="1">
      <c r="A314" s="3196"/>
      <c r="C314" s="3197"/>
      <c r="E314" s="3196"/>
    </row>
    <row r="315" spans="1:5" s="1993" customFormat="1">
      <c r="A315" s="3196"/>
      <c r="C315" s="3197"/>
      <c r="E315" s="3196"/>
    </row>
    <row r="316" spans="1:5" s="1993" customFormat="1">
      <c r="A316" s="3196"/>
      <c r="C316" s="3197"/>
      <c r="E316" s="3196"/>
    </row>
    <row r="317" spans="1:5" s="1993" customFormat="1">
      <c r="A317" s="3196"/>
      <c r="C317" s="3197"/>
      <c r="E317" s="3196"/>
    </row>
    <row r="318" spans="1:5" s="1993" customFormat="1">
      <c r="A318" s="3196"/>
      <c r="C318" s="3197"/>
      <c r="E318" s="3196"/>
    </row>
    <row r="319" spans="1:5" s="1993" customFormat="1">
      <c r="A319" s="3196"/>
      <c r="C319" s="3197"/>
      <c r="E319" s="3196"/>
    </row>
    <row r="320" spans="1:5" s="1993" customFormat="1">
      <c r="A320" s="3196"/>
      <c r="C320" s="3197"/>
      <c r="E320" s="3196"/>
    </row>
    <row r="321" spans="1:5" s="1993" customFormat="1">
      <c r="A321" s="3196"/>
      <c r="C321" s="3197"/>
      <c r="E321" s="3196"/>
    </row>
    <row r="322" spans="1:5" s="1993" customFormat="1">
      <c r="A322" s="3196"/>
      <c r="C322" s="3197"/>
      <c r="E322" s="3196"/>
    </row>
    <row r="323" spans="1:5" s="1993" customFormat="1">
      <c r="A323" s="3196"/>
      <c r="C323" s="3197"/>
      <c r="E323" s="3196"/>
    </row>
    <row r="324" spans="1:5" s="1993" customFormat="1">
      <c r="A324" s="3196"/>
      <c r="C324" s="3197"/>
      <c r="E324" s="3196"/>
    </row>
    <row r="325" spans="1:5" s="1993" customFormat="1">
      <c r="A325" s="3196"/>
      <c r="C325" s="3197"/>
      <c r="E325" s="3196"/>
    </row>
    <row r="326" spans="1:5" s="1993" customFormat="1">
      <c r="A326" s="3196"/>
      <c r="C326" s="3197"/>
      <c r="E326" s="3196"/>
    </row>
    <row r="327" spans="1:5" s="1993" customFormat="1">
      <c r="A327" s="3196"/>
      <c r="C327" s="3197"/>
      <c r="E327" s="3196"/>
    </row>
    <row r="328" spans="1:5" s="1993" customFormat="1">
      <c r="A328" s="3196"/>
      <c r="C328" s="3197"/>
      <c r="E328" s="3196"/>
    </row>
    <row r="329" spans="1:5" s="1993" customFormat="1">
      <c r="A329" s="3196"/>
      <c r="C329" s="3197"/>
      <c r="E329" s="3196"/>
    </row>
    <row r="330" spans="1:5" s="1993" customFormat="1">
      <c r="A330" s="3196"/>
      <c r="C330" s="3197"/>
      <c r="E330" s="3196"/>
    </row>
    <row r="331" spans="1:5" s="1993" customFormat="1">
      <c r="A331" s="3196"/>
      <c r="C331" s="3197"/>
      <c r="E331" s="3196"/>
    </row>
    <row r="332" spans="1:5" s="1993" customFormat="1">
      <c r="A332" s="3196"/>
      <c r="C332" s="3197"/>
      <c r="E332" s="3196"/>
    </row>
    <row r="333" spans="1:5" s="1993" customFormat="1">
      <c r="A333" s="3196"/>
      <c r="C333" s="3197"/>
      <c r="E333" s="3196"/>
    </row>
    <row r="334" spans="1:5" s="1993" customFormat="1">
      <c r="A334" s="3196"/>
      <c r="C334" s="3197"/>
      <c r="E334" s="3196"/>
    </row>
    <row r="335" spans="1:5" s="1993" customFormat="1">
      <c r="A335" s="3196"/>
      <c r="C335" s="3197"/>
      <c r="E335" s="3196"/>
    </row>
    <row r="336" spans="1:5" s="1993" customFormat="1">
      <c r="A336" s="3196"/>
      <c r="C336" s="3197"/>
      <c r="E336" s="3196"/>
    </row>
    <row r="337" spans="1:5" s="1993" customFormat="1">
      <c r="A337" s="3196"/>
      <c r="C337" s="3197"/>
      <c r="E337" s="3196"/>
    </row>
    <row r="338" spans="1:5" s="1993" customFormat="1">
      <c r="A338" s="3196"/>
      <c r="C338" s="3197"/>
      <c r="E338" s="3196"/>
    </row>
    <row r="339" spans="1:5" s="1993" customFormat="1">
      <c r="A339" s="3196"/>
      <c r="C339" s="3197"/>
      <c r="E339" s="3196"/>
    </row>
    <row r="340" spans="1:5" s="1993" customFormat="1">
      <c r="A340" s="3196"/>
      <c r="C340" s="3197"/>
      <c r="E340" s="3196"/>
    </row>
    <row r="341" spans="1:5" s="1993" customFormat="1">
      <c r="A341" s="3196"/>
      <c r="C341" s="3197"/>
      <c r="E341" s="3196"/>
    </row>
    <row r="342" spans="1:5" s="1993" customFormat="1">
      <c r="A342" s="3196"/>
      <c r="C342" s="3197"/>
      <c r="E342" s="3196"/>
    </row>
    <row r="343" spans="1:5" s="1993" customFormat="1">
      <c r="A343" s="3196"/>
      <c r="C343" s="3197"/>
      <c r="E343" s="3196"/>
    </row>
    <row r="344" spans="1:5" s="1993" customFormat="1">
      <c r="A344" s="3196"/>
      <c r="C344" s="3197"/>
      <c r="E344" s="3196"/>
    </row>
    <row r="345" spans="1:5" s="1993" customFormat="1">
      <c r="A345" s="3196"/>
      <c r="C345" s="3197"/>
      <c r="E345" s="3196"/>
    </row>
    <row r="346" spans="1:5" s="1993" customFormat="1">
      <c r="A346" s="3196"/>
      <c r="C346" s="3197"/>
      <c r="E346" s="3196"/>
    </row>
    <row r="347" spans="1:5" s="1993" customFormat="1">
      <c r="A347" s="3196"/>
      <c r="C347" s="3197"/>
      <c r="E347" s="3196"/>
    </row>
    <row r="348" spans="1:5" s="1993" customFormat="1">
      <c r="A348" s="3196"/>
      <c r="C348" s="3197"/>
      <c r="E348" s="3196"/>
    </row>
    <row r="349" spans="1:5" s="1993" customFormat="1">
      <c r="A349" s="3196"/>
      <c r="C349" s="3197"/>
      <c r="E349" s="3196"/>
    </row>
    <row r="350" spans="1:5" s="1993" customFormat="1">
      <c r="A350" s="3196"/>
      <c r="C350" s="3197"/>
      <c r="E350" s="3196"/>
    </row>
    <row r="351" spans="1:5" s="1993" customFormat="1">
      <c r="A351" s="3196"/>
      <c r="C351" s="3197"/>
      <c r="E351" s="3196"/>
    </row>
    <row r="352" spans="1:5" s="1993" customFormat="1">
      <c r="A352" s="3196"/>
      <c r="C352" s="3197"/>
      <c r="E352" s="3196"/>
    </row>
    <row r="353" spans="1:5" s="1993" customFormat="1">
      <c r="A353" s="3196"/>
      <c r="C353" s="3197"/>
      <c r="E353" s="3196"/>
    </row>
    <row r="354" spans="1:5" s="1993" customFormat="1">
      <c r="A354" s="3196"/>
      <c r="C354" s="3197"/>
      <c r="E354" s="3196"/>
    </row>
    <row r="355" spans="1:5" s="1993" customFormat="1">
      <c r="A355" s="3196"/>
      <c r="C355" s="3197"/>
      <c r="E355" s="3196"/>
    </row>
    <row r="356" spans="1:5" s="1993" customFormat="1">
      <c r="A356" s="3196"/>
      <c r="C356" s="3197"/>
      <c r="E356" s="3196"/>
    </row>
    <row r="357" spans="1:5" s="1993" customFormat="1">
      <c r="A357" s="3196"/>
      <c r="C357" s="3197"/>
      <c r="E357" s="3196"/>
    </row>
    <row r="358" spans="1:5" s="1993" customFormat="1">
      <c r="A358" s="3196"/>
      <c r="C358" s="3197"/>
      <c r="E358" s="3196"/>
    </row>
    <row r="359" spans="1:5" s="1993" customFormat="1">
      <c r="A359" s="3196"/>
      <c r="C359" s="3197"/>
      <c r="E359" s="3196"/>
    </row>
    <row r="360" spans="1:5" s="1993" customFormat="1">
      <c r="A360" s="3196"/>
      <c r="C360" s="3197"/>
      <c r="E360" s="3196"/>
    </row>
    <row r="361" spans="1:5" s="1993" customFormat="1">
      <c r="A361" s="3196"/>
      <c r="C361" s="3197"/>
      <c r="E361" s="3196"/>
    </row>
    <row r="362" spans="1:5" s="1993" customFormat="1">
      <c r="A362" s="3196"/>
      <c r="C362" s="3197"/>
      <c r="E362" s="3196"/>
    </row>
    <row r="363" spans="1:5" s="1993" customFormat="1">
      <c r="A363" s="3196"/>
      <c r="C363" s="3197"/>
      <c r="E363" s="3196"/>
    </row>
    <row r="364" spans="1:5" s="1993" customFormat="1">
      <c r="A364" s="3196"/>
      <c r="C364" s="3197"/>
      <c r="E364" s="3196"/>
    </row>
    <row r="365" spans="1:5" s="1993" customFormat="1">
      <c r="A365" s="3196"/>
      <c r="C365" s="3197"/>
      <c r="E365" s="3196"/>
    </row>
    <row r="366" spans="1:5" s="1993" customFormat="1">
      <c r="A366" s="3196"/>
      <c r="C366" s="3197"/>
      <c r="E366" s="3196"/>
    </row>
    <row r="367" spans="1:5" s="1993" customFormat="1">
      <c r="A367" s="3196"/>
      <c r="C367" s="3197"/>
      <c r="E367" s="3196"/>
    </row>
    <row r="368" spans="1:5" s="1993" customFormat="1">
      <c r="A368" s="3196"/>
      <c r="C368" s="3197"/>
      <c r="E368" s="3196"/>
    </row>
    <row r="369" spans="1:5" s="1993" customFormat="1">
      <c r="A369" s="3196"/>
      <c r="C369" s="3197"/>
      <c r="E369" s="3196"/>
    </row>
    <row r="370" spans="1:5" s="1993" customFormat="1">
      <c r="A370" s="3196"/>
      <c r="C370" s="3197"/>
      <c r="E370" s="3196"/>
    </row>
    <row r="371" spans="1:5" s="1993" customFormat="1">
      <c r="A371" s="3196"/>
      <c r="C371" s="3197"/>
      <c r="E371" s="3196"/>
    </row>
    <row r="372" spans="1:5" s="1993" customFormat="1">
      <c r="A372" s="3196"/>
      <c r="C372" s="3197"/>
      <c r="E372" s="3196"/>
    </row>
    <row r="373" spans="1:5" s="1993" customFormat="1">
      <c r="A373" s="3196"/>
      <c r="C373" s="3197"/>
      <c r="E373" s="3196"/>
    </row>
    <row r="374" spans="1:5" s="1993" customFormat="1">
      <c r="A374" s="3196"/>
      <c r="C374" s="3197"/>
      <c r="E374" s="3196"/>
    </row>
    <row r="375" spans="1:5" s="1993" customFormat="1">
      <c r="A375" s="3196"/>
      <c r="C375" s="3197"/>
      <c r="E375" s="3196"/>
    </row>
    <row r="376" spans="1:5" s="1993" customFormat="1">
      <c r="A376" s="3196"/>
      <c r="C376" s="3197"/>
      <c r="E376" s="3196"/>
    </row>
    <row r="377" spans="1:5" s="1993" customFormat="1">
      <c r="A377" s="3196"/>
      <c r="C377" s="3197"/>
      <c r="E377" s="3196"/>
    </row>
    <row r="378" spans="1:5" s="1993" customFormat="1">
      <c r="A378" s="3196"/>
      <c r="C378" s="3197"/>
      <c r="E378" s="3196"/>
    </row>
    <row r="379" spans="1:5" s="1993" customFormat="1">
      <c r="A379" s="3196"/>
      <c r="C379" s="3197"/>
      <c r="E379" s="3196"/>
    </row>
    <row r="380" spans="1:5" s="1993" customFormat="1">
      <c r="A380" s="3196"/>
      <c r="C380" s="3197"/>
      <c r="E380" s="3196"/>
    </row>
    <row r="381" spans="1:5" s="1993" customFormat="1">
      <c r="A381" s="3196"/>
      <c r="C381" s="3197"/>
      <c r="E381" s="3196"/>
    </row>
    <row r="382" spans="1:5" s="1993" customFormat="1">
      <c r="A382" s="3196"/>
      <c r="C382" s="3197"/>
      <c r="E382" s="3196"/>
    </row>
    <row r="383" spans="1:5" s="1993" customFormat="1">
      <c r="A383" s="3196"/>
      <c r="C383" s="3197"/>
      <c r="E383" s="3196"/>
    </row>
    <row r="384" spans="1:5" s="1993" customFormat="1">
      <c r="A384" s="3196"/>
      <c r="C384" s="3197"/>
      <c r="E384" s="3196"/>
    </row>
    <row r="385" spans="1:5" s="1993" customFormat="1">
      <c r="A385" s="3196"/>
      <c r="C385" s="3197"/>
      <c r="E385" s="3196"/>
    </row>
    <row r="386" spans="1:5" s="1993" customFormat="1">
      <c r="A386" s="3196"/>
      <c r="C386" s="3197"/>
      <c r="E386" s="3196"/>
    </row>
    <row r="387" spans="1:5" s="1993" customFormat="1">
      <c r="A387" s="3196"/>
      <c r="C387" s="3197"/>
      <c r="E387" s="3196"/>
    </row>
    <row r="388" spans="1:5" s="1993" customFormat="1">
      <c r="A388" s="3196"/>
      <c r="C388" s="3197"/>
      <c r="E388" s="3196"/>
    </row>
    <row r="389" spans="1:5" s="1993" customFormat="1">
      <c r="A389" s="3196"/>
      <c r="C389" s="3197"/>
      <c r="E389" s="3196"/>
    </row>
    <row r="390" spans="1:5" s="1993" customFormat="1">
      <c r="A390" s="3196"/>
      <c r="C390" s="3197"/>
      <c r="E390" s="3196"/>
    </row>
    <row r="391" spans="1:5" s="1993" customFormat="1">
      <c r="A391" s="3196"/>
      <c r="C391" s="3197"/>
      <c r="E391" s="3196"/>
    </row>
    <row r="392" spans="1:5" s="1993" customFormat="1">
      <c r="A392" s="3196"/>
      <c r="C392" s="3197"/>
      <c r="E392" s="3196"/>
    </row>
    <row r="393" spans="1:5" s="1993" customFormat="1">
      <c r="A393" s="3196"/>
      <c r="C393" s="3197"/>
      <c r="E393" s="3196"/>
    </row>
    <row r="394" spans="1:5" s="1993" customFormat="1">
      <c r="A394" s="3196"/>
      <c r="C394" s="3197"/>
      <c r="E394" s="3196"/>
    </row>
    <row r="395" spans="1:5" s="1993" customFormat="1">
      <c r="A395" s="3196"/>
      <c r="C395" s="3197"/>
      <c r="E395" s="3196"/>
    </row>
    <row r="396" spans="1:5" s="1993" customFormat="1">
      <c r="A396" s="3196"/>
      <c r="C396" s="3197"/>
      <c r="E396" s="3196"/>
    </row>
    <row r="397" spans="1:5" s="1993" customFormat="1">
      <c r="A397" s="3196"/>
      <c r="C397" s="3197"/>
      <c r="E397" s="3196"/>
    </row>
    <row r="398" spans="1:5" s="1993" customFormat="1">
      <c r="A398" s="3196"/>
      <c r="C398" s="3197"/>
      <c r="E398" s="3196"/>
    </row>
    <row r="399" spans="1:5" s="1993" customFormat="1">
      <c r="A399" s="3196"/>
      <c r="C399" s="3197"/>
      <c r="E399" s="3196"/>
    </row>
    <row r="400" spans="1:5" s="1993" customFormat="1">
      <c r="A400" s="3196"/>
      <c r="C400" s="3197"/>
      <c r="E400" s="3196"/>
    </row>
    <row r="401" spans="1:5" s="1993" customFormat="1">
      <c r="A401" s="3196"/>
      <c r="C401" s="3197"/>
      <c r="E401" s="3196"/>
    </row>
    <row r="402" spans="1:5" s="1993" customFormat="1">
      <c r="A402" s="3196"/>
      <c r="C402" s="3197"/>
      <c r="E402" s="3196"/>
    </row>
    <row r="403" spans="1:5" s="1993" customFormat="1">
      <c r="A403" s="3196"/>
      <c r="C403" s="3197"/>
      <c r="E403" s="3196"/>
    </row>
    <row r="404" spans="1:5" s="1993" customFormat="1">
      <c r="A404" s="3196"/>
      <c r="C404" s="3197"/>
      <c r="E404" s="3196"/>
    </row>
    <row r="405" spans="1:5" s="1993" customFormat="1">
      <c r="A405" s="3196"/>
      <c r="C405" s="3197"/>
      <c r="E405" s="3196"/>
    </row>
    <row r="406" spans="1:5" s="1993" customFormat="1">
      <c r="A406" s="3196"/>
      <c r="C406" s="3197"/>
      <c r="E406" s="3196"/>
    </row>
    <row r="407" spans="1:5" s="1993" customFormat="1">
      <c r="A407" s="3196"/>
      <c r="C407" s="3197"/>
      <c r="E407" s="3196"/>
    </row>
    <row r="408" spans="1:5" s="1993" customFormat="1">
      <c r="A408" s="3196"/>
      <c r="C408" s="3197"/>
      <c r="E408" s="3196"/>
    </row>
    <row r="409" spans="1:5" s="1993" customFormat="1">
      <c r="A409" s="3196"/>
      <c r="C409" s="3197"/>
      <c r="E409" s="3196"/>
    </row>
    <row r="410" spans="1:5" s="1993" customFormat="1">
      <c r="A410" s="3196"/>
      <c r="C410" s="3197"/>
      <c r="E410" s="3196"/>
    </row>
    <row r="411" spans="1:5" s="1993" customFormat="1">
      <c r="A411" s="3196"/>
      <c r="C411" s="3197"/>
      <c r="E411" s="3196"/>
    </row>
    <row r="412" spans="1:5" s="1993" customFormat="1">
      <c r="A412" s="3196"/>
      <c r="C412" s="3197"/>
      <c r="E412" s="3196"/>
    </row>
    <row r="413" spans="1:5" s="1993" customFormat="1">
      <c r="A413" s="3196"/>
      <c r="C413" s="3197"/>
      <c r="E413" s="3196"/>
    </row>
    <row r="414" spans="1:5" s="1993" customFormat="1">
      <c r="A414" s="3196"/>
      <c r="C414" s="3197"/>
      <c r="E414" s="3196"/>
    </row>
    <row r="415" spans="1:5" s="1993" customFormat="1">
      <c r="A415" s="3196"/>
      <c r="C415" s="3197"/>
      <c r="E415" s="3196"/>
    </row>
    <row r="416" spans="1:5" s="1993" customFormat="1">
      <c r="A416" s="3196"/>
      <c r="C416" s="3197"/>
      <c r="E416" s="3196"/>
    </row>
    <row r="417" spans="1:5" s="1993" customFormat="1">
      <c r="A417" s="3196"/>
      <c r="C417" s="3197"/>
      <c r="E417" s="3196"/>
    </row>
    <row r="418" spans="1:5" s="1993" customFormat="1">
      <c r="A418" s="3196"/>
      <c r="C418" s="3197"/>
      <c r="E418" s="3196"/>
    </row>
    <row r="419" spans="1:5" s="1993" customFormat="1">
      <c r="A419" s="3196"/>
      <c r="C419" s="3197"/>
      <c r="E419" s="3196"/>
    </row>
    <row r="420" spans="1:5" s="1993" customFormat="1">
      <c r="A420" s="3196"/>
      <c r="C420" s="3197"/>
      <c r="E420" s="3196"/>
    </row>
    <row r="421" spans="1:5" s="1993" customFormat="1">
      <c r="A421" s="3196"/>
      <c r="C421" s="3197"/>
      <c r="E421" s="3196"/>
    </row>
    <row r="422" spans="1:5" s="1993" customFormat="1">
      <c r="A422" s="3196"/>
      <c r="C422" s="3197"/>
      <c r="E422" s="3196"/>
    </row>
    <row r="423" spans="1:5" s="1993" customFormat="1">
      <c r="A423" s="3196"/>
      <c r="C423" s="3197"/>
      <c r="E423" s="3196"/>
    </row>
    <row r="424" spans="1:5" s="1993" customFormat="1">
      <c r="A424" s="3196"/>
      <c r="C424" s="3197"/>
      <c r="E424" s="3196"/>
    </row>
    <row r="425" spans="1:5" s="1993" customFormat="1">
      <c r="A425" s="3196"/>
      <c r="C425" s="3197"/>
      <c r="E425" s="3196"/>
    </row>
    <row r="426" spans="1:5" s="1993" customFormat="1">
      <c r="A426" s="3196"/>
      <c r="C426" s="3197"/>
      <c r="E426" s="3196"/>
    </row>
    <row r="427" spans="1:5" s="1993" customFormat="1">
      <c r="A427" s="3196"/>
      <c r="C427" s="3197"/>
      <c r="E427" s="3196"/>
    </row>
    <row r="428" spans="1:5" s="1993" customFormat="1">
      <c r="A428" s="3196"/>
      <c r="C428" s="3197"/>
      <c r="E428" s="3196"/>
    </row>
    <row r="429" spans="1:5" s="1993" customFormat="1">
      <c r="A429" s="3196"/>
      <c r="C429" s="3197"/>
      <c r="E429" s="3196"/>
    </row>
    <row r="430" spans="1:5" s="1993" customFormat="1">
      <c r="A430" s="3196"/>
      <c r="C430" s="3197"/>
      <c r="E430" s="3196"/>
    </row>
    <row r="431" spans="1:5" s="1993" customFormat="1">
      <c r="A431" s="3196"/>
      <c r="C431" s="3197"/>
      <c r="E431" s="3196"/>
    </row>
    <row r="432" spans="1:5" s="1993" customFormat="1">
      <c r="A432" s="3196"/>
      <c r="C432" s="3197"/>
      <c r="E432" s="3196"/>
    </row>
    <row r="433" spans="1:5" s="1993" customFormat="1">
      <c r="A433" s="3196"/>
      <c r="C433" s="3197"/>
      <c r="E433" s="3196"/>
    </row>
    <row r="434" spans="1:5" s="1993" customFormat="1">
      <c r="A434" s="3196"/>
      <c r="C434" s="3197"/>
      <c r="E434" s="3196"/>
    </row>
    <row r="435" spans="1:5" s="1993" customFormat="1">
      <c r="A435" s="3196"/>
      <c r="C435" s="3197"/>
      <c r="E435" s="3196"/>
    </row>
    <row r="436" spans="1:5" s="1993" customFormat="1">
      <c r="A436" s="3196"/>
      <c r="C436" s="3197"/>
      <c r="E436" s="3196"/>
    </row>
    <row r="437" spans="1:5" s="1993" customFormat="1">
      <c r="A437" s="3196"/>
      <c r="C437" s="3197"/>
      <c r="E437" s="3196"/>
    </row>
    <row r="438" spans="1:5" s="1993" customFormat="1">
      <c r="A438" s="3196"/>
      <c r="C438" s="3197"/>
      <c r="E438" s="3196"/>
    </row>
    <row r="439" spans="1:5" s="1993" customFormat="1">
      <c r="A439" s="3196"/>
      <c r="C439" s="3197"/>
      <c r="E439" s="3196"/>
    </row>
    <row r="440" spans="1:5" s="1993" customFormat="1">
      <c r="A440" s="3196"/>
      <c r="C440" s="3197"/>
      <c r="E440" s="3196"/>
    </row>
    <row r="441" spans="1:5" s="1993" customFormat="1">
      <c r="A441" s="3196"/>
      <c r="C441" s="3197"/>
      <c r="E441" s="3196"/>
    </row>
    <row r="442" spans="1:5" s="1993" customFormat="1">
      <c r="A442" s="3196"/>
      <c r="C442" s="3197"/>
      <c r="E442" s="3196"/>
    </row>
    <row r="443" spans="1:5" s="1993" customFormat="1">
      <c r="A443" s="3196"/>
      <c r="C443" s="3197"/>
      <c r="E443" s="3196"/>
    </row>
    <row r="444" spans="1:5" s="1993" customFormat="1">
      <c r="A444" s="3196"/>
      <c r="C444" s="3197"/>
      <c r="E444" s="3196"/>
    </row>
    <row r="445" spans="1:5" s="1993" customFormat="1">
      <c r="A445" s="3196"/>
      <c r="C445" s="3197"/>
      <c r="E445" s="3196"/>
    </row>
    <row r="446" spans="1:5" s="1993" customFormat="1">
      <c r="A446" s="3196"/>
      <c r="C446" s="3197"/>
      <c r="E446" s="3196"/>
    </row>
    <row r="447" spans="1:5" s="1993" customFormat="1">
      <c r="A447" s="3196"/>
      <c r="C447" s="3197"/>
      <c r="E447" s="3196"/>
    </row>
    <row r="448" spans="1:5" s="1993" customFormat="1">
      <c r="A448" s="3196"/>
      <c r="C448" s="3197"/>
      <c r="E448" s="3196"/>
    </row>
    <row r="449" spans="1:5" s="1993" customFormat="1">
      <c r="A449" s="3196"/>
      <c r="C449" s="3197"/>
      <c r="E449" s="3196"/>
    </row>
    <row r="450" spans="1:5" s="1993" customFormat="1">
      <c r="A450" s="3196"/>
      <c r="C450" s="3197"/>
      <c r="E450" s="3196"/>
    </row>
    <row r="451" spans="1:5" s="1993" customFormat="1">
      <c r="A451" s="3196"/>
      <c r="C451" s="3197"/>
      <c r="E451" s="3196"/>
    </row>
    <row r="452" spans="1:5" s="1993" customFormat="1">
      <c r="A452" s="3196"/>
      <c r="C452" s="3197"/>
      <c r="E452" s="3196"/>
    </row>
    <row r="453" spans="1:5" s="1993" customFormat="1">
      <c r="A453" s="3196"/>
      <c r="C453" s="3197"/>
      <c r="E453" s="3196"/>
    </row>
    <row r="454" spans="1:5" s="1993" customFormat="1">
      <c r="A454" s="3196"/>
      <c r="C454" s="3197"/>
      <c r="E454" s="3196"/>
    </row>
    <row r="455" spans="1:5" s="1993" customFormat="1">
      <c r="A455" s="3196"/>
      <c r="C455" s="3197"/>
      <c r="E455" s="3196"/>
    </row>
    <row r="456" spans="1:5" s="1993" customFormat="1">
      <c r="A456" s="3196"/>
      <c r="C456" s="3197"/>
      <c r="E456" s="3196"/>
    </row>
    <row r="457" spans="1:5" s="1993" customFormat="1">
      <c r="A457" s="3196"/>
      <c r="C457" s="3197"/>
      <c r="E457" s="3196"/>
    </row>
    <row r="458" spans="1:5" s="1993" customFormat="1">
      <c r="A458" s="3196"/>
      <c r="C458" s="3197"/>
      <c r="E458" s="3196"/>
    </row>
    <row r="459" spans="1:5" s="1993" customFormat="1">
      <c r="A459" s="3196"/>
      <c r="C459" s="3197"/>
      <c r="E459" s="3196"/>
    </row>
    <row r="460" spans="1:5" s="1993" customFormat="1">
      <c r="A460" s="3196"/>
      <c r="C460" s="3197"/>
      <c r="E460" s="3196"/>
    </row>
    <row r="461" spans="1:5" s="1993" customFormat="1">
      <c r="A461" s="3196"/>
      <c r="C461" s="3197"/>
      <c r="E461" s="3196"/>
    </row>
    <row r="462" spans="1:5" s="1993" customFormat="1">
      <c r="A462" s="3196"/>
      <c r="C462" s="3197"/>
      <c r="E462" s="3196"/>
    </row>
    <row r="463" spans="1:5" s="1993" customFormat="1">
      <c r="A463" s="3196"/>
      <c r="C463" s="3197"/>
      <c r="E463" s="3196"/>
    </row>
    <row r="464" spans="1:5" s="1993" customFormat="1">
      <c r="A464" s="3196"/>
      <c r="C464" s="3197"/>
      <c r="E464" s="3196"/>
    </row>
    <row r="465" spans="1:5" s="1993" customFormat="1">
      <c r="A465" s="3196"/>
      <c r="C465" s="3197"/>
      <c r="E465" s="3196"/>
    </row>
    <row r="466" spans="1:5" s="1993" customFormat="1">
      <c r="A466" s="3196"/>
      <c r="C466" s="3197"/>
      <c r="E466" s="3196"/>
    </row>
    <row r="467" spans="1:5" s="1993" customFormat="1">
      <c r="A467" s="3196"/>
      <c r="C467" s="3197"/>
      <c r="E467" s="3196"/>
    </row>
    <row r="468" spans="1:5" s="1993" customFormat="1">
      <c r="A468" s="3196"/>
      <c r="C468" s="3197"/>
      <c r="E468" s="3196"/>
    </row>
    <row r="469" spans="1:5" s="1993" customFormat="1">
      <c r="A469" s="3196"/>
      <c r="C469" s="3197"/>
      <c r="E469" s="3196"/>
    </row>
    <row r="470" spans="1:5" s="1993" customFormat="1">
      <c r="A470" s="3196"/>
      <c r="C470" s="3197"/>
      <c r="E470" s="3196"/>
    </row>
    <row r="471" spans="1:5" s="1993" customFormat="1">
      <c r="A471" s="3196"/>
      <c r="C471" s="3197"/>
      <c r="E471" s="3196"/>
    </row>
    <row r="472" spans="1:5" s="1993" customFormat="1">
      <c r="A472" s="3196"/>
      <c r="C472" s="3197"/>
      <c r="E472" s="3196"/>
    </row>
    <row r="473" spans="1:5" s="1993" customFormat="1">
      <c r="A473" s="3196"/>
      <c r="C473" s="3197"/>
      <c r="E473" s="3196"/>
    </row>
    <row r="474" spans="1:5" s="1993" customFormat="1">
      <c r="A474" s="3196"/>
      <c r="C474" s="3197"/>
      <c r="E474" s="3196"/>
    </row>
    <row r="475" spans="1:5" s="1993" customFormat="1">
      <c r="A475" s="3196"/>
      <c r="C475" s="3197"/>
      <c r="E475" s="3196"/>
    </row>
    <row r="476" spans="1:5" s="1993" customFormat="1">
      <c r="A476" s="3196"/>
      <c r="C476" s="3197"/>
      <c r="E476" s="3196"/>
    </row>
    <row r="477" spans="1:5" s="1993" customFormat="1">
      <c r="A477" s="3196"/>
      <c r="C477" s="3197"/>
      <c r="E477" s="3196"/>
    </row>
    <row r="478" spans="1:5" s="1993" customFormat="1">
      <c r="A478" s="3196"/>
      <c r="C478" s="3197"/>
      <c r="E478" s="3196"/>
    </row>
    <row r="479" spans="1:5" s="1993" customFormat="1">
      <c r="A479" s="3196"/>
      <c r="C479" s="3197"/>
      <c r="E479" s="3196"/>
    </row>
    <row r="480" spans="1:5" s="1993" customFormat="1">
      <c r="A480" s="3196"/>
      <c r="C480" s="3197"/>
      <c r="E480" s="3196"/>
    </row>
    <row r="481" spans="1:5" s="1993" customFormat="1">
      <c r="A481" s="3196"/>
      <c r="C481" s="3197"/>
      <c r="E481" s="3196"/>
    </row>
    <row r="482" spans="1:5" s="1993" customFormat="1">
      <c r="A482" s="3196"/>
      <c r="C482" s="3197"/>
      <c r="E482" s="3196"/>
    </row>
    <row r="483" spans="1:5" s="1993" customFormat="1">
      <c r="A483" s="3196"/>
      <c r="C483" s="3197"/>
      <c r="E483" s="3196"/>
    </row>
    <row r="484" spans="1:5" s="1993" customFormat="1">
      <c r="A484" s="3196"/>
      <c r="C484" s="3197"/>
      <c r="E484" s="3196"/>
    </row>
    <row r="485" spans="1:5" s="1993" customFormat="1">
      <c r="A485" s="3196"/>
      <c r="C485" s="3197"/>
      <c r="E485" s="3196"/>
    </row>
    <row r="486" spans="1:5" s="1993" customFormat="1">
      <c r="A486" s="3196"/>
      <c r="C486" s="3197"/>
      <c r="E486" s="3196"/>
    </row>
    <row r="487" spans="1:5" s="1993" customFormat="1">
      <c r="A487" s="3196"/>
      <c r="C487" s="3197"/>
      <c r="E487" s="3196"/>
    </row>
    <row r="488" spans="1:5" s="1993" customFormat="1">
      <c r="A488" s="3196"/>
      <c r="C488" s="3197"/>
      <c r="E488" s="3196"/>
    </row>
    <row r="489" spans="1:5" s="1993" customFormat="1">
      <c r="A489" s="3196"/>
      <c r="C489" s="3197"/>
      <c r="E489" s="3196"/>
    </row>
    <row r="490" spans="1:5" s="1993" customFormat="1">
      <c r="A490" s="3196"/>
      <c r="C490" s="3197"/>
      <c r="E490" s="319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7"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8"/>
      <c r="M6" s="3188"/>
      <c r="N6" s="3188"/>
      <c r="O6" s="3188"/>
      <c r="P6" s="3188"/>
      <c r="Q6" s="3188"/>
      <c r="R6" s="3188"/>
      <c r="S6" s="3188"/>
      <c r="T6" s="3188"/>
      <c r="U6" s="3188"/>
      <c r="V6" s="3188"/>
      <c r="W6" s="3188"/>
      <c r="X6" s="3188"/>
      <c r="Y6" s="3188"/>
      <c r="Z6" s="3188"/>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8"/>
      <c r="M11" s="3188"/>
      <c r="N11" s="3188"/>
      <c r="O11" s="3188"/>
      <c r="P11" s="3188"/>
      <c r="Q11" s="3188"/>
      <c r="R11" s="3188"/>
      <c r="S11" s="3188"/>
      <c r="T11" s="3188"/>
      <c r="U11" s="3188"/>
      <c r="V11" s="3188"/>
      <c r="W11" s="3188"/>
      <c r="X11" s="3188"/>
      <c r="Y11" s="3188"/>
      <c r="Z11" s="3188"/>
    </row>
    <row r="12" spans="1:41" s="1963" customFormat="1" ht="13.5" customHeight="1">
      <c r="A12" s="425" t="s">
        <v>441</v>
      </c>
      <c r="B12" s="435" t="s">
        <v>442</v>
      </c>
      <c r="C12" s="436" t="s">
        <v>446</v>
      </c>
      <c r="D12" s="437" t="s">
        <v>447</v>
      </c>
      <c r="E12" s="437" t="s">
        <v>448</v>
      </c>
      <c r="F12" s="437" t="s">
        <v>449</v>
      </c>
      <c r="G12" s="435"/>
      <c r="H12" s="438"/>
      <c r="I12" s="438"/>
      <c r="J12" s="438"/>
      <c r="K12" s="439"/>
      <c r="L12" s="3189"/>
      <c r="M12" s="3189"/>
      <c r="N12" s="3189"/>
      <c r="O12" s="3189"/>
      <c r="P12" s="3189"/>
      <c r="Q12" s="3189"/>
      <c r="R12" s="3189"/>
      <c r="S12" s="3189"/>
      <c r="T12" s="3189"/>
      <c r="U12" s="3189"/>
      <c r="V12" s="3189"/>
      <c r="W12" s="3189"/>
      <c r="X12" s="3189"/>
      <c r="Y12" s="3189"/>
      <c r="Z12" s="3189"/>
    </row>
    <row r="13" spans="1:41" s="1994" customFormat="1" ht="13.5" customHeight="1">
      <c r="A13" s="1557" t="s">
        <v>1815</v>
      </c>
      <c r="B13" s="440" t="s">
        <v>450</v>
      </c>
      <c r="C13" s="441">
        <f ca="1">IF(B1="",'数据-取费表'!M16,INDIRECT("'数据-取费表'!M"&amp;$K$1)+INDIRECT("'数据-取费表'!t"&amp;$K$1))</f>
        <v>32412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972</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699</v>
      </c>
      <c r="D15" s="442"/>
      <c r="E15" s="360"/>
      <c r="F15" s="444">
        <f>'数据-取费表'!B34</f>
        <v>0.03</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1643</v>
      </c>
      <c r="D16" s="442">
        <f ca="1">IF(B1="",'数据-汇总表'!E3,INDIRECT("'数据-取费表'!K"&amp;$K$1)+INDIRECT("'数据-取费表'!S"&amp;$K$1))</f>
        <v>82153.719999999972</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486</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36212</v>
      </c>
      <c r="D18" s="452"/>
      <c r="E18" s="453"/>
      <c r="F18" s="453"/>
      <c r="G18" s="1278" t="s">
        <v>2392</v>
      </c>
      <c r="H18" s="438"/>
      <c r="I18" s="438"/>
      <c r="J18" s="438"/>
      <c r="K18" s="439"/>
      <c r="L18" s="3191"/>
      <c r="M18" s="3191"/>
      <c r="N18" s="3191"/>
      <c r="O18" s="3191"/>
      <c r="P18" s="3191"/>
      <c r="Q18" s="3191"/>
      <c r="R18" s="3191"/>
      <c r="S18" s="3191"/>
      <c r="T18" s="3191"/>
      <c r="U18" s="3191"/>
      <c r="V18" s="3191"/>
      <c r="W18" s="3191"/>
      <c r="X18" s="3191"/>
      <c r="Y18" s="3191"/>
      <c r="Z18" s="3191"/>
    </row>
    <row r="19" spans="1:26" s="1997" customFormat="1" ht="13.5" customHeight="1">
      <c r="A19" s="1558" t="s">
        <v>1821</v>
      </c>
      <c r="B19" s="450" t="s">
        <v>464</v>
      </c>
      <c r="C19" s="451">
        <f ca="1">ROUND(C18*F19,0)</f>
        <v>724</v>
      </c>
      <c r="D19" s="453"/>
      <c r="E19" s="453"/>
      <c r="F19" s="457">
        <f>'数据-取费表'!B37</f>
        <v>0.02</v>
      </c>
      <c r="G19" s="435" t="s">
        <v>474</v>
      </c>
      <c r="H19" s="438"/>
      <c r="I19" s="438"/>
      <c r="J19" s="438"/>
      <c r="K19" s="439"/>
      <c r="L19" s="3193"/>
      <c r="M19" s="3193"/>
      <c r="N19" s="3193"/>
      <c r="O19" s="3191"/>
      <c r="P19" s="3191"/>
      <c r="Q19" s="3191"/>
      <c r="R19" s="3191"/>
      <c r="S19" s="3191"/>
      <c r="T19" s="3191"/>
      <c r="U19" s="3191"/>
      <c r="V19" s="3191"/>
      <c r="W19" s="3191"/>
      <c r="X19" s="3191"/>
      <c r="Y19" s="3191"/>
      <c r="Z19" s="3191"/>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3"/>
      <c r="M20" s="3193"/>
      <c r="N20" s="3193"/>
      <c r="O20" s="3191"/>
      <c r="P20" s="3191"/>
      <c r="Q20" s="3191"/>
      <c r="R20" s="3191"/>
      <c r="S20" s="3191"/>
      <c r="T20" s="3191"/>
      <c r="U20" s="3191"/>
      <c r="V20" s="3191"/>
      <c r="W20" s="3191"/>
      <c r="X20" s="3191"/>
      <c r="Y20" s="3191"/>
      <c r="Z20" s="3191"/>
    </row>
    <row r="21" spans="1:26" s="1999" customFormat="1" ht="13.5" customHeight="1">
      <c r="A21" s="1558" t="s">
        <v>1825</v>
      </c>
      <c r="B21" s="452" t="s">
        <v>465</v>
      </c>
      <c r="C21" s="461">
        <f ca="1">C22</f>
        <v>2019</v>
      </c>
      <c r="D21" s="458">
        <f ca="1">C23</f>
        <v>1.1000000000000001E-3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9" t="s">
        <v>2413</v>
      </c>
      <c r="M21" s="3200"/>
      <c r="N21" s="3200"/>
      <c r="O21" s="3200"/>
      <c r="P21" s="3200"/>
      <c r="Q21" s="3193"/>
      <c r="R21" s="3193"/>
      <c r="S21" s="3193"/>
      <c r="T21" s="3193"/>
      <c r="U21" s="3193"/>
      <c r="V21" s="3193"/>
      <c r="W21" s="3193"/>
      <c r="X21" s="3193"/>
      <c r="Y21" s="3193"/>
      <c r="Z21" s="3193"/>
    </row>
    <row r="22" spans="1:26" s="1998" customFormat="1" ht="13.5" customHeight="1">
      <c r="A22" s="1557" t="s">
        <v>1815</v>
      </c>
      <c r="B22" s="1279" t="s">
        <v>2395</v>
      </c>
      <c r="C22" s="478">
        <f ca="1">ROUND(IF('数据-取费表'!B22&lt;=1,(C18+C19)*F21*'数据-取费表'!B20/2,(C18+C19)*(POWER((1+F21),'数据-取费表'!B20/2)-1)),0)</f>
        <v>2019</v>
      </c>
      <c r="D22" s="463"/>
      <c r="E22" s="464"/>
      <c r="F22" s="465"/>
      <c r="G22" s="2416" t="str">
        <f>IF('数据-取费表'!B22&lt;=1,"((1)+(2))×年利率×建设期÷2","((1)+(2))×((1+年利率)^(建设期÷2)-1)")</f>
        <v>((1)+(2))×((1+年利率)^(建设期÷2)-1)</v>
      </c>
      <c r="H22" s="448"/>
      <c r="I22" s="448"/>
      <c r="J22" s="448"/>
      <c r="K22" s="449"/>
      <c r="L22" s="3192"/>
      <c r="M22" s="3192"/>
      <c r="N22" s="3192"/>
      <c r="O22" s="3192"/>
      <c r="P22" s="3192"/>
      <c r="Q22" s="3192"/>
      <c r="R22" s="3192"/>
      <c r="S22" s="3192"/>
      <c r="T22" s="3192"/>
      <c r="U22" s="3192"/>
      <c r="V22" s="3192"/>
      <c r="W22" s="3192"/>
      <c r="X22" s="3192"/>
      <c r="Y22" s="3192"/>
      <c r="Z22" s="3192"/>
    </row>
    <row r="23" spans="1:26" s="1998" customFormat="1" ht="13.5" customHeight="1">
      <c r="A23" s="1557" t="s">
        <v>1816</v>
      </c>
      <c r="B23" s="1279" t="s">
        <v>479</v>
      </c>
      <c r="C23" s="479">
        <f ca="1">ROUND(IF('数据-取费表'!B22&lt;=1,F20*F21*'数据-取费表'!B20/2,F20*(POWER((1+F21),'数据-取费表'!B20/2)-1)),4)</f>
        <v>1.1000000000000001E-3</v>
      </c>
      <c r="D23" s="463"/>
      <c r="E23" s="464"/>
      <c r="F23" s="465"/>
      <c r="G23" s="2416" t="str">
        <f>IF('数据-取费表'!B22&lt;=1,"销售费用率×年利率×建设期÷2","销售费用率×((1+年利率)^(建设期÷2)-1)")</f>
        <v>销售费用率×((1+年利率)^(建设期÷2)-1)</v>
      </c>
      <c r="H23" s="448"/>
      <c r="I23" s="448"/>
      <c r="J23" s="448"/>
      <c r="K23" s="449"/>
      <c r="L23" s="3192"/>
      <c r="M23" s="3192"/>
      <c r="N23" s="3192"/>
      <c r="O23" s="3192"/>
      <c r="P23" s="3192"/>
      <c r="Q23" s="3192"/>
      <c r="R23" s="3192"/>
      <c r="S23" s="3192"/>
      <c r="T23" s="3192"/>
      <c r="U23" s="3192"/>
      <c r="V23" s="3192"/>
      <c r="W23" s="3192"/>
      <c r="X23" s="3192"/>
      <c r="Y23" s="3192"/>
      <c r="Z23" s="3192"/>
    </row>
    <row r="24" spans="1:26" s="1998" customFormat="1" ht="13.5" customHeight="1">
      <c r="A24" s="1558" t="s">
        <v>1826</v>
      </c>
      <c r="B24" s="2737" t="s">
        <v>2787</v>
      </c>
      <c r="C24" s="469">
        <f ca="1">C25</f>
        <v>4063</v>
      </c>
      <c r="D24" s="480">
        <f ca="1">C26</f>
        <v>2.2000000000000001E-3</v>
      </c>
      <c r="E24" s="460" t="s">
        <v>478</v>
      </c>
      <c r="F24" s="470">
        <f ca="1">IF(B1="",'数据-取费表'!Q16,INDIRECT("'数据-取费表'!q"&amp;$K$1))</f>
        <v>0.11</v>
      </c>
      <c r="G24" s="435"/>
      <c r="H24" s="438"/>
      <c r="I24" s="438"/>
      <c r="J24" s="438"/>
      <c r="K24" s="439"/>
      <c r="L24" s="3192"/>
      <c r="M24" s="3192"/>
      <c r="N24" s="3192"/>
      <c r="O24" s="3192"/>
      <c r="P24" s="3192"/>
      <c r="Q24" s="3192"/>
      <c r="R24" s="3192"/>
      <c r="S24" s="3192"/>
      <c r="T24" s="3192"/>
      <c r="U24" s="3192"/>
      <c r="V24" s="3192"/>
      <c r="W24" s="3192"/>
      <c r="X24" s="3192"/>
      <c r="Y24" s="3192"/>
      <c r="Z24" s="3192"/>
    </row>
    <row r="25" spans="1:26" s="1998" customFormat="1" ht="13.5" customHeight="1">
      <c r="A25" s="1557" t="s">
        <v>1815</v>
      </c>
      <c r="B25" s="1279" t="s">
        <v>2396</v>
      </c>
      <c r="C25" s="481">
        <f ca="1">ROUND((C18+C19)*F24,0)</f>
        <v>4063</v>
      </c>
      <c r="D25" s="463"/>
      <c r="E25" s="464"/>
      <c r="F25" s="471"/>
      <c r="G25" s="1277" t="s">
        <v>2393</v>
      </c>
      <c r="H25" s="448"/>
      <c r="I25" s="448"/>
      <c r="J25" s="448"/>
      <c r="K25" s="449"/>
      <c r="L25" s="3192"/>
      <c r="M25" s="3192"/>
      <c r="N25" s="3192"/>
      <c r="O25" s="3192"/>
      <c r="P25" s="3192"/>
      <c r="Q25" s="3192"/>
      <c r="R25" s="3192"/>
      <c r="S25" s="3192"/>
      <c r="T25" s="3192"/>
      <c r="U25" s="3192"/>
      <c r="V25" s="3192"/>
      <c r="W25" s="3192"/>
      <c r="X25" s="3192"/>
      <c r="Y25" s="3192"/>
      <c r="Z25" s="3192"/>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2"/>
      <c r="M26" s="3192"/>
      <c r="N26" s="3192"/>
      <c r="O26" s="3192"/>
      <c r="P26" s="3192"/>
      <c r="Q26" s="3192"/>
      <c r="R26" s="3192"/>
      <c r="S26" s="3192"/>
      <c r="T26" s="3192"/>
      <c r="U26" s="3192"/>
      <c r="V26" s="3192"/>
      <c r="W26" s="3192"/>
      <c r="X26" s="3192"/>
      <c r="Y26" s="3192"/>
      <c r="Z26" s="3192"/>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2"/>
      <c r="M27" s="3192"/>
      <c r="N27" s="3192"/>
      <c r="O27" s="3192"/>
      <c r="P27" s="3192"/>
      <c r="Q27" s="3192"/>
      <c r="R27" s="3192"/>
      <c r="S27" s="3192"/>
      <c r="T27" s="3192"/>
      <c r="U27" s="3192"/>
      <c r="V27" s="3192"/>
      <c r="W27" s="3192"/>
      <c r="X27" s="3192"/>
      <c r="Y27" s="3192"/>
      <c r="Z27" s="3192"/>
    </row>
    <row r="28" spans="1:26" s="1999" customFormat="1" ht="13.5" customHeight="1">
      <c r="A28" s="1561" t="s">
        <v>1835</v>
      </c>
      <c r="B28" s="467" t="s">
        <v>483</v>
      </c>
      <c r="C28" s="461">
        <f ca="1">ROUND((C18+C19+C21+C24)/(1-C20-D21-D24-C27),0)</f>
        <v>46541</v>
      </c>
      <c r="D28" s="468"/>
      <c r="E28" s="460"/>
      <c r="F28" s="462"/>
      <c r="G28" s="1278" t="s">
        <v>2394</v>
      </c>
      <c r="H28" s="438"/>
      <c r="I28" s="438"/>
      <c r="J28" s="438"/>
      <c r="K28" s="439"/>
      <c r="L28" s="3193"/>
      <c r="M28" s="3193"/>
      <c r="N28" s="3193"/>
      <c r="O28" s="3193"/>
      <c r="P28" s="3193"/>
      <c r="Q28" s="3193"/>
      <c r="R28" s="3193"/>
      <c r="S28" s="3193"/>
      <c r="T28" s="3193"/>
      <c r="U28" s="3193"/>
      <c r="V28" s="3193"/>
      <c r="W28" s="3193"/>
      <c r="X28" s="3193"/>
      <c r="Y28" s="3193"/>
      <c r="Z28" s="3193"/>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3"/>
      <c r="M29" s="3193"/>
      <c r="N29" s="3193"/>
      <c r="O29" s="3193"/>
      <c r="P29" s="3193"/>
      <c r="Q29" s="3193"/>
      <c r="R29" s="3193"/>
      <c r="S29" s="3193"/>
      <c r="T29" s="3193"/>
      <c r="U29" s="3193"/>
      <c r="V29" s="3193"/>
      <c r="W29" s="3193"/>
      <c r="X29" s="3193"/>
      <c r="Y29" s="3193"/>
      <c r="Z29" s="3193"/>
    </row>
    <row r="30" spans="1:26" s="1999" customFormat="1" ht="13.5" customHeight="1">
      <c r="A30" s="434">
        <v>2</v>
      </c>
      <c r="B30" s="467" t="s">
        <v>485</v>
      </c>
      <c r="C30" s="488">
        <f ca="1">ROUND(C28*C29,0)</f>
        <v>0</v>
      </c>
      <c r="D30" s="484"/>
      <c r="E30" s="489"/>
      <c r="F30" s="490"/>
      <c r="G30" s="1280" t="s">
        <v>486</v>
      </c>
      <c r="H30" s="487"/>
      <c r="I30" s="487"/>
      <c r="J30" s="438"/>
      <c r="K30" s="439"/>
      <c r="L30" s="3193"/>
      <c r="M30" s="3193"/>
      <c r="N30" s="3193"/>
      <c r="O30" s="3193"/>
      <c r="P30" s="3193"/>
      <c r="Q30" s="3193"/>
      <c r="R30" s="3193"/>
      <c r="S30" s="3193"/>
      <c r="T30" s="3193"/>
      <c r="U30" s="3193"/>
      <c r="V30" s="3193"/>
      <c r="W30" s="3193"/>
      <c r="X30" s="3193"/>
      <c r="Y30" s="3193"/>
      <c r="Z30" s="3193"/>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8"/>
      <c r="M31" s="3198"/>
      <c r="N31" s="3198"/>
      <c r="O31" s="3198"/>
      <c r="P31" s="3198"/>
      <c r="Q31" s="3198"/>
      <c r="R31" s="3198"/>
      <c r="S31" s="3198"/>
      <c r="T31" s="3198"/>
      <c r="U31" s="3198"/>
      <c r="V31" s="3198"/>
      <c r="W31" s="3198"/>
      <c r="X31" s="3198"/>
      <c r="Y31" s="3198"/>
      <c r="Z31" s="3198"/>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2911</v>
      </c>
      <c r="H32" s="474"/>
      <c r="I32" s="474"/>
      <c r="J32" s="474"/>
      <c r="K32" s="476"/>
      <c r="L32" s="3189"/>
      <c r="M32" s="3189"/>
      <c r="N32" s="3189"/>
      <c r="O32" s="3189"/>
      <c r="P32" s="3189"/>
      <c r="Q32" s="3189"/>
      <c r="R32" s="3189"/>
      <c r="S32" s="3189"/>
      <c r="T32" s="3189"/>
      <c r="U32" s="3189"/>
      <c r="V32" s="3189"/>
      <c r="W32" s="3189"/>
      <c r="X32" s="3189"/>
      <c r="Y32" s="3189"/>
      <c r="Z32" s="3189"/>
    </row>
    <row r="33" spans="1:5" s="1993" customFormat="1">
      <c r="A33" s="3196"/>
      <c r="C33" s="3197"/>
      <c r="E33" s="3196"/>
    </row>
    <row r="34" spans="1:5" s="1993" customFormat="1" ht="12.75" customHeight="1">
      <c r="A34" s="3196"/>
      <c r="C34" s="3197"/>
      <c r="E34" s="3196"/>
    </row>
    <row r="35" spans="1:5" s="1993" customFormat="1">
      <c r="A35" s="3196"/>
      <c r="C35" s="3197"/>
      <c r="E35" s="3196"/>
    </row>
    <row r="36" spans="1:5" s="1993" customFormat="1">
      <c r="A36" s="3196"/>
      <c r="C36" s="3197"/>
      <c r="E36" s="3196"/>
    </row>
    <row r="37" spans="1:5" s="1993" customFormat="1">
      <c r="A37" s="3196"/>
      <c r="C37" s="3197"/>
      <c r="E37" s="3196"/>
    </row>
    <row r="38" spans="1:5" s="1993" customFormat="1">
      <c r="A38" s="3196"/>
      <c r="C38" s="3197"/>
      <c r="E38" s="3196"/>
    </row>
    <row r="39" spans="1:5" s="1993" customFormat="1">
      <c r="A39" s="3196"/>
      <c r="C39" s="3197"/>
      <c r="E39" s="3196"/>
    </row>
    <row r="40" spans="1:5" s="1993" customFormat="1">
      <c r="A40" s="3196"/>
      <c r="C40" s="3197"/>
      <c r="E40" s="3196"/>
    </row>
    <row r="41" spans="1:5" s="1993" customFormat="1">
      <c r="A41" s="3196"/>
      <c r="C41" s="3197"/>
      <c r="E41" s="3196"/>
    </row>
    <row r="42" spans="1:5" s="1993" customFormat="1">
      <c r="A42" s="3196"/>
      <c r="C42" s="3197"/>
      <c r="E42" s="3196"/>
    </row>
    <row r="43" spans="1:5" s="1993" customFormat="1">
      <c r="A43" s="3196"/>
      <c r="C43" s="3197"/>
      <c r="E43" s="3196"/>
    </row>
    <row r="44" spans="1:5" s="1993" customFormat="1">
      <c r="A44" s="3196"/>
      <c r="C44" s="3197"/>
      <c r="E44" s="3196"/>
    </row>
    <row r="45" spans="1:5" s="1993" customFormat="1">
      <c r="A45" s="3196"/>
      <c r="C45" s="3197"/>
      <c r="E45" s="3196"/>
    </row>
    <row r="46" spans="1:5" s="1993" customFormat="1">
      <c r="A46" s="3196"/>
      <c r="C46" s="3197"/>
      <c r="E46" s="3196"/>
    </row>
    <row r="47" spans="1:5" s="1993" customFormat="1">
      <c r="A47" s="3196"/>
      <c r="C47" s="3197"/>
      <c r="E47" s="3196"/>
    </row>
    <row r="48" spans="1:5"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499" t="e">
        <f>F63</f>
        <v>#DIV/0!</v>
      </c>
      <c r="C2" s="3213"/>
      <c r="D2" s="3213"/>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c r="A3" s="1328" t="s">
        <v>1652</v>
      </c>
      <c r="B3" s="501" t="e">
        <f>ROUND(B2*10000/'数据-汇总表'!E3,0)</f>
        <v>#DIV/0!</v>
      </c>
      <c r="C3" s="3212"/>
      <c r="D3" s="3212"/>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2"/>
      <c r="D4" s="3212"/>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3204"/>
      <c r="AC5" s="1940"/>
    </row>
    <row r="6" spans="1:29" ht="15">
      <c r="A6" s="503" t="s">
        <v>492</v>
      </c>
      <c r="B6" s="504"/>
      <c r="C6" s="3884" t="s">
        <v>493</v>
      </c>
      <c r="D6" s="3885"/>
      <c r="E6" s="3909" t="s">
        <v>494</v>
      </c>
      <c r="F6" s="3910"/>
      <c r="G6" s="3884" t="s">
        <v>495</v>
      </c>
      <c r="H6" s="3885"/>
      <c r="I6" s="3884" t="s">
        <v>496</v>
      </c>
      <c r="J6" s="3885"/>
      <c r="K6" s="505" t="s">
        <v>497</v>
      </c>
      <c r="L6" s="2011"/>
      <c r="M6" s="2012"/>
      <c r="N6" s="2012"/>
      <c r="O6" s="2012"/>
      <c r="P6" s="3886" t="s">
        <v>498</v>
      </c>
      <c r="Q6" s="3887"/>
      <c r="R6" s="3872" t="s">
        <v>494</v>
      </c>
      <c r="S6" s="3873"/>
      <c r="T6" s="3872" t="s">
        <v>495</v>
      </c>
      <c r="U6" s="3873"/>
      <c r="V6" s="3892" t="s">
        <v>496</v>
      </c>
      <c r="W6" s="3892"/>
      <c r="X6" s="1497"/>
      <c r="Y6" s="3872" t="s">
        <v>498</v>
      </c>
      <c r="Z6" s="3873"/>
      <c r="AA6" s="3867" t="s">
        <v>494</v>
      </c>
      <c r="AB6" s="3868" t="s">
        <v>495</v>
      </c>
      <c r="AC6" s="3867" t="s">
        <v>496</v>
      </c>
    </row>
    <row r="7" spans="1:29" ht="15">
      <c r="A7" s="506"/>
      <c r="B7" s="507"/>
      <c r="C7" s="3895" t="s">
        <v>2871</v>
      </c>
      <c r="D7" s="3896"/>
      <c r="E7" s="3911" t="s">
        <v>2872</v>
      </c>
      <c r="F7" s="3912"/>
      <c r="G7" s="3895" t="s">
        <v>2873</v>
      </c>
      <c r="H7" s="3896"/>
      <c r="I7" s="3895" t="s">
        <v>2874</v>
      </c>
      <c r="J7" s="3896"/>
      <c r="K7" s="505"/>
      <c r="L7" s="2011"/>
      <c r="M7" s="2012"/>
      <c r="N7" s="2012"/>
      <c r="O7" s="2012"/>
      <c r="P7" s="3888"/>
      <c r="Q7" s="3889"/>
      <c r="R7" s="3874"/>
      <c r="S7" s="3875"/>
      <c r="T7" s="3874"/>
      <c r="U7" s="3875"/>
      <c r="V7" s="3892"/>
      <c r="W7" s="3892"/>
      <c r="X7" s="1497"/>
      <c r="Y7" s="3874"/>
      <c r="Z7" s="3875"/>
      <c r="AA7" s="3868"/>
      <c r="AB7" s="3868"/>
      <c r="AC7" s="3868"/>
    </row>
    <row r="8" spans="1:29" ht="15.75" thickBot="1">
      <c r="A8" s="508"/>
      <c r="B8" s="509"/>
      <c r="C8" s="3893" t="s">
        <v>2875</v>
      </c>
      <c r="D8" s="3894"/>
      <c r="E8" s="3913" t="s">
        <v>2875</v>
      </c>
      <c r="F8" s="3914"/>
      <c r="G8" s="3893" t="s">
        <v>2875</v>
      </c>
      <c r="H8" s="3894"/>
      <c r="I8" s="3893" t="s">
        <v>2875</v>
      </c>
      <c r="J8" s="3894"/>
      <c r="K8" s="505" t="s">
        <v>499</v>
      </c>
      <c r="L8" s="2011"/>
      <c r="M8" s="2012"/>
      <c r="N8" s="2012"/>
      <c r="O8" s="2012"/>
      <c r="P8" s="3890"/>
      <c r="Q8" s="3891"/>
      <c r="R8" s="3874"/>
      <c r="S8" s="3875"/>
      <c r="T8" s="3876"/>
      <c r="U8" s="3877"/>
      <c r="V8" s="3892"/>
      <c r="W8" s="3892"/>
      <c r="X8" s="1497"/>
      <c r="Y8" s="3876"/>
      <c r="Z8" s="3877"/>
      <c r="AA8" s="3869"/>
      <c r="AB8" s="3869"/>
      <c r="AC8" s="3869"/>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870" t="s">
        <v>501</v>
      </c>
      <c r="Q9" s="3879"/>
      <c r="R9" s="1498" t="s">
        <v>8</v>
      </c>
      <c r="S9" s="1499">
        <f t="shared" ref="S9:S17" si="0">F9</f>
        <v>0</v>
      </c>
      <c r="T9" s="1498" t="s">
        <v>8</v>
      </c>
      <c r="U9" s="1499">
        <f t="shared" ref="U9:U17" si="1">H9</f>
        <v>0</v>
      </c>
      <c r="V9" s="1498" t="s">
        <v>8</v>
      </c>
      <c r="W9" s="1499">
        <f t="shared" ref="W9:W17" si="2">J9</f>
        <v>0</v>
      </c>
      <c r="X9" s="1500"/>
      <c r="Y9" s="3870" t="s">
        <v>501</v>
      </c>
      <c r="Z9" s="3871"/>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870" t="s">
        <v>504</v>
      </c>
      <c r="Q10" s="3871"/>
      <c r="R10" s="1498" t="s">
        <v>8</v>
      </c>
      <c r="S10" s="1499">
        <f t="shared" si="0"/>
        <v>0</v>
      </c>
      <c r="T10" s="1498" t="s">
        <v>8</v>
      </c>
      <c r="U10" s="1499">
        <f t="shared" si="1"/>
        <v>0</v>
      </c>
      <c r="V10" s="1498" t="s">
        <v>8</v>
      </c>
      <c r="W10" s="1499">
        <f t="shared" si="2"/>
        <v>0</v>
      </c>
      <c r="X10" s="1500"/>
      <c r="Y10" s="3870" t="s">
        <v>504</v>
      </c>
      <c r="Z10" s="3871"/>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878" t="s">
        <v>506</v>
      </c>
      <c r="Q11" s="1131" t="str">
        <f t="shared" ref="Q11:Q17" si="6">B11</f>
        <v>用途</v>
      </c>
      <c r="R11" s="1498" t="s">
        <v>8</v>
      </c>
      <c r="S11" s="1499">
        <f t="shared" si="0"/>
        <v>100</v>
      </c>
      <c r="T11" s="1498" t="s">
        <v>8</v>
      </c>
      <c r="U11" s="1499">
        <f t="shared" si="1"/>
        <v>100</v>
      </c>
      <c r="V11" s="1498" t="s">
        <v>8</v>
      </c>
      <c r="W11" s="1499">
        <f t="shared" si="2"/>
        <v>100</v>
      </c>
      <c r="X11" s="1500"/>
      <c r="Y11" s="3829"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878"/>
      <c r="Q12" s="1131" t="str">
        <f t="shared" si="6"/>
        <v>土地使用年限（年）</v>
      </c>
      <c r="R12" s="1498" t="s">
        <v>8</v>
      </c>
      <c r="S12" s="1499">
        <f t="shared" si="0"/>
        <v>100</v>
      </c>
      <c r="T12" s="1498" t="s">
        <v>8</v>
      </c>
      <c r="U12" s="1499">
        <f t="shared" si="1"/>
        <v>100</v>
      </c>
      <c r="V12" s="1498" t="s">
        <v>8</v>
      </c>
      <c r="W12" s="1499">
        <f t="shared" si="2"/>
        <v>100</v>
      </c>
      <c r="X12" s="1500"/>
      <c r="Y12" s="3829"/>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878"/>
      <c r="Q13" s="1131" t="str">
        <f t="shared" si="6"/>
        <v>容积率</v>
      </c>
      <c r="R13" s="1498" t="s">
        <v>8</v>
      </c>
      <c r="S13" s="1499" t="e">
        <f t="shared" si="0"/>
        <v>#N/A</v>
      </c>
      <c r="T13" s="1498" t="s">
        <v>8</v>
      </c>
      <c r="U13" s="1499" t="e">
        <f t="shared" si="1"/>
        <v>#N/A</v>
      </c>
      <c r="V13" s="1498" t="s">
        <v>8</v>
      </c>
      <c r="W13" s="1499" t="e">
        <f t="shared" si="2"/>
        <v>#N/A</v>
      </c>
      <c r="X13" s="1500"/>
      <c r="Y13" s="3829"/>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878"/>
      <c r="Q15" s="1131">
        <f t="shared" si="6"/>
        <v>111</v>
      </c>
      <c r="R15" s="1498" t="s">
        <v>8</v>
      </c>
      <c r="S15" s="1499">
        <f t="shared" si="0"/>
        <v>100</v>
      </c>
      <c r="T15" s="1498" t="s">
        <v>8</v>
      </c>
      <c r="U15" s="1499">
        <f t="shared" si="1"/>
        <v>100</v>
      </c>
      <c r="V15" s="1498" t="s">
        <v>8</v>
      </c>
      <c r="W15" s="1499">
        <f t="shared" si="2"/>
        <v>100</v>
      </c>
      <c r="X15" s="1500"/>
      <c r="Y15" s="3829"/>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878"/>
      <c r="Q16" s="1131">
        <f t="shared" si="6"/>
        <v>111</v>
      </c>
      <c r="R16" s="1498" t="s">
        <v>8</v>
      </c>
      <c r="S16" s="1499">
        <f t="shared" si="0"/>
        <v>100</v>
      </c>
      <c r="T16" s="1498" t="s">
        <v>8</v>
      </c>
      <c r="U16" s="1499">
        <f t="shared" si="1"/>
        <v>100</v>
      </c>
      <c r="V16" s="1498" t="s">
        <v>8</v>
      </c>
      <c r="W16" s="1499">
        <f t="shared" si="2"/>
        <v>100</v>
      </c>
      <c r="X16" s="1500"/>
      <c r="Y16" s="3829"/>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880" t="s">
        <v>511</v>
      </c>
      <c r="Q17" s="1502" t="str">
        <f t="shared" si="6"/>
        <v>产业集聚程度</v>
      </c>
      <c r="R17" s="1503" t="s">
        <v>8</v>
      </c>
      <c r="S17" s="1504">
        <f t="shared" si="0"/>
        <v>100</v>
      </c>
      <c r="T17" s="1503" t="s">
        <v>8</v>
      </c>
      <c r="U17" s="1504">
        <f t="shared" si="1"/>
        <v>100</v>
      </c>
      <c r="V17" s="1503" t="s">
        <v>8</v>
      </c>
      <c r="W17" s="1504">
        <f t="shared" si="2"/>
        <v>100</v>
      </c>
      <c r="X17" s="1497"/>
      <c r="Y17" s="3880"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881"/>
      <c r="Q18" s="1502"/>
      <c r="R18" s="1503"/>
      <c r="S18" s="1504"/>
      <c r="T18" s="1503"/>
      <c r="U18" s="1504"/>
      <c r="V18" s="1503"/>
      <c r="W18" s="1504"/>
      <c r="X18" s="1497"/>
      <c r="Y18" s="3881"/>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881"/>
      <c r="Q19" s="1502" t="str">
        <f>B19</f>
        <v>交通便捷度</v>
      </c>
      <c r="R19" s="1503" t="s">
        <v>8</v>
      </c>
      <c r="S19" s="1504">
        <f>F19</f>
        <v>100</v>
      </c>
      <c r="T19" s="1503" t="s">
        <v>8</v>
      </c>
      <c r="U19" s="1504">
        <f>H19</f>
        <v>100</v>
      </c>
      <c r="V19" s="1503" t="s">
        <v>8</v>
      </c>
      <c r="W19" s="1504">
        <f>J19</f>
        <v>100</v>
      </c>
      <c r="X19" s="1497"/>
      <c r="Y19" s="3881"/>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881"/>
      <c r="Q21" s="1502" t="str">
        <f t="shared" ref="Q21:Q35" si="8">B21</f>
        <v>区域土地利用方向</v>
      </c>
      <c r="R21" s="1503" t="s">
        <v>8</v>
      </c>
      <c r="S21" s="1504">
        <f>F21</f>
        <v>100</v>
      </c>
      <c r="T21" s="1503" t="s">
        <v>8</v>
      </c>
      <c r="U21" s="1504">
        <f>H21</f>
        <v>100</v>
      </c>
      <c r="V21" s="1503" t="s">
        <v>8</v>
      </c>
      <c r="W21" s="1504">
        <f>J21</f>
        <v>100</v>
      </c>
      <c r="X21" s="1497"/>
      <c r="Y21" s="3881"/>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881"/>
      <c r="Q22" s="1502"/>
      <c r="R22" s="1503"/>
      <c r="S22" s="1504"/>
      <c r="T22" s="1503"/>
      <c r="U22" s="1504"/>
      <c r="V22" s="1503"/>
      <c r="W22" s="1504"/>
      <c r="X22" s="1497"/>
      <c r="Y22" s="3881"/>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881"/>
      <c r="Q23" s="1502" t="str">
        <f t="shared" si="8"/>
        <v>环境状况</v>
      </c>
      <c r="R23" s="1503" t="s">
        <v>8</v>
      </c>
      <c r="S23" s="1504">
        <f>F23</f>
        <v>100</v>
      </c>
      <c r="T23" s="1503" t="s">
        <v>8</v>
      </c>
      <c r="U23" s="1504">
        <f>H23</f>
        <v>100</v>
      </c>
      <c r="V23" s="1503" t="s">
        <v>8</v>
      </c>
      <c r="W23" s="1504">
        <f>J23</f>
        <v>100</v>
      </c>
      <c r="X23" s="1497"/>
      <c r="Y23" s="3881"/>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881"/>
      <c r="Q24" s="1502"/>
      <c r="R24" s="1503"/>
      <c r="S24" s="1504"/>
      <c r="T24" s="1503"/>
      <c r="U24" s="1504"/>
      <c r="V24" s="1503"/>
      <c r="W24" s="1504"/>
      <c r="X24" s="1497"/>
      <c r="Y24" s="3881"/>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881"/>
      <c r="Q25" s="1131" t="str">
        <f t="shared" si="8"/>
        <v>公共配套设施</v>
      </c>
      <c r="R25" s="1498" t="s">
        <v>8</v>
      </c>
      <c r="S25" s="1499">
        <f>F25</f>
        <v>100</v>
      </c>
      <c r="T25" s="1498" t="s">
        <v>8</v>
      </c>
      <c r="U25" s="1499">
        <f>H25</f>
        <v>100</v>
      </c>
      <c r="V25" s="1498" t="s">
        <v>8</v>
      </c>
      <c r="W25" s="1499">
        <f>J25</f>
        <v>100</v>
      </c>
      <c r="X25" s="1500"/>
      <c r="Y25" s="3881"/>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881"/>
      <c r="Q26" s="1131"/>
      <c r="R26" s="1498"/>
      <c r="S26" s="1499"/>
      <c r="T26" s="1498"/>
      <c r="U26" s="1499"/>
      <c r="V26" s="1498"/>
      <c r="W26" s="1499"/>
      <c r="X26" s="1500"/>
      <c r="Y26" s="3881"/>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881"/>
      <c r="Q27" s="2424" t="str">
        <f t="shared" ref="Q27" si="9">B27</f>
        <v>基础设施水平</v>
      </c>
      <c r="R27" s="1498" t="s">
        <v>8</v>
      </c>
      <c r="S27" s="1499">
        <f>F27</f>
        <v>100</v>
      </c>
      <c r="T27" s="1498" t="s">
        <v>8</v>
      </c>
      <c r="U27" s="1499">
        <f>H27</f>
        <v>100</v>
      </c>
      <c r="V27" s="1498" t="s">
        <v>8</v>
      </c>
      <c r="W27" s="1499">
        <f>J27</f>
        <v>100</v>
      </c>
      <c r="X27" s="1500"/>
      <c r="Y27" s="3881"/>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881"/>
      <c r="Q28" s="2424"/>
      <c r="R28" s="1498"/>
      <c r="S28" s="1499"/>
      <c r="T28" s="1498"/>
      <c r="U28" s="1499"/>
      <c r="V28" s="1498"/>
      <c r="W28" s="1499"/>
      <c r="X28" s="1500"/>
      <c r="Y28" s="3881"/>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881"/>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881"/>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881"/>
      <c r="Q30" s="1502" t="str">
        <f t="shared" si="8"/>
        <v>毗邻道路的类型与等级</v>
      </c>
      <c r="R30" s="1503" t="s">
        <v>8</v>
      </c>
      <c r="S30" s="1504">
        <f t="shared" si="10"/>
        <v>100</v>
      </c>
      <c r="T30" s="1503" t="s">
        <v>8</v>
      </c>
      <c r="U30" s="1504">
        <f t="shared" si="11"/>
        <v>100</v>
      </c>
      <c r="V30" s="1503" t="s">
        <v>8</v>
      </c>
      <c r="W30" s="1504">
        <f t="shared" si="12"/>
        <v>100</v>
      </c>
      <c r="X30" s="1497"/>
      <c r="Y30" s="3881"/>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881"/>
      <c r="Q31" s="1502"/>
      <c r="R31" s="1503"/>
      <c r="S31" s="1504"/>
      <c r="T31" s="1503"/>
      <c r="U31" s="1504"/>
      <c r="V31" s="1503"/>
      <c r="W31" s="1504"/>
      <c r="X31" s="1497"/>
      <c r="Y31" s="3881"/>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881"/>
      <c r="Q32" s="1502" t="str">
        <f t="shared" si="8"/>
        <v>土地级别</v>
      </c>
      <c r="R32" s="1503" t="s">
        <v>8</v>
      </c>
      <c r="S32" s="1504">
        <f t="shared" si="10"/>
        <v>100</v>
      </c>
      <c r="T32" s="1503" t="s">
        <v>8</v>
      </c>
      <c r="U32" s="1504">
        <f t="shared" si="11"/>
        <v>100</v>
      </c>
      <c r="V32" s="1503" t="s">
        <v>8</v>
      </c>
      <c r="W32" s="1504">
        <f t="shared" si="12"/>
        <v>100</v>
      </c>
      <c r="X32" s="1497"/>
      <c r="Y32" s="3881"/>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881"/>
      <c r="Q33" s="1502">
        <f t="shared" si="8"/>
        <v>111</v>
      </c>
      <c r="R33" s="1503" t="s">
        <v>8</v>
      </c>
      <c r="S33" s="1504">
        <f t="shared" si="10"/>
        <v>100</v>
      </c>
      <c r="T33" s="1503" t="s">
        <v>8</v>
      </c>
      <c r="U33" s="1504">
        <f t="shared" si="11"/>
        <v>100</v>
      </c>
      <c r="V33" s="1503" t="s">
        <v>8</v>
      </c>
      <c r="W33" s="1504">
        <f t="shared" si="12"/>
        <v>100</v>
      </c>
      <c r="X33" s="1497"/>
      <c r="Y33" s="3881"/>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882" t="s">
        <v>521</v>
      </c>
      <c r="Q34" s="1502">
        <f t="shared" si="8"/>
        <v>111</v>
      </c>
      <c r="R34" s="1503" t="s">
        <v>8</v>
      </c>
      <c r="S34" s="1504">
        <f t="shared" si="10"/>
        <v>100</v>
      </c>
      <c r="T34" s="1503" t="s">
        <v>8</v>
      </c>
      <c r="U34" s="1504">
        <f t="shared" si="11"/>
        <v>100</v>
      </c>
      <c r="V34" s="1503" t="s">
        <v>8</v>
      </c>
      <c r="W34" s="1504">
        <f t="shared" si="12"/>
        <v>100</v>
      </c>
      <c r="X34" s="1497"/>
      <c r="Y34" s="3883"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883"/>
      <c r="Q35" s="1502">
        <f t="shared" si="8"/>
        <v>111</v>
      </c>
      <c r="R35" s="1507" t="s">
        <v>8</v>
      </c>
      <c r="S35" s="1508">
        <f t="shared" si="10"/>
        <v>100</v>
      </c>
      <c r="T35" s="1507" t="s">
        <v>8</v>
      </c>
      <c r="U35" s="1508">
        <f t="shared" si="11"/>
        <v>100</v>
      </c>
      <c r="V35" s="1507" t="s">
        <v>8</v>
      </c>
      <c r="W35" s="1508">
        <f t="shared" si="12"/>
        <v>100</v>
      </c>
      <c r="X35" s="1509"/>
      <c r="Y35" s="3883"/>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883"/>
      <c r="Q36" s="1502" t="str">
        <f>B36</f>
        <v>宗地面积</v>
      </c>
      <c r="R36" s="1503" t="s">
        <v>8</v>
      </c>
      <c r="S36" s="1504" t="e">
        <f t="shared" si="10"/>
        <v>#N/A</v>
      </c>
      <c r="T36" s="1503" t="s">
        <v>8</v>
      </c>
      <c r="U36" s="1504" t="e">
        <f t="shared" si="11"/>
        <v>#N/A</v>
      </c>
      <c r="V36" s="1503" t="s">
        <v>8</v>
      </c>
      <c r="W36" s="1504" t="e">
        <f t="shared" si="12"/>
        <v>#N/A</v>
      </c>
      <c r="X36" s="1497"/>
      <c r="Y36" s="3883"/>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883"/>
      <c r="Q37" s="1502" t="str">
        <f t="shared" ref="Q37:Q42" si="14">B37</f>
        <v>宗地形状</v>
      </c>
      <c r="R37" s="1503" t="s">
        <v>8</v>
      </c>
      <c r="S37" s="1504">
        <f t="shared" si="10"/>
        <v>100</v>
      </c>
      <c r="T37" s="1503" t="s">
        <v>8</v>
      </c>
      <c r="U37" s="1504">
        <f t="shared" si="11"/>
        <v>100</v>
      </c>
      <c r="V37" s="1503" t="s">
        <v>8</v>
      </c>
      <c r="W37" s="1504">
        <f t="shared" si="12"/>
        <v>100</v>
      </c>
      <c r="X37" s="1497"/>
      <c r="Y37" s="3883"/>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883"/>
      <c r="Q38" s="1502" t="str">
        <f t="shared" si="14"/>
        <v>宗地开发程度</v>
      </c>
      <c r="R38" s="1498" t="s">
        <v>8</v>
      </c>
      <c r="S38" s="1499">
        <f t="shared" si="10"/>
        <v>100</v>
      </c>
      <c r="T38" s="1498" t="s">
        <v>8</v>
      </c>
      <c r="U38" s="1499">
        <f t="shared" si="11"/>
        <v>100</v>
      </c>
      <c r="V38" s="1498" t="s">
        <v>8</v>
      </c>
      <c r="W38" s="1499">
        <f t="shared" si="12"/>
        <v>100</v>
      </c>
      <c r="X38" s="1500"/>
      <c r="Y38" s="3883"/>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883" t="s">
        <v>572</v>
      </c>
      <c r="Q39" s="1502" t="str">
        <f t="shared" si="14"/>
        <v>工程地质条件</v>
      </c>
      <c r="R39" s="1503" t="s">
        <v>8</v>
      </c>
      <c r="S39" s="1504">
        <f t="shared" si="10"/>
        <v>100</v>
      </c>
      <c r="T39" s="1503" t="s">
        <v>8</v>
      </c>
      <c r="U39" s="1504">
        <f t="shared" si="11"/>
        <v>100</v>
      </c>
      <c r="V39" s="1503" t="s">
        <v>8</v>
      </c>
      <c r="W39" s="1504">
        <f t="shared" si="12"/>
        <v>100</v>
      </c>
      <c r="X39" s="1497"/>
      <c r="Y39" s="3883"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883"/>
      <c r="Q40" s="1502">
        <f t="shared" si="14"/>
        <v>111</v>
      </c>
      <c r="R40" s="1503" t="s">
        <v>8</v>
      </c>
      <c r="S40" s="1504">
        <f t="shared" si="10"/>
        <v>100</v>
      </c>
      <c r="T40" s="1503" t="s">
        <v>8</v>
      </c>
      <c r="U40" s="1504">
        <f t="shared" si="11"/>
        <v>100</v>
      </c>
      <c r="V40" s="1503" t="s">
        <v>8</v>
      </c>
      <c r="W40" s="1504">
        <f t="shared" si="12"/>
        <v>100</v>
      </c>
      <c r="X40" s="1497"/>
      <c r="Y40" s="3883"/>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883"/>
      <c r="Q41" s="1502">
        <f t="shared" si="14"/>
        <v>111</v>
      </c>
      <c r="R41" s="1503" t="s">
        <v>8</v>
      </c>
      <c r="S41" s="1504">
        <f t="shared" si="10"/>
        <v>100</v>
      </c>
      <c r="T41" s="1503" t="s">
        <v>8</v>
      </c>
      <c r="U41" s="1504">
        <f t="shared" si="11"/>
        <v>100</v>
      </c>
      <c r="V41" s="1503" t="s">
        <v>8</v>
      </c>
      <c r="W41" s="1504">
        <f t="shared" si="12"/>
        <v>100</v>
      </c>
      <c r="X41" s="1497"/>
      <c r="Y41" s="3883"/>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883"/>
      <c r="Q42" s="1502">
        <f t="shared" si="14"/>
        <v>111</v>
      </c>
      <c r="R42" s="1507" t="s">
        <v>8</v>
      </c>
      <c r="S42" s="1508">
        <f t="shared" si="10"/>
        <v>100</v>
      </c>
      <c r="T42" s="1507" t="s">
        <v>8</v>
      </c>
      <c r="U42" s="1508">
        <f t="shared" si="11"/>
        <v>100</v>
      </c>
      <c r="V42" s="1507" t="s">
        <v>8</v>
      </c>
      <c r="W42" s="1508">
        <f t="shared" si="12"/>
        <v>100</v>
      </c>
      <c r="X42" s="1509"/>
      <c r="Y42" s="3883"/>
      <c r="Z42" s="1510">
        <f t="shared" si="13"/>
        <v>111</v>
      </c>
      <c r="AA42" s="1506">
        <f t="shared" si="3"/>
        <v>1</v>
      </c>
      <c r="AB42" s="1506">
        <f t="shared" si="4"/>
        <v>1</v>
      </c>
      <c r="AC42" s="1506">
        <f t="shared" si="5"/>
        <v>1</v>
      </c>
    </row>
    <row r="43" spans="1:29" ht="15">
      <c r="A43" s="598" t="s">
        <v>527</v>
      </c>
      <c r="B43" s="599" t="s">
        <v>2876</v>
      </c>
      <c r="C43" s="600" t="s">
        <v>1</v>
      </c>
      <c r="D43" s="601"/>
      <c r="E43" s="602"/>
      <c r="F43" s="603"/>
      <c r="G43" s="604"/>
      <c r="H43" s="605"/>
      <c r="I43" s="602"/>
      <c r="J43" s="605"/>
      <c r="K43" s="1291"/>
      <c r="L43" s="2022"/>
      <c r="M43" s="2012"/>
      <c r="N43" s="2012"/>
      <c r="O43" s="2023"/>
      <c r="P43" s="3878" t="str">
        <f>A43</f>
        <v>成交单价</v>
      </c>
      <c r="Q43" s="3878"/>
      <c r="R43" s="3892">
        <f>E43</f>
        <v>0</v>
      </c>
      <c r="S43" s="3892"/>
      <c r="T43" s="3892">
        <f>G43</f>
        <v>0</v>
      </c>
      <c r="U43" s="3892"/>
      <c r="V43" s="3892">
        <f>I43</f>
        <v>0</v>
      </c>
      <c r="W43" s="3892"/>
      <c r="X43" s="1492"/>
      <c r="Y43" s="1511"/>
      <c r="Z43" s="1492"/>
      <c r="AA43" s="1492"/>
      <c r="AB43" s="1492"/>
      <c r="AC43" s="1492"/>
    </row>
    <row r="44" spans="1:29" ht="15.75" thickBot="1">
      <c r="A44" s="606" t="s">
        <v>2649</v>
      </c>
      <c r="B44" s="607"/>
      <c r="C44" s="608" t="e">
        <f>R45</f>
        <v>#DIV/0!</v>
      </c>
      <c r="D44" s="3006" t="s">
        <v>2945</v>
      </c>
      <c r="E44" s="608" t="e">
        <f>R44</f>
        <v>#DIV/0!</v>
      </c>
      <c r="F44" s="3007"/>
      <c r="G44" s="609" t="e">
        <f>T44</f>
        <v>#DIV/0!</v>
      </c>
      <c r="H44" s="3007"/>
      <c r="I44" s="608" t="e">
        <f>V44</f>
        <v>#DIV/0!</v>
      </c>
      <c r="J44" s="3007"/>
      <c r="K44" s="3008">
        <f>F44+H44+J44</f>
        <v>0</v>
      </c>
      <c r="L44" s="2022"/>
      <c r="M44" s="2012"/>
      <c r="N44" s="2012"/>
      <c r="O44" s="2023"/>
      <c r="P44" s="3878" t="str">
        <f>A44</f>
        <v>比较价格（元/平方米）</v>
      </c>
      <c r="Q44" s="3878"/>
      <c r="R44" s="3902" t="e">
        <f>ROUND(PRODUCT(R43,AA9:AA42),0)</f>
        <v>#DIV/0!</v>
      </c>
      <c r="S44" s="3902"/>
      <c r="T44" s="3902" t="e">
        <f>ROUND(PRODUCT(T43,AB9:AB42),0)</f>
        <v>#DIV/0!</v>
      </c>
      <c r="U44" s="3902"/>
      <c r="V44" s="3902" t="e">
        <f>ROUND(PRODUCT(V43,AC9:AC42),0)</f>
        <v>#DIV/0!</v>
      </c>
      <c r="W44" s="3902"/>
      <c r="X44" s="1492"/>
      <c r="Y44" s="1492"/>
      <c r="Z44" s="1492"/>
      <c r="AA44" s="1492"/>
      <c r="AB44" s="1492"/>
      <c r="AC44" s="1492"/>
    </row>
    <row r="45" spans="1:29" ht="15.75" thickBot="1">
      <c r="A45" s="610" t="s">
        <v>2877</v>
      </c>
      <c r="B45" s="611"/>
      <c r="C45" s="612" t="e">
        <f>R45</f>
        <v>#DIV/0!</v>
      </c>
      <c r="D45" s="612"/>
      <c r="E45" s="612"/>
      <c r="F45" s="612"/>
      <c r="G45" s="612"/>
      <c r="H45" s="612"/>
      <c r="I45" s="612"/>
      <c r="J45" s="612"/>
      <c r="K45" s="1292"/>
      <c r="L45" s="2022"/>
      <c r="M45" s="2012"/>
      <c r="N45" s="2012"/>
      <c r="O45" s="2023"/>
      <c r="P45" s="3899" t="str">
        <f>A45</f>
        <v>估价对象XX用房的比较价格（楼面单价，元/平方米）</v>
      </c>
      <c r="Q45" s="3900"/>
      <c r="R45" s="3908" t="e">
        <f>ROUND(IF(D44="简单平均",AVERAGE(R44:W44),R44*F44+T44*H44+V44*J44),0)</f>
        <v>#DIV/0!</v>
      </c>
      <c r="S45" s="3908"/>
      <c r="T45" s="3908"/>
      <c r="U45" s="3908"/>
      <c r="V45" s="3908"/>
      <c r="W45" s="3908"/>
      <c r="X45" s="1492"/>
      <c r="Y45" s="1492"/>
      <c r="Z45" s="1492"/>
      <c r="AA45" s="1492"/>
      <c r="AB45" s="1492"/>
      <c r="AC45" s="1492"/>
    </row>
    <row r="46" spans="1:29">
      <c r="A46" s="3205"/>
      <c r="B46" s="3205"/>
      <c r="C46" s="3205"/>
      <c r="D46" s="3205"/>
      <c r="E46" s="3205"/>
      <c r="F46" s="3205"/>
      <c r="G46" s="3207"/>
      <c r="H46" s="3205"/>
      <c r="I46" s="3205"/>
      <c r="J46" s="3205"/>
      <c r="K46" s="3208"/>
      <c r="L46" s="2027"/>
      <c r="M46" s="2012"/>
      <c r="N46" s="2012"/>
      <c r="O46" s="2023"/>
      <c r="P46" s="2023"/>
      <c r="Q46" s="2023"/>
      <c r="R46" s="2023"/>
      <c r="S46" s="2023"/>
      <c r="T46" s="2023"/>
      <c r="U46" s="2023"/>
      <c r="V46" s="2023"/>
      <c r="W46" s="2023"/>
      <c r="X46" s="2023"/>
      <c r="Y46" s="2023"/>
      <c r="Z46" s="2023"/>
      <c r="AA46" s="2023"/>
      <c r="AB46" s="2023"/>
      <c r="AC46" s="2023"/>
    </row>
    <row r="47" spans="1:29">
      <c r="A47" s="3205"/>
      <c r="B47" s="3205"/>
      <c r="C47" s="3205"/>
      <c r="D47" s="3205"/>
      <c r="E47" s="3205"/>
      <c r="F47" s="3205"/>
      <c r="G47" s="3205"/>
      <c r="H47" s="3205"/>
      <c r="I47" s="3205"/>
      <c r="J47" s="3205"/>
      <c r="K47" s="3208"/>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5"/>
      <c r="B48" s="3205"/>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8"/>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5"/>
      <c r="B49" s="3205"/>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8"/>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6"/>
      <c r="B50" s="3206"/>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9"/>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6"/>
      <c r="B51" s="3217"/>
      <c r="C51" s="2028"/>
      <c r="D51" s="2024"/>
      <c r="E51" s="2024"/>
      <c r="F51" s="2024"/>
      <c r="G51" s="2024"/>
      <c r="H51" s="2024"/>
      <c r="I51" s="2024"/>
      <c r="J51" s="2024"/>
      <c r="K51" s="3209"/>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903" t="s">
        <v>2248</v>
      </c>
      <c r="H52" s="3904"/>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51777.739999999976</v>
      </c>
      <c r="F53" s="1860" t="e">
        <f t="shared" ref="F53:F62" si="15">ROUND(B53*E53/10000,0)</f>
        <v>#DIV/0!</v>
      </c>
      <c r="G53" s="3905"/>
      <c r="H53" s="3906"/>
      <c r="I53" s="1863">
        <v>1</v>
      </c>
      <c r="J53" s="1490">
        <v>1</v>
      </c>
      <c r="K53" s="3210"/>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907" t="s">
        <v>2249</v>
      </c>
      <c r="H54" s="1864" t="str">
        <f>项目基本情况!B43</f>
        <v>七级</v>
      </c>
      <c r="I54" s="1863">
        <f>SUMIF(修正!$A$45:$A$56,H54,修正!B45:B56)</f>
        <v>0.7</v>
      </c>
      <c r="J54" s="1491"/>
      <c r="K54" s="3210"/>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907"/>
      <c r="H55" s="1865" t="str">
        <f>项目基本情况!B43</f>
        <v>七级</v>
      </c>
      <c r="I55" s="1863">
        <f>SUMIF(修正!$A$45:$A$56,H55,修正!C45:C56)</f>
        <v>0.4</v>
      </c>
      <c r="J55" s="1491"/>
      <c r="K55" s="3210"/>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907"/>
      <c r="H56" s="1865" t="str">
        <f>项目基本情况!B43</f>
        <v>七级</v>
      </c>
      <c r="I56" s="1863">
        <f>SUMIF(修正!$A$45:$A$56,H56,修正!D45:D56)</f>
        <v>0.28000000000000003</v>
      </c>
      <c r="J56" s="1491"/>
      <c r="K56" s="3210"/>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907"/>
      <c r="H57" s="1865" t="str">
        <f>项目基本情况!B43</f>
        <v>七级</v>
      </c>
      <c r="I57" s="1863">
        <f>SUMIF(修正!$A$45:$A$56,H57,修正!E45:E56)</f>
        <v>0.25</v>
      </c>
      <c r="J57" s="1491"/>
      <c r="K57" s="3210"/>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55.18</v>
      </c>
      <c r="F58" s="1860" t="e">
        <f t="shared" si="15"/>
        <v>#DIV/0!</v>
      </c>
      <c r="G58" s="1866" t="s">
        <v>2250</v>
      </c>
      <c r="H58" s="1865" t="str">
        <f>项目基本情况!C43</f>
        <v>七级</v>
      </c>
      <c r="I58" s="1863">
        <f>SUMIF(修正!$A$45:$A$56,H58,修正!F45:F56)</f>
        <v>0.25</v>
      </c>
      <c r="J58" s="1491"/>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6350.35</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22548.01</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19077.810000000001</v>
      </c>
      <c r="F63" s="633" t="e">
        <f>IF(B43="楼面地价",SUM(F53:F62),ROUND(C45*E63/10000,0))</f>
        <v>#DIV/0!</v>
      </c>
      <c r="G63" s="2033"/>
      <c r="H63" s="2033"/>
      <c r="I63" s="2033"/>
      <c r="J63" s="2033"/>
      <c r="K63" s="3218"/>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9"/>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9"/>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20"/>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1"/>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20"/>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1"/>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1"/>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20"/>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1"/>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2"/>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1"/>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2"/>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2"/>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2"/>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2"/>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20"/>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1"/>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20"/>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1"/>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9"/>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1"/>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9"/>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1"/>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2"/>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2"/>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2"/>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2"/>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20"/>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1"/>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20"/>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1"/>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20"/>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1"/>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20"/>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1"/>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20"/>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1"/>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2"/>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1"/>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20"/>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20"/>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1"/>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20"/>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1"/>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2"/>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2"/>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20"/>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1"/>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20"/>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1"/>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20"/>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1"/>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2"/>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2"/>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3"/>
      <c r="L2" s="1795" t="s">
        <v>2204</v>
      </c>
      <c r="M2" s="1796">
        <f>SUMPRODUCT((区片价!B10:B28=I2)*(区片价!C3:F3=E2)*(区片价!C10:F28))</f>
        <v>0</v>
      </c>
      <c r="N2" s="1797">
        <f>SUMPRODUCT((因素修正幅度!B10:B28=I2)*(因素修正幅度!C3:F3=E2)*(因素修正幅度!C10:F28))</f>
        <v>0</v>
      </c>
      <c r="O2" s="3223"/>
      <c r="P2" s="2066"/>
      <c r="Q2" s="2066"/>
      <c r="R2" s="2650">
        <v>1</v>
      </c>
      <c r="S2" s="2650">
        <f>ROUND(IF(G3&gt;1,IF(R2&lt;7,SUMPRODUCT((B93:B98=R2)*(C92:N92=G2)*(C93:N98)),SUMIF(C92:N92,G2,C100:N100)),IF(R2&lt;7,SUMPRODUCT((B102:B107=R2)*(C92:N92=G2)*(C102:N107)),SUMIF(C92:N92,G2,C109:N109))),4)</f>
        <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2.8</v>
      </c>
      <c r="H3" s="1358" t="s">
        <v>897</v>
      </c>
      <c r="I3" s="1024">
        <v>8</v>
      </c>
      <c r="J3" s="1354" t="s">
        <v>898</v>
      </c>
      <c r="K3" s="3223"/>
      <c r="L3" s="1795" t="s">
        <v>2205</v>
      </c>
      <c r="M3" s="1796">
        <f>SUMPRODUCT((区片价!B29:B48=I2)*(区片价!C3:F3=E2)*(区片价!C29:F48))</f>
        <v>0</v>
      </c>
      <c r="N3" s="1797">
        <f>SUMPRODUCT((因素修正幅度!B29:B48=I2)*(因素修正幅度!C3:F3=E2)*(因素修正幅度!C29:F48))</f>
        <v>0</v>
      </c>
      <c r="O3" s="3223"/>
      <c r="P3" s="2066"/>
      <c r="Q3" s="2066"/>
      <c r="R3" s="2650">
        <v>2</v>
      </c>
      <c r="S3" s="2650">
        <f>ROUND(IF(G3&gt;1,IF(R3&lt;7,SUMPRODUCT((B93:B98=R3)*(C92:N92=G2)*(C93:N98)),SUMIF(C92:N92,G2,C100:N100)),IF(R3&lt;7,SUMPRODUCT((B102:B107=R3)*(C92:N92=G2)*(C102:N107)),SUMIF(C92:N92,G2,C109:N109))),4)</f>
        <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4"/>
      <c r="L4" s="1795" t="s">
        <v>2206</v>
      </c>
      <c r="M4" s="1796">
        <f>SUMPRODUCT((区片价!B49:B75=I2)*(区片价!C3:F3=E2)*(区片价!C49:F75))</f>
        <v>0</v>
      </c>
      <c r="N4" s="1797">
        <f>SUMPRODUCT((因素修正幅度!B49:B75=I2)*(因素修正幅度!C3:F3=E2)*(因素修正幅度!C49:F75))</f>
        <v>0</v>
      </c>
      <c r="O4" s="3224"/>
      <c r="P4" s="2066"/>
      <c r="Q4" s="2066"/>
      <c r="R4" s="2650">
        <v>3</v>
      </c>
      <c r="S4" s="2650">
        <f>ROUND(IF(G3&gt;1,IF(R4&lt;7,SUMPRODUCT((B93:B98=R4)*(C92:N92=G2)*(C93:N98)),SUMIF(C92:N92,G2,C100:N100)),IF(R4&lt;7,SUMPRODUCT((B102:B107=R4)*(C92:N92=G2)*(C102:N107)),SUMIF(C92:N92,G2,C109:N109))),4)</f>
        <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5"/>
      <c r="L5" s="1795" t="s">
        <v>2207</v>
      </c>
      <c r="M5" s="1796">
        <f>SUMPRODUCT((区片价!B76:B109=I2)*(区片价!C3:F3=E2)*(区片价!C76:F109))</f>
        <v>0</v>
      </c>
      <c r="N5" s="1797">
        <f>SUMPRODUCT((因素修正幅度!B76:B109=I2)*(因素修正幅度!C3:F3=E2)*(因素修正幅度!C76:F109))</f>
        <v>0</v>
      </c>
      <c r="O5" s="3225"/>
      <c r="P5" s="3228"/>
      <c r="Q5" s="2066"/>
      <c r="R5" s="2650">
        <v>4</v>
      </c>
      <c r="S5" s="2650">
        <f>ROUND(IF(G3&gt;1,IF(R5&lt;7,SUMPRODUCT((B93:B98=R5)*(C92:N92=G2)*(C93:N98)),SUMIF(C92:N92,G2,C100:N100)),IF(R5&lt;7,SUMPRODUCT((B102:B107=R5)*(C92:N92=G2)*(C102:N107)),SUMIF(C92:N92,G2,C109:N109))),4)</f>
        <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6"/>
      <c r="L6" s="1795" t="s">
        <v>2208</v>
      </c>
      <c r="M6" s="1796">
        <f>SUMPRODUCT((区片价!B110:B157=I2)*(区片价!C3:F3=E2)*(区片价!C110:F157))</f>
        <v>0</v>
      </c>
      <c r="N6" s="1797">
        <f>SUMPRODUCT((因素修正幅度!B110:B157=I2)*(因素修正幅度!C3:F3=E2)*(因素修正幅度!C110:F157))</f>
        <v>0</v>
      </c>
      <c r="O6" s="3226"/>
      <c r="P6" s="3229"/>
      <c r="Q6" s="2066"/>
      <c r="R6" s="2650">
        <v>5</v>
      </c>
      <c r="S6" s="2650">
        <f>ROUND(IF(G3&gt;1,IF(R6&lt;7,SUMPRODUCT((B93:B98=R6)*(C92:N92=G2)*(C93:N98)),SUMIF(C92:N92,G2,C100:N100)),IF(R6&lt;7,SUMPRODUCT((B102:B107=R6)*(C92:N92=G2)*(C102:N107)),SUMIF(C92:N92,G2,C109:N109))),4)</f>
        <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916" t="str">
        <f>IF(E2="商业",IF(C8="不临58条商业街","",2),"")</f>
        <v/>
      </c>
      <c r="B7" s="1371" t="s">
        <v>900</v>
      </c>
      <c r="C7" s="1027" t="e">
        <f>IF(C8="不临58条商业街",1,ROUND(1+(1.6*E8+1.2*E9+0.8*E10+0.4*E11)*C9,4))</f>
        <v>#DIV/0!</v>
      </c>
      <c r="D7" s="1372" t="s">
        <v>901</v>
      </c>
      <c r="E7" s="1028"/>
      <c r="F7" s="1373"/>
      <c r="G7" s="1374"/>
      <c r="H7" s="1374"/>
      <c r="I7" s="1374"/>
      <c r="J7" s="1375"/>
      <c r="K7" s="3226"/>
      <c r="L7" s="1795" t="s">
        <v>2209</v>
      </c>
      <c r="M7" s="1796">
        <f>SUMPRODUCT((区片价!B158:B205=I2)*(区片价!C3:F3=E2)*(区片价!C158:F205))</f>
        <v>0</v>
      </c>
      <c r="N7" s="1797">
        <f>SUMPRODUCT((因素修正幅度!B158:B205=I2)*(因素修正幅度!C3:F3=E2)*(因素修正幅度!C158:F205))</f>
        <v>0</v>
      </c>
      <c r="O7" s="3226"/>
      <c r="P7" s="3229"/>
      <c r="Q7" s="2066"/>
      <c r="R7" s="2650">
        <v>6</v>
      </c>
      <c r="S7" s="2650">
        <f>ROUND(IF(G3&gt;1,IF(R7&lt;7,SUMPRODUCT((B93:B98=R7)*(C92:N92=G2)*(C93:N98)),SUMIF(C92:N92,G2,C100:N100)),IF(R7&lt;7,SUMPRODUCT((B102:B107=R7)*(C92:N92=G2)*(C102:N107)),SUMIF(C92:N92,G2,C109:N109))),4)</f>
        <v>0</v>
      </c>
      <c r="T7" s="2650" t="e">
        <f t="shared" si="0"/>
        <v>#DIV/0!</v>
      </c>
      <c r="U7" s="2639"/>
      <c r="V7" s="2650" t="e">
        <f t="shared" si="1"/>
        <v>#DIV/0!</v>
      </c>
      <c r="W7" s="2648" t="s">
        <v>2720</v>
      </c>
      <c r="X7" s="2640">
        <f>G2</f>
        <v>0</v>
      </c>
      <c r="Y7" s="2640" t="s">
        <v>2721</v>
      </c>
      <c r="Z7" s="2641">
        <f>G3</f>
        <v>2.8</v>
      </c>
      <c r="AA7" s="2069"/>
      <c r="AB7" s="2069"/>
      <c r="AC7" s="2070"/>
      <c r="AD7" s="2642"/>
      <c r="AE7" s="2642"/>
      <c r="AF7" s="2642"/>
      <c r="AG7" s="2642"/>
      <c r="AH7" s="2642"/>
      <c r="AI7" s="2642"/>
      <c r="AJ7" s="2643"/>
    </row>
    <row r="8" spans="1:39" ht="15">
      <c r="A8" s="3917"/>
      <c r="B8" s="1358" t="s">
        <v>902</v>
      </c>
      <c r="C8" s="1464"/>
      <c r="D8" s="1029" t="s">
        <v>903</v>
      </c>
      <c r="E8" s="1030" t="e">
        <f>ROUND(C11/E7,4)</f>
        <v>#DIV/0!</v>
      </c>
      <c r="F8" s="1376" t="s">
        <v>904</v>
      </c>
      <c r="G8" s="1377"/>
      <c r="H8" s="1377"/>
      <c r="I8" s="1377"/>
      <c r="J8" s="1378"/>
      <c r="K8" s="3226"/>
      <c r="L8" s="1795" t="s">
        <v>2210</v>
      </c>
      <c r="M8" s="1796">
        <f>SUMPRODUCT((区片价!B206:B244=I2)*(区片价!C3:F3=E2)*(区片价!C206:F244))</f>
        <v>0</v>
      </c>
      <c r="N8" s="1797">
        <f>SUMPRODUCT((因素修正幅度!B206:B244=I2)*(因素修正幅度!C3:F3=E2)*(因素修正幅度!C206:F244))</f>
        <v>0</v>
      </c>
      <c r="O8" s="3226"/>
      <c r="P8" s="2066"/>
      <c r="Q8" s="2066"/>
      <c r="R8" s="2650">
        <v>7</v>
      </c>
      <c r="S8" s="2639"/>
      <c r="T8" s="2650" t="e">
        <f t="shared" si="0"/>
        <v>#DIV/0!</v>
      </c>
      <c r="U8" s="2639"/>
      <c r="V8" s="2650" t="e">
        <f t="shared" si="1"/>
        <v>#DIV/0!</v>
      </c>
      <c r="W8" s="3927" t="s">
        <v>2738</v>
      </c>
      <c r="X8" s="3928"/>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917"/>
      <c r="B9" s="1358" t="s">
        <v>905</v>
      </c>
      <c r="C9" s="1031">
        <f>SUMIF(修正!C59:C119,C8,修正!E59:E119)</f>
        <v>0</v>
      </c>
      <c r="D9" s="1032" t="s">
        <v>906</v>
      </c>
      <c r="E9" s="1032" t="e">
        <f>ROUND(C11/E7,4)</f>
        <v>#DIV/0!</v>
      </c>
      <c r="F9" s="1376" t="s">
        <v>907</v>
      </c>
      <c r="G9" s="1377"/>
      <c r="H9" s="1377"/>
      <c r="I9" s="1377"/>
      <c r="J9" s="1378"/>
      <c r="K9" s="3226"/>
      <c r="L9" s="1795" t="s">
        <v>2211</v>
      </c>
      <c r="M9" s="1796">
        <f>SUMPRODUCT((区片价!B245:B289=I2)*(区片价!C3:F3=E2)*(区片价!C245:F289))</f>
        <v>0</v>
      </c>
      <c r="N9" s="1797">
        <f>SUMPRODUCT((因素修正幅度!B245:B289=I2)*(因素修正幅度!C3:F3=E2)*(因素修正幅度!C245:F289))</f>
        <v>0</v>
      </c>
      <c r="O9" s="3226"/>
      <c r="P9" s="2066"/>
      <c r="Q9" s="2066"/>
      <c r="R9" s="2650">
        <v>8</v>
      </c>
      <c r="S9" s="2639"/>
      <c r="T9" s="2650" t="e">
        <f t="shared" si="0"/>
        <v>#DIV/0!</v>
      </c>
      <c r="U9" s="2639"/>
      <c r="V9" s="2650" t="e">
        <f t="shared" si="1"/>
        <v>#DIV/0!</v>
      </c>
      <c r="W9" s="3926"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917"/>
      <c r="B10" s="1358" t="s">
        <v>908</v>
      </c>
      <c r="C10" s="1032">
        <f>SUMIF(修正!C59:C119,C8,修正!F59:F119)</f>
        <v>0</v>
      </c>
      <c r="D10" s="1032" t="s">
        <v>909</v>
      </c>
      <c r="E10" s="1032" t="e">
        <f>ROUND(C11/E7,4)</f>
        <v>#DIV/0!</v>
      </c>
      <c r="F10" s="1376" t="s">
        <v>910</v>
      </c>
      <c r="G10" s="1377"/>
      <c r="H10" s="1377"/>
      <c r="I10" s="1377"/>
      <c r="J10" s="1378"/>
      <c r="K10" s="3226"/>
      <c r="L10" s="1795" t="s">
        <v>2212</v>
      </c>
      <c r="M10" s="1796">
        <f>SUMPRODUCT((区片价!B290:B316=I2)*(区片价!C3:F3=E2)*(区片价!C290:F316))</f>
        <v>0</v>
      </c>
      <c r="N10" s="1797">
        <f>SUMPRODUCT((因素修正幅度!B290:B316=I2)*(因素修正幅度!C3:F3=E2)*(因素修正幅度!C290:F316))</f>
        <v>0</v>
      </c>
      <c r="O10" s="3226"/>
      <c r="P10" s="2066"/>
      <c r="Q10" s="2066"/>
      <c r="R10" s="2650">
        <v>9</v>
      </c>
      <c r="S10" s="2639"/>
      <c r="T10" s="2650" t="e">
        <f t="shared" si="0"/>
        <v>#DIV/0!</v>
      </c>
      <c r="U10" s="2639"/>
      <c r="V10" s="2650" t="e">
        <f t="shared" si="1"/>
        <v>#DIV/0!</v>
      </c>
      <c r="W10" s="3926"/>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917"/>
      <c r="B11" s="1379" t="s">
        <v>911</v>
      </c>
      <c r="C11" s="1033">
        <f>C10/4</f>
        <v>0</v>
      </c>
      <c r="D11" s="1033" t="s">
        <v>912</v>
      </c>
      <c r="E11" s="1033" t="e">
        <f>ROUND(C11/E7,4)</f>
        <v>#DIV/0!</v>
      </c>
      <c r="F11" s="1380" t="s">
        <v>913</v>
      </c>
      <c r="G11" s="1381"/>
      <c r="H11" s="1381"/>
      <c r="I11" s="1381"/>
      <c r="J11" s="1382"/>
      <c r="K11" s="3226"/>
      <c r="L11" s="1795" t="s">
        <v>2213</v>
      </c>
      <c r="M11" s="1796">
        <f>SUMPRODUCT((区片价!B317:B337=I2)*(区片价!C3:F3=E2)*(区片价!C317:F337))</f>
        <v>0</v>
      </c>
      <c r="N11" s="1797">
        <f>SUMPRODUCT((因素修正幅度!B317:B337=I2)*(因素修正幅度!C3:F3=E2)*(因素修正幅度!C317:F337))</f>
        <v>0</v>
      </c>
      <c r="O11" s="3226"/>
      <c r="P11" s="2066"/>
      <c r="Q11" s="2066"/>
      <c r="R11" s="2650">
        <v>10</v>
      </c>
      <c r="S11" s="2639"/>
      <c r="T11" s="2650" t="e">
        <f t="shared" si="0"/>
        <v>#DIV/0!</v>
      </c>
      <c r="U11" s="2639"/>
      <c r="V11" s="2650" t="e">
        <f t="shared" si="1"/>
        <v>#DIV/0!</v>
      </c>
      <c r="W11" s="3926" t="s">
        <v>2736</v>
      </c>
      <c r="X11" s="1032" t="s">
        <v>2721</v>
      </c>
      <c r="Y11" s="1577">
        <f>$G$3</f>
        <v>2.8</v>
      </c>
      <c r="Z11" s="1577">
        <f t="shared" ref="Z11:AJ11" si="3">$G$3</f>
        <v>2.8</v>
      </c>
      <c r="AA11" s="1577">
        <f t="shared" si="3"/>
        <v>2.8</v>
      </c>
      <c r="AB11" s="1577">
        <f t="shared" si="3"/>
        <v>2.8</v>
      </c>
      <c r="AC11" s="1577">
        <f t="shared" si="3"/>
        <v>2.8</v>
      </c>
      <c r="AD11" s="1577">
        <f t="shared" si="3"/>
        <v>2.8</v>
      </c>
      <c r="AE11" s="1577">
        <f t="shared" si="3"/>
        <v>2.8</v>
      </c>
      <c r="AF11" s="1577">
        <f t="shared" si="3"/>
        <v>2.8</v>
      </c>
      <c r="AG11" s="1577">
        <f t="shared" si="3"/>
        <v>2.8</v>
      </c>
      <c r="AH11" s="1577">
        <f t="shared" si="3"/>
        <v>2.8</v>
      </c>
      <c r="AI11" s="1577">
        <f t="shared" si="3"/>
        <v>2.8</v>
      </c>
      <c r="AJ11" s="1577">
        <f t="shared" si="3"/>
        <v>2.8</v>
      </c>
    </row>
    <row r="12" spans="1:39" ht="25.5" thickBot="1">
      <c r="A12" s="3916" t="s">
        <v>1838</v>
      </c>
      <c r="B12" s="1383" t="s">
        <v>914</v>
      </c>
      <c r="C12" s="1027">
        <f>ROUND(C15*D15*E15*F15*G15*H15*I15*J15,4)</f>
        <v>1</v>
      </c>
      <c r="D12" s="1384" t="s">
        <v>915</v>
      </c>
      <c r="E12" s="1385"/>
      <c r="F12" s="1385"/>
      <c r="G12" s="1386"/>
      <c r="H12" s="1386"/>
      <c r="I12" s="1386"/>
      <c r="J12" s="1387"/>
      <c r="K12" s="3226"/>
      <c r="L12" s="1798" t="s">
        <v>2214</v>
      </c>
      <c r="M12" s="1799">
        <f>SUMPRODUCT((区片价!B338:B344=I2)*(区片价!C3:F3=E2)*(区片价!C338:F344))</f>
        <v>0</v>
      </c>
      <c r="N12" s="1800">
        <f>SUMPRODUCT((因素修正幅度!B338:B344=I2)*(因素修正幅度!C3:F3=E2)*(因素修正幅度!C338:F344))</f>
        <v>0</v>
      </c>
      <c r="O12" s="3226"/>
      <c r="P12" s="2066"/>
      <c r="Q12" s="2066"/>
      <c r="R12" s="2650">
        <v>11</v>
      </c>
      <c r="S12" s="2639"/>
      <c r="T12" s="2650" t="e">
        <f t="shared" si="0"/>
        <v>#DIV/0!</v>
      </c>
      <c r="U12" s="2639"/>
      <c r="V12" s="2650" t="e">
        <f t="shared" si="1"/>
        <v>#DIV/0!</v>
      </c>
      <c r="W12" s="3926"/>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918"/>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926"/>
      <c r="X13" s="2647"/>
      <c r="Y13" s="2646">
        <f>(-0.163*(Y12^2)-0.59*Y12+7617)*(10^(-4))/Y11</f>
        <v>0.27203571428571433</v>
      </c>
      <c r="Z13" s="2646">
        <f t="shared" ref="Z13:AJ13" si="5">(-0.163*(Z12^2)-0.59*Z12+7617)*(10^(-4))/Z11</f>
        <v>0.27203571428571433</v>
      </c>
      <c r="AA13" s="2646">
        <f t="shared" si="5"/>
        <v>0.27203571428571433</v>
      </c>
      <c r="AB13" s="2646">
        <f t="shared" si="5"/>
        <v>0.27203571428571433</v>
      </c>
      <c r="AC13" s="2646">
        <f t="shared" si="5"/>
        <v>0.27203571428571433</v>
      </c>
      <c r="AD13" s="2646">
        <f t="shared" si="5"/>
        <v>0.27203571428571433</v>
      </c>
      <c r="AE13" s="2646">
        <f t="shared" si="5"/>
        <v>0.27203571428571433</v>
      </c>
      <c r="AF13" s="2646">
        <f t="shared" si="5"/>
        <v>0.27203571428571433</v>
      </c>
      <c r="AG13" s="2646">
        <f t="shared" si="5"/>
        <v>0.27203571428571433</v>
      </c>
      <c r="AH13" s="2646">
        <f t="shared" si="5"/>
        <v>0.27203571428571433</v>
      </c>
      <c r="AI13" s="2646">
        <f t="shared" si="5"/>
        <v>0.27203571428571433</v>
      </c>
      <c r="AJ13" s="2646">
        <f t="shared" si="5"/>
        <v>0.27203571428571433</v>
      </c>
    </row>
    <row r="14" spans="1:39" ht="12.75" customHeight="1">
      <c r="A14" s="3918"/>
      <c r="B14" s="1395"/>
      <c r="C14" s="1396"/>
      <c r="D14" s="1397"/>
      <c r="E14" s="1397"/>
      <c r="F14" s="1398"/>
      <c r="G14" s="1399" t="s">
        <v>917</v>
      </c>
      <c r="H14" s="1400"/>
      <c r="I14" s="1401"/>
      <c r="J14" s="1402"/>
      <c r="K14" s="3227"/>
      <c r="L14" s="3227"/>
      <c r="M14" s="3227"/>
      <c r="N14" s="3227"/>
      <c r="O14" s="3227"/>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919"/>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916" t="s">
        <v>1805</v>
      </c>
      <c r="B16" s="1371" t="s">
        <v>918</v>
      </c>
      <c r="C16" s="1036" t="e">
        <f>ROUND(IF(F17="与级别开发程度一致",0,(G17-E17)/C17),0)</f>
        <v>#DIV/0!</v>
      </c>
      <c r="D16" s="3934" t="s">
        <v>922</v>
      </c>
      <c r="E16" s="3935"/>
      <c r="F16" s="3934" t="s">
        <v>919</v>
      </c>
      <c r="G16" s="3935"/>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920"/>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5"/>
      <c r="L18" s="2826"/>
      <c r="M18" s="2826"/>
      <c r="N18" s="2826"/>
      <c r="O18" s="2826"/>
      <c r="P18" s="3230"/>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2929</v>
      </c>
      <c r="I19" s="2499" t="str">
        <f>IF(H19="季度增幅（自定义）",SUMIF(N21:N24,E2,O21:O24),"")</f>
        <v/>
      </c>
      <c r="J19" s="1407"/>
      <c r="K19" s="3225"/>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2964</v>
      </c>
      <c r="C21" s="1138" t="b">
        <f>IF(B21="容积率修正",IF(G3&lt;=10,D22,J22),C23)</f>
        <v>0</v>
      </c>
      <c r="D21" s="1417"/>
      <c r="E21" s="1417"/>
      <c r="F21" s="1417"/>
      <c r="G21" s="1417"/>
      <c r="H21" s="1417"/>
      <c r="I21" s="1417"/>
      <c r="J21" s="1418"/>
      <c r="K21" s="3225"/>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2.8</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1"/>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2"/>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2"/>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6"/>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6"/>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6"/>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6"/>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3"/>
      <c r="L29" s="3233"/>
      <c r="M29" s="3233"/>
      <c r="N29" s="3233"/>
      <c r="O29" s="3233"/>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6"/>
      <c r="L30" s="3226"/>
      <c r="M30" s="3226"/>
      <c r="N30" s="3226"/>
      <c r="O30" s="3226"/>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6"/>
      <c r="L31" s="3226"/>
      <c r="M31" s="3226"/>
      <c r="N31" s="3226"/>
      <c r="O31" s="3226"/>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4"/>
      <c r="L32" s="3234"/>
      <c r="M32" s="3234"/>
      <c r="N32" s="3234"/>
      <c r="O32" s="3234"/>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23"/>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923" t="s">
        <v>2968</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24"/>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924"/>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24"/>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924"/>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25"/>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925"/>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2923</v>
      </c>
      <c r="C41" s="825" t="e">
        <f>ROUND(POWER(1+E41,H41-G41)*(POWER(1+E41,G41)-1)/(POWER(1+E41,H41)-1),4)</f>
        <v>#DIV/0!</v>
      </c>
      <c r="D41" s="369" t="s">
        <v>2921</v>
      </c>
      <c r="E41" s="2824">
        <f>G20</f>
        <v>0</v>
      </c>
      <c r="F41" s="369" t="s">
        <v>2922</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988</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2879</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2878</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998</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2880</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2878</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2878</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2878</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21" t="s">
        <v>1601</v>
      </c>
      <c r="B90" s="3921"/>
      <c r="C90" s="3921"/>
      <c r="D90" s="3921"/>
      <c r="E90" s="3921"/>
      <c r="F90" s="3921"/>
      <c r="G90" s="3921"/>
      <c r="H90" s="3921"/>
      <c r="I90" s="3921"/>
      <c r="J90" s="3921"/>
      <c r="K90" s="2301"/>
      <c r="L90" s="2301"/>
      <c r="M90" s="2301"/>
      <c r="N90" s="2301"/>
    </row>
    <row r="91" spans="1:40">
      <c r="A91" s="3922" t="s">
        <v>1411</v>
      </c>
      <c r="B91" s="3922" t="s">
        <v>1602</v>
      </c>
      <c r="C91" s="1120" t="s">
        <v>1603</v>
      </c>
      <c r="D91" s="1121"/>
      <c r="E91" s="1121"/>
      <c r="F91" s="1121"/>
      <c r="G91" s="1121"/>
      <c r="H91" s="1121"/>
      <c r="I91" s="1121"/>
      <c r="J91" s="1122"/>
      <c r="K91" s="1114"/>
      <c r="L91" s="1114"/>
      <c r="M91" s="1114"/>
      <c r="N91" s="1114"/>
    </row>
    <row r="92" spans="1:40">
      <c r="A92" s="3922"/>
      <c r="B92" s="3922"/>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929"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930"/>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930"/>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930"/>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930"/>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930"/>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930"/>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931"/>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929" t="s">
        <v>1605</v>
      </c>
      <c r="B101" s="1127" t="s">
        <v>874</v>
      </c>
      <c r="C101" s="1128">
        <f>$G$3</f>
        <v>2.8</v>
      </c>
      <c r="D101" s="1128">
        <f t="shared" ref="D101:N101" si="31">$G$3</f>
        <v>2.8</v>
      </c>
      <c r="E101" s="1128">
        <f t="shared" si="31"/>
        <v>2.8</v>
      </c>
      <c r="F101" s="1128">
        <f t="shared" si="31"/>
        <v>2.8</v>
      </c>
      <c r="G101" s="1128">
        <f t="shared" si="31"/>
        <v>2.8</v>
      </c>
      <c r="H101" s="1128">
        <f t="shared" si="31"/>
        <v>2.8</v>
      </c>
      <c r="I101" s="1128">
        <f t="shared" si="31"/>
        <v>2.8</v>
      </c>
      <c r="J101" s="1128">
        <f t="shared" si="31"/>
        <v>2.8</v>
      </c>
      <c r="K101" s="1128">
        <f t="shared" si="31"/>
        <v>2.8</v>
      </c>
      <c r="L101" s="1128">
        <f t="shared" si="31"/>
        <v>2.8</v>
      </c>
      <c r="M101" s="1128">
        <f t="shared" si="31"/>
        <v>2.8</v>
      </c>
      <c r="N101" s="1128">
        <f t="shared" si="31"/>
        <v>2.8</v>
      </c>
    </row>
    <row r="102" spans="1:14">
      <c r="A102" s="3930"/>
      <c r="B102" s="1123">
        <v>1</v>
      </c>
      <c r="C102" s="1124">
        <f>1.9362/C101</f>
        <v>0.6915</v>
      </c>
      <c r="D102" s="1124">
        <f>1.9362/D101</f>
        <v>0.6915</v>
      </c>
      <c r="E102" s="1124">
        <f>1.8629/E101</f>
        <v>0.66532142857142862</v>
      </c>
      <c r="F102" s="1124">
        <f>1.8629/F101</f>
        <v>0.66532142857142862</v>
      </c>
      <c r="G102" s="1124">
        <f>1.8629/G101</f>
        <v>0.66532142857142862</v>
      </c>
      <c r="H102" s="1124">
        <f>1.8629/H101</f>
        <v>0.66532142857142862</v>
      </c>
      <c r="I102" s="1124">
        <f>1.8629/I101</f>
        <v>0.66532142857142862</v>
      </c>
      <c r="J102" s="1124">
        <f>1.942/J101</f>
        <v>0.69357142857142862</v>
      </c>
      <c r="K102" s="1124">
        <f>1.942/K101</f>
        <v>0.69357142857142862</v>
      </c>
      <c r="L102" s="1124">
        <f>1.942/L101</f>
        <v>0.69357142857142862</v>
      </c>
      <c r="M102" s="1124">
        <f>1.942/M101</f>
        <v>0.69357142857142862</v>
      </c>
      <c r="N102" s="1124">
        <f>1.942/N101</f>
        <v>0.69357142857142862</v>
      </c>
    </row>
    <row r="103" spans="1:14">
      <c r="A103" s="3930"/>
      <c r="B103" s="1123">
        <v>2</v>
      </c>
      <c r="C103" s="1124">
        <f>1.4198/C101</f>
        <v>0.50707142857142862</v>
      </c>
      <c r="D103" s="1124">
        <f>1.4198/D101</f>
        <v>0.50707142857142862</v>
      </c>
      <c r="E103" s="1124">
        <f>1.3372/E101</f>
        <v>0.47757142857142859</v>
      </c>
      <c r="F103" s="1124">
        <f>1.3372/F101</f>
        <v>0.47757142857142859</v>
      </c>
      <c r="G103" s="1124">
        <f>1.3372/G101</f>
        <v>0.47757142857142859</v>
      </c>
      <c r="H103" s="1124">
        <f>1.3372/H101</f>
        <v>0.47757142857142859</v>
      </c>
      <c r="I103" s="1124">
        <f>1.3372/I101</f>
        <v>0.47757142857142859</v>
      </c>
      <c r="J103" s="1124">
        <f>1.2799/J101</f>
        <v>0.45710714285714288</v>
      </c>
      <c r="K103" s="1124">
        <f>1.2799/K101</f>
        <v>0.45710714285714288</v>
      </c>
      <c r="L103" s="1124">
        <f>1.2799/L101</f>
        <v>0.45710714285714288</v>
      </c>
      <c r="M103" s="1124">
        <f>1.2799/M101</f>
        <v>0.45710714285714288</v>
      </c>
      <c r="N103" s="1124">
        <f>1.2799/N101</f>
        <v>0.45710714285714288</v>
      </c>
    </row>
    <row r="104" spans="1:14">
      <c r="A104" s="3930"/>
      <c r="B104" s="1123">
        <v>3</v>
      </c>
      <c r="C104" s="1124">
        <f>1.1594/C101</f>
        <v>0.41407142857142859</v>
      </c>
      <c r="D104" s="1124">
        <f>1.1594/D101</f>
        <v>0.41407142857142859</v>
      </c>
      <c r="E104" s="1124">
        <f>1.0788/E101</f>
        <v>0.38528571428571429</v>
      </c>
      <c r="F104" s="1124">
        <f>1.0788/F101</f>
        <v>0.38528571428571429</v>
      </c>
      <c r="G104" s="1124">
        <f>1.0788/G101</f>
        <v>0.38528571428571429</v>
      </c>
      <c r="H104" s="1124">
        <f>1.0788/H101</f>
        <v>0.38528571428571429</v>
      </c>
      <c r="I104" s="1124">
        <f>1.0788/I101</f>
        <v>0.38528571428571429</v>
      </c>
      <c r="J104" s="1124">
        <f>1.0072/J101</f>
        <v>0.35971428571428576</v>
      </c>
      <c r="K104" s="1124">
        <f>1.0072/K101</f>
        <v>0.35971428571428576</v>
      </c>
      <c r="L104" s="1124">
        <f>1.0072/L101</f>
        <v>0.35971428571428576</v>
      </c>
      <c r="M104" s="1124">
        <f>1.0072/M101</f>
        <v>0.35971428571428576</v>
      </c>
      <c r="N104" s="1124">
        <f>1.0072/N101</f>
        <v>0.35971428571428576</v>
      </c>
    </row>
    <row r="105" spans="1:14">
      <c r="A105" s="3930"/>
      <c r="B105" s="1123">
        <v>4</v>
      </c>
      <c r="C105" s="1124">
        <f>0.9622/C101</f>
        <v>0.34364285714285719</v>
      </c>
      <c r="D105" s="1124">
        <f>0.9622/D101</f>
        <v>0.34364285714285719</v>
      </c>
      <c r="E105" s="1124">
        <f>0.8656/E101</f>
        <v>0.30914285714285716</v>
      </c>
      <c r="F105" s="1124">
        <f>0.8656/F101</f>
        <v>0.30914285714285716</v>
      </c>
      <c r="G105" s="1124">
        <f>0.8656/G101</f>
        <v>0.30914285714285716</v>
      </c>
      <c r="H105" s="1124">
        <f>0.8656/H101</f>
        <v>0.30914285714285716</v>
      </c>
      <c r="I105" s="1124">
        <f>0.8656/I101</f>
        <v>0.30914285714285716</v>
      </c>
      <c r="J105" s="1124">
        <f>0.7525/J101</f>
        <v>0.26874999999999999</v>
      </c>
      <c r="K105" s="1124">
        <f>0.7525/K101</f>
        <v>0.26874999999999999</v>
      </c>
      <c r="L105" s="1124">
        <f>0.7525/L101</f>
        <v>0.26874999999999999</v>
      </c>
      <c r="M105" s="1124">
        <f>0.7525/M101</f>
        <v>0.26874999999999999</v>
      </c>
      <c r="N105" s="1124">
        <f>0.7525/N101</f>
        <v>0.26874999999999999</v>
      </c>
    </row>
    <row r="106" spans="1:14">
      <c r="A106" s="3930"/>
      <c r="B106" s="1123">
        <v>5</v>
      </c>
      <c r="C106" s="1124">
        <f>0.8417/C101</f>
        <v>0.30060714285714285</v>
      </c>
      <c r="D106" s="1124">
        <f>0.8417/D101</f>
        <v>0.30060714285714285</v>
      </c>
      <c r="E106" s="1124">
        <f>0.7371/E101</f>
        <v>0.26324999999999998</v>
      </c>
      <c r="F106" s="1124">
        <f>0.7371/F101</f>
        <v>0.26324999999999998</v>
      </c>
      <c r="G106" s="1124">
        <f>0.7371/G101</f>
        <v>0.26324999999999998</v>
      </c>
      <c r="H106" s="1124">
        <f>0.7371/H101</f>
        <v>0.26324999999999998</v>
      </c>
      <c r="I106" s="1124">
        <f>0.7371/I101</f>
        <v>0.26324999999999998</v>
      </c>
      <c r="J106" s="1124">
        <f>0.5659/J101</f>
        <v>0.20210714285714285</v>
      </c>
      <c r="K106" s="1124">
        <f>0.5659/K101</f>
        <v>0.20210714285714285</v>
      </c>
      <c r="L106" s="1124">
        <f>0.5659/L101</f>
        <v>0.20210714285714285</v>
      </c>
      <c r="M106" s="1124">
        <f>0.5659/M101</f>
        <v>0.20210714285714285</v>
      </c>
      <c r="N106" s="1124">
        <f>0.5659/N101</f>
        <v>0.20210714285714285</v>
      </c>
    </row>
    <row r="107" spans="1:14">
      <c r="A107" s="3930"/>
      <c r="B107" s="1123">
        <v>6</v>
      </c>
      <c r="C107" s="1124">
        <f>0.7608/C101</f>
        <v>0.27171428571428574</v>
      </c>
      <c r="D107" s="1124">
        <f>0.7608/D101</f>
        <v>0.27171428571428574</v>
      </c>
      <c r="E107" s="1124">
        <f>0.6482/E101</f>
        <v>0.23150000000000001</v>
      </c>
      <c r="F107" s="1124">
        <f>0.6482/F101</f>
        <v>0.23150000000000001</v>
      </c>
      <c r="G107" s="1124">
        <f>0.6482/G101</f>
        <v>0.23150000000000001</v>
      </c>
      <c r="H107" s="1124">
        <f>0.6482/H101</f>
        <v>0.23150000000000001</v>
      </c>
      <c r="I107" s="1124">
        <f>0.6482/I101</f>
        <v>0.23150000000000001</v>
      </c>
      <c r="J107" s="1124">
        <f>0.4525/J101</f>
        <v>0.16160714285714287</v>
      </c>
      <c r="K107" s="1124">
        <f>0.4525/K101</f>
        <v>0.16160714285714287</v>
      </c>
      <c r="L107" s="1124">
        <f>0.4525/L101</f>
        <v>0.16160714285714287</v>
      </c>
      <c r="M107" s="1124">
        <f>0.4525/M101</f>
        <v>0.16160714285714287</v>
      </c>
      <c r="N107" s="1124">
        <f>0.4525/N101</f>
        <v>0.16160714285714287</v>
      </c>
    </row>
    <row r="108" spans="1:14">
      <c r="A108" s="3930"/>
      <c r="B108" s="3932"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931"/>
      <c r="B109" s="3933"/>
      <c r="C109" s="1126">
        <f>(-0.163*(C108^2)-0.59*C108+7617)*(10^(-4))/C101</f>
        <v>0.27149457142857142</v>
      </c>
      <c r="D109" s="1126">
        <f>(-0.163*(D108^2)-0.59*D108+7617)*(10^(-4))/D101</f>
        <v>0.27149457142857142</v>
      </c>
      <c r="E109" s="1126">
        <f>(-0.161*(E108^2)-7.509*E108+6533)*(10^(-4))/E101</f>
        <v>0.23080800000000001</v>
      </c>
      <c r="F109" s="1126">
        <f>(-0.161*(F108^2)-7.509*F108+6533)*(10^(-4))/F101</f>
        <v>0.23080800000000001</v>
      </c>
      <c r="G109" s="1126">
        <f>(-0.161*(G108^2)-7.509*G108+6533)*(10^(-4))/G101</f>
        <v>0.23080800000000001</v>
      </c>
      <c r="H109" s="1126">
        <f>(-0.161*(H108^2)-7.509*H108+6533)*(10^(-4))/H101</f>
        <v>0.23080800000000001</v>
      </c>
      <c r="I109" s="1126">
        <f>(-0.161*(I108^2)-7.509*I108+6533)*(10^(-4))/I101</f>
        <v>0.23080800000000001</v>
      </c>
      <c r="J109" s="1126">
        <f>(-0.214*(J108^2)-21.991*J108+4665)*(10^(-4))/J101</f>
        <v>0.15983485714285717</v>
      </c>
      <c r="K109" s="1126">
        <f>(-0.214*(K108^2)-21.991*K108+4665)*(10^(-4))/K101</f>
        <v>0.15983485714285717</v>
      </c>
      <c r="L109" s="1126">
        <f>(-0.214*(L108^2)-21.991*L108+4665)*(10^(-4))/L101</f>
        <v>0.15983485714285717</v>
      </c>
      <c r="M109" s="1126">
        <f>(-0.214*(M108^2)-21.991*M108+4665)*(10^(-4))/M101</f>
        <v>0.15983485714285717</v>
      </c>
      <c r="N109" s="1126">
        <f>(-0.214*(N108^2)-21.991*N108+4665)*(10^(-4))/N101</f>
        <v>0.15983485714285717</v>
      </c>
    </row>
    <row r="110" spans="1:14">
      <c r="A110" s="3915" t="s">
        <v>1607</v>
      </c>
      <c r="B110" s="3915"/>
      <c r="C110" s="3915"/>
      <c r="D110" s="3915"/>
      <c r="E110" s="3915"/>
      <c r="F110" s="3915"/>
      <c r="G110" s="3915"/>
      <c r="H110" s="3915"/>
      <c r="I110" s="3915"/>
      <c r="J110" s="3915"/>
      <c r="K110" s="2299"/>
      <c r="L110" s="2299"/>
      <c r="M110" s="2299"/>
      <c r="N110" s="2299"/>
    </row>
    <row r="112" spans="1:14" ht="12.75" thickBot="1"/>
    <row r="113" spans="1:13" ht="25.5" thickBot="1">
      <c r="A113" s="1000" t="s">
        <v>864</v>
      </c>
      <c r="B113" s="2302">
        <f>G3</f>
        <v>2.8</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0.90720000000000001</v>
      </c>
      <c r="C115" s="1014">
        <f>B115</f>
        <v>0.90720000000000001</v>
      </c>
      <c r="D115" s="1014">
        <f>ROUND(0.8331-0.0109*B113,4)</f>
        <v>0.80259999999999998</v>
      </c>
      <c r="E115" s="1014">
        <f>D115</f>
        <v>0.80259999999999998</v>
      </c>
      <c r="F115" s="1014">
        <f>E115</f>
        <v>0.80259999999999998</v>
      </c>
      <c r="G115" s="1014">
        <f>F115</f>
        <v>0.80259999999999998</v>
      </c>
      <c r="H115" s="1014">
        <f>G115</f>
        <v>0.80259999999999998</v>
      </c>
      <c r="I115" s="1014">
        <f>ROUND(0.689-0.0155*B113,4)</f>
        <v>0.64559999999999995</v>
      </c>
      <c r="J115" s="1014">
        <f t="shared" ref="J115:M118" si="33">I115</f>
        <v>0.64559999999999995</v>
      </c>
      <c r="K115" s="1014">
        <f t="shared" si="33"/>
        <v>0.64559999999999995</v>
      </c>
      <c r="L115" s="1014">
        <f t="shared" si="33"/>
        <v>0.64559999999999995</v>
      </c>
      <c r="M115" s="1015">
        <f t="shared" si="33"/>
        <v>0.64559999999999995</v>
      </c>
    </row>
    <row r="116" spans="1:13" ht="12.75">
      <c r="A116" s="1013" t="s">
        <v>869</v>
      </c>
      <c r="B116" s="1014">
        <f>ROUND(0.949-0.012*B113,4)</f>
        <v>0.91539999999999999</v>
      </c>
      <c r="C116" s="1014">
        <f>B116</f>
        <v>0.91539999999999999</v>
      </c>
      <c r="D116" s="1014">
        <f>ROUND(0.8567-0.013*B113,4)</f>
        <v>0.82030000000000003</v>
      </c>
      <c r="E116" s="1014">
        <f t="shared" ref="E116:H117" si="34">D116</f>
        <v>0.82030000000000003</v>
      </c>
      <c r="F116" s="1014">
        <f t="shared" si="34"/>
        <v>0.82030000000000003</v>
      </c>
      <c r="G116" s="1014">
        <f t="shared" si="34"/>
        <v>0.82030000000000003</v>
      </c>
      <c r="H116" s="1014">
        <f t="shared" si="34"/>
        <v>0.82030000000000003</v>
      </c>
      <c r="I116" s="1014">
        <f>ROUND(0.7694-0.014*B113,4)</f>
        <v>0.73019999999999996</v>
      </c>
      <c r="J116" s="1014">
        <f t="shared" si="33"/>
        <v>0.73019999999999996</v>
      </c>
      <c r="K116" s="1014">
        <f t="shared" si="33"/>
        <v>0.73019999999999996</v>
      </c>
      <c r="L116" s="1014">
        <f t="shared" si="33"/>
        <v>0.73019999999999996</v>
      </c>
      <c r="M116" s="1015">
        <f t="shared" si="33"/>
        <v>0.73019999999999996</v>
      </c>
    </row>
    <row r="117" spans="1:13" ht="12.75">
      <c r="A117" s="1016" t="s">
        <v>870</v>
      </c>
      <c r="B117" s="1014">
        <f>ROUND(0.8808-0.006*B113,4)</f>
        <v>0.86399999999999999</v>
      </c>
      <c r="C117" s="1014">
        <f>B117</f>
        <v>0.86399999999999999</v>
      </c>
      <c r="D117" s="1014">
        <f>ROUND(0.8748-0.008*B113,4)</f>
        <v>0.85240000000000005</v>
      </c>
      <c r="E117" s="1014">
        <f t="shared" si="34"/>
        <v>0.85240000000000005</v>
      </c>
      <c r="F117" s="1014">
        <f t="shared" si="34"/>
        <v>0.85240000000000005</v>
      </c>
      <c r="G117" s="1014">
        <f t="shared" si="34"/>
        <v>0.85240000000000005</v>
      </c>
      <c r="H117" s="1014">
        <f t="shared" si="34"/>
        <v>0.85240000000000005</v>
      </c>
      <c r="I117" s="1014">
        <f>ROUND(0.7412-0.0095*B113,4)</f>
        <v>0.71460000000000001</v>
      </c>
      <c r="J117" s="1014">
        <f t="shared" si="33"/>
        <v>0.71460000000000001</v>
      </c>
      <c r="K117" s="1014">
        <f t="shared" si="33"/>
        <v>0.71460000000000001</v>
      </c>
      <c r="L117" s="1014">
        <f t="shared" si="33"/>
        <v>0.71460000000000001</v>
      </c>
      <c r="M117" s="1015">
        <f t="shared" si="33"/>
        <v>0.71460000000000001</v>
      </c>
    </row>
    <row r="118" spans="1:13" ht="13.5" thickBot="1">
      <c r="A118" s="1017" t="s">
        <v>871</v>
      </c>
      <c r="B118" s="1018">
        <f>ROUND(0.7275-0.01*B113,4)</f>
        <v>0.69950000000000001</v>
      </c>
      <c r="C118" s="1018">
        <f>B118</f>
        <v>0.69950000000000001</v>
      </c>
      <c r="D118" s="1018">
        <f>ROUND(0.7043-0.012*B113,4)</f>
        <v>0.67069999999999996</v>
      </c>
      <c r="E118" s="1018">
        <f>D118</f>
        <v>0.67069999999999996</v>
      </c>
      <c r="F118" s="1018">
        <f>E118</f>
        <v>0.67069999999999996</v>
      </c>
      <c r="G118" s="1018">
        <f>ROUND(0.6299-0.0122*B113,4)</f>
        <v>0.59570000000000001</v>
      </c>
      <c r="H118" s="1018">
        <f>G118</f>
        <v>0.59570000000000001</v>
      </c>
      <c r="I118" s="1018">
        <f>ROUND(0.5667-0.0136*B113,4)</f>
        <v>0.52859999999999996</v>
      </c>
      <c r="J118" s="1018">
        <f t="shared" si="33"/>
        <v>0.52859999999999996</v>
      </c>
      <c r="K118" s="1018">
        <f t="shared" si="33"/>
        <v>0.52859999999999996</v>
      </c>
      <c r="L118" s="1018">
        <f t="shared" si="33"/>
        <v>0.52859999999999996</v>
      </c>
      <c r="M118" s="1019">
        <f t="shared" si="33"/>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922" t="s">
        <v>975</v>
      </c>
      <c r="B18" s="1134" t="s">
        <v>1414</v>
      </c>
      <c r="C18" s="1111" t="s">
        <v>1415</v>
      </c>
      <c r="D18" s="1112"/>
      <c r="E18" s="1134">
        <v>1</v>
      </c>
      <c r="F18" s="1113" t="s">
        <v>1416</v>
      </c>
      <c r="G18" s="1114"/>
      <c r="H18" s="1085"/>
      <c r="I18" s="1085"/>
    </row>
    <row r="19" spans="1:9" s="1525" customFormat="1" ht="19.5" customHeight="1">
      <c r="A19" s="3922"/>
      <c r="B19" s="3922" t="s">
        <v>1417</v>
      </c>
      <c r="C19" s="1111" t="s">
        <v>1418</v>
      </c>
      <c r="D19" s="1112"/>
      <c r="E19" s="1134">
        <v>0.9</v>
      </c>
      <c r="F19" s="1113" t="s">
        <v>1419</v>
      </c>
      <c r="G19" s="1114"/>
      <c r="H19" s="1085"/>
      <c r="I19" s="1085"/>
    </row>
    <row r="20" spans="1:9" s="1525" customFormat="1" ht="19.5" customHeight="1">
      <c r="A20" s="3922"/>
      <c r="B20" s="3922"/>
      <c r="C20" s="1111" t="s">
        <v>1420</v>
      </c>
      <c r="D20" s="1112"/>
      <c r="E20" s="1134">
        <v>1.1000000000000001</v>
      </c>
      <c r="F20" s="1113" t="s">
        <v>1421</v>
      </c>
      <c r="G20" s="1114"/>
      <c r="H20" s="1085"/>
      <c r="I20" s="1085"/>
    </row>
    <row r="21" spans="1:9" s="1525" customFormat="1" ht="19.5" customHeight="1">
      <c r="A21" s="3922"/>
      <c r="B21" s="3922"/>
      <c r="C21" s="1111" t="s">
        <v>1422</v>
      </c>
      <c r="D21" s="1112"/>
      <c r="E21" s="1134">
        <v>0.8</v>
      </c>
      <c r="F21" s="1113" t="s">
        <v>1423</v>
      </c>
      <c r="G21" s="1114"/>
      <c r="H21" s="1085"/>
      <c r="I21" s="1085"/>
    </row>
    <row r="22" spans="1:9" s="1525" customFormat="1" ht="19.5" customHeight="1">
      <c r="A22" s="3922"/>
      <c r="B22" s="3922"/>
      <c r="C22" s="1111" t="s">
        <v>1424</v>
      </c>
      <c r="D22" s="1112"/>
      <c r="E22" s="1134">
        <v>0.5</v>
      </c>
      <c r="F22" s="1113"/>
      <c r="G22" s="1114"/>
      <c r="H22" s="1085"/>
      <c r="I22" s="1085"/>
    </row>
    <row r="23" spans="1:9" s="1525" customFormat="1" ht="19.5" customHeight="1">
      <c r="A23" s="3922" t="s">
        <v>997</v>
      </c>
      <c r="B23" s="1134" t="s">
        <v>1414</v>
      </c>
      <c r="C23" s="1111" t="s">
        <v>1425</v>
      </c>
      <c r="D23" s="1112"/>
      <c r="E23" s="1134">
        <v>1</v>
      </c>
      <c r="F23" s="1113" t="s">
        <v>1426</v>
      </c>
      <c r="G23" s="1114"/>
      <c r="H23" s="1085"/>
      <c r="I23" s="1085"/>
    </row>
    <row r="24" spans="1:9" s="1525" customFormat="1" ht="19.5" customHeight="1">
      <c r="A24" s="3922"/>
      <c r="B24" s="3922" t="s">
        <v>1417</v>
      </c>
      <c r="C24" s="1111" t="s">
        <v>1427</v>
      </c>
      <c r="D24" s="1112"/>
      <c r="E24" s="1134">
        <v>0.5</v>
      </c>
      <c r="F24" s="1113"/>
      <c r="G24" s="1114"/>
      <c r="H24" s="1085"/>
      <c r="I24" s="1085"/>
    </row>
    <row r="25" spans="1:9" s="1525" customFormat="1" ht="19.5" customHeight="1">
      <c r="A25" s="3922"/>
      <c r="B25" s="3922"/>
      <c r="C25" s="1111" t="s">
        <v>1428</v>
      </c>
      <c r="D25" s="1112"/>
      <c r="E25" s="1134">
        <v>1.1000000000000001</v>
      </c>
      <c r="F25" s="1113"/>
      <c r="G25" s="1114"/>
      <c r="H25" s="1085"/>
      <c r="I25" s="1085"/>
    </row>
    <row r="26" spans="1:9" s="1525" customFormat="1" ht="19.5" customHeight="1">
      <c r="A26" s="3922"/>
      <c r="B26" s="3922"/>
      <c r="C26" s="1111" t="s">
        <v>1429</v>
      </c>
      <c r="D26" s="1112"/>
      <c r="E26" s="1134">
        <v>1.1000000000000001</v>
      </c>
      <c r="F26" s="1113"/>
      <c r="G26" s="1114"/>
      <c r="H26" s="1085"/>
      <c r="I26" s="1085"/>
    </row>
    <row r="27" spans="1:9" s="1525" customFormat="1" ht="19.5" customHeight="1">
      <c r="A27" s="3922"/>
      <c r="B27" s="3922"/>
      <c r="C27" s="1111" t="s">
        <v>1430</v>
      </c>
      <c r="D27" s="1112"/>
      <c r="E27" s="1134">
        <v>0.9</v>
      </c>
      <c r="F27" s="1113" t="s">
        <v>1431</v>
      </c>
      <c r="G27" s="1114"/>
      <c r="H27" s="1085"/>
      <c r="I27" s="1085"/>
    </row>
    <row r="28" spans="1:9" s="1525" customFormat="1" ht="19.5" customHeight="1">
      <c r="A28" s="3922"/>
      <c r="B28" s="3922"/>
      <c r="C28" s="1111" t="s">
        <v>1432</v>
      </c>
      <c r="D28" s="1112"/>
      <c r="E28" s="1134">
        <v>0.9</v>
      </c>
      <c r="F28" s="1113" t="s">
        <v>1433</v>
      </c>
      <c r="G28" s="1114"/>
      <c r="H28" s="1085"/>
      <c r="I28" s="1085"/>
    </row>
    <row r="29" spans="1:9" s="1525" customFormat="1" ht="19.5" customHeight="1">
      <c r="A29" s="3922"/>
      <c r="B29" s="3922"/>
      <c r="C29" s="1111" t="s">
        <v>1434</v>
      </c>
      <c r="D29" s="1112"/>
      <c r="E29" s="1134">
        <v>0.9</v>
      </c>
      <c r="F29" s="1113" t="s">
        <v>1435</v>
      </c>
      <c r="G29" s="1114"/>
      <c r="H29" s="1085"/>
      <c r="I29" s="1085"/>
    </row>
    <row r="30" spans="1:9" s="1525" customFormat="1" ht="19.5" customHeight="1">
      <c r="A30" s="3922"/>
      <c r="B30" s="3922"/>
      <c r="C30" s="1111" t="s">
        <v>1436</v>
      </c>
      <c r="D30" s="1112"/>
      <c r="E30" s="1134">
        <v>0.9</v>
      </c>
      <c r="F30" s="1113" t="s">
        <v>1437</v>
      </c>
      <c r="G30" s="1114"/>
      <c r="H30" s="1085"/>
      <c r="I30" s="1085"/>
    </row>
    <row r="31" spans="1:9" s="1525" customFormat="1" ht="19.5" customHeight="1">
      <c r="A31" s="3922"/>
      <c r="B31" s="3922"/>
      <c r="C31" s="1111" t="s">
        <v>1438</v>
      </c>
      <c r="D31" s="1112"/>
      <c r="E31" s="1134">
        <v>0.8</v>
      </c>
      <c r="F31" s="1113" t="s">
        <v>1439</v>
      </c>
      <c r="G31" s="1114"/>
      <c r="H31" s="1085"/>
      <c r="I31" s="1085"/>
    </row>
    <row r="32" spans="1:9" s="1525" customFormat="1" ht="19.5" customHeight="1">
      <c r="A32" s="3922"/>
      <c r="B32" s="3922"/>
      <c r="C32" s="1111" t="s">
        <v>1440</v>
      </c>
      <c r="D32" s="1112"/>
      <c r="E32" s="1134">
        <v>0.8</v>
      </c>
      <c r="F32" s="1113" t="s">
        <v>1441</v>
      </c>
      <c r="G32" s="1114"/>
      <c r="H32" s="1085"/>
      <c r="I32" s="1085"/>
    </row>
    <row r="33" spans="1:9" s="1525" customFormat="1" ht="19.5" customHeight="1">
      <c r="A33" s="3922" t="s">
        <v>1442</v>
      </c>
      <c r="B33" s="1134" t="s">
        <v>1414</v>
      </c>
      <c r="C33" s="1111" t="s">
        <v>1443</v>
      </c>
      <c r="D33" s="1112"/>
      <c r="E33" s="1134">
        <v>1</v>
      </c>
      <c r="F33" s="1113" t="s">
        <v>1444</v>
      </c>
      <c r="G33" s="1114"/>
      <c r="H33" s="1085"/>
      <c r="I33" s="1085"/>
    </row>
    <row r="34" spans="1:9" s="1525" customFormat="1" ht="19.5" customHeight="1">
      <c r="A34" s="3922"/>
      <c r="B34" s="1134" t="s">
        <v>1417</v>
      </c>
      <c r="C34" s="1111" t="s">
        <v>1445</v>
      </c>
      <c r="D34" s="1112"/>
      <c r="E34" s="1134">
        <v>1.5</v>
      </c>
      <c r="F34" s="1113" t="s">
        <v>1446</v>
      </c>
      <c r="G34" s="1114"/>
      <c r="H34" s="1085"/>
      <c r="I34" s="1085"/>
    </row>
    <row r="35" spans="1:9" s="1525" customFormat="1" ht="19.5" customHeight="1">
      <c r="A35" s="3922" t="s">
        <v>1400</v>
      </c>
      <c r="B35" s="1134" t="s">
        <v>1414</v>
      </c>
      <c r="C35" s="1111" t="s">
        <v>1447</v>
      </c>
      <c r="D35" s="1112"/>
      <c r="E35" s="1134">
        <v>1</v>
      </c>
      <c r="F35" s="1113" t="s">
        <v>1448</v>
      </c>
      <c r="G35" s="1114"/>
      <c r="H35" s="1085"/>
      <c r="I35" s="1085"/>
    </row>
    <row r="36" spans="1:9" s="1525" customFormat="1" ht="19.5" customHeight="1">
      <c r="A36" s="3922"/>
      <c r="B36" s="3922" t="s">
        <v>1417</v>
      </c>
      <c r="C36" s="1111" t="s">
        <v>1449</v>
      </c>
      <c r="D36" s="1112"/>
      <c r="E36" s="1134">
        <v>1</v>
      </c>
      <c r="F36" s="1113" t="s">
        <v>1450</v>
      </c>
      <c r="G36" s="1114"/>
      <c r="H36" s="1085"/>
      <c r="I36" s="1085"/>
    </row>
    <row r="37" spans="1:9" s="1525" customFormat="1" ht="19.5" customHeight="1">
      <c r="A37" s="3922"/>
      <c r="B37" s="3922"/>
      <c r="C37" s="1111" t="s">
        <v>1451</v>
      </c>
      <c r="D37" s="1112"/>
      <c r="E37" s="1134">
        <v>1.5</v>
      </c>
      <c r="F37" s="1113" t="s">
        <v>1452</v>
      </c>
      <c r="G37" s="1114"/>
      <c r="H37" s="1085"/>
      <c r="I37" s="1085"/>
    </row>
    <row r="38" spans="1:9" s="1525" customFormat="1" ht="19.5" customHeight="1">
      <c r="A38" s="3922"/>
      <c r="B38" s="3922"/>
      <c r="C38" s="1111" t="s">
        <v>1453</v>
      </c>
      <c r="D38" s="1112"/>
      <c r="E38" s="1134">
        <v>1</v>
      </c>
      <c r="F38" s="1113" t="s">
        <v>1454</v>
      </c>
      <c r="G38" s="1114"/>
      <c r="H38" s="1085"/>
      <c r="I38" s="1085"/>
    </row>
    <row r="39" spans="1:9" s="1525" customFormat="1" ht="19.5" customHeight="1">
      <c r="A39" s="3922"/>
      <c r="B39" s="3922"/>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922" t="s">
        <v>1469</v>
      </c>
      <c r="C61" s="1048" t="s">
        <v>1470</v>
      </c>
      <c r="D61" s="1048" t="s">
        <v>1471</v>
      </c>
      <c r="E61" s="1119">
        <v>0.5</v>
      </c>
      <c r="F61" s="1134">
        <v>80</v>
      </c>
      <c r="H61" s="1085">
        <f>SUMIF(C59:C119,基准地价!C8,E59:E119)</f>
        <v>0</v>
      </c>
    </row>
    <row r="62" spans="1:8" s="1085" customFormat="1" ht="24">
      <c r="A62" s="1134">
        <v>2</v>
      </c>
      <c r="B62" s="3922"/>
      <c r="C62" s="1048" t="s">
        <v>1472</v>
      </c>
      <c r="D62" s="1048" t="s">
        <v>1473</v>
      </c>
      <c r="E62" s="1119">
        <v>0.5</v>
      </c>
      <c r="F62" s="1134">
        <v>80</v>
      </c>
    </row>
    <row r="63" spans="1:8" s="1085" customFormat="1" ht="36">
      <c r="A63" s="1134">
        <v>3</v>
      </c>
      <c r="B63" s="3922"/>
      <c r="C63" s="1048" t="s">
        <v>1474</v>
      </c>
      <c r="D63" s="1048" t="s">
        <v>1475</v>
      </c>
      <c r="E63" s="1119">
        <v>0.5</v>
      </c>
      <c r="F63" s="1134">
        <v>80</v>
      </c>
    </row>
    <row r="64" spans="1:8" s="1085" customFormat="1" ht="36">
      <c r="A64" s="1134">
        <v>4</v>
      </c>
      <c r="B64" s="3922"/>
      <c r="C64" s="1048" t="s">
        <v>1476</v>
      </c>
      <c r="D64" s="1048" t="s">
        <v>1477</v>
      </c>
      <c r="E64" s="1119">
        <v>0.4</v>
      </c>
      <c r="F64" s="1134">
        <v>60</v>
      </c>
    </row>
    <row r="65" spans="1:6" s="1085" customFormat="1" ht="36">
      <c r="A65" s="1134">
        <v>5</v>
      </c>
      <c r="B65" s="3922"/>
      <c r="C65" s="1048" t="s">
        <v>1478</v>
      </c>
      <c r="D65" s="1048" t="s">
        <v>1479</v>
      </c>
      <c r="E65" s="1119">
        <v>0.2</v>
      </c>
      <c r="F65" s="1134">
        <v>30</v>
      </c>
    </row>
    <row r="66" spans="1:6" s="1085" customFormat="1" ht="36">
      <c r="A66" s="1134">
        <v>6</v>
      </c>
      <c r="B66" s="3922"/>
      <c r="C66" s="1048" t="s">
        <v>1480</v>
      </c>
      <c r="D66" s="1048" t="s">
        <v>1481</v>
      </c>
      <c r="E66" s="1119">
        <v>0.3</v>
      </c>
      <c r="F66" s="1134">
        <v>50</v>
      </c>
    </row>
    <row r="67" spans="1:6" s="1085" customFormat="1" ht="36">
      <c r="A67" s="1134">
        <v>7</v>
      </c>
      <c r="B67" s="3922"/>
      <c r="C67" s="1048" t="s">
        <v>1482</v>
      </c>
      <c r="D67" s="1048" t="s">
        <v>1483</v>
      </c>
      <c r="E67" s="1119">
        <v>0.2</v>
      </c>
      <c r="F67" s="1134">
        <v>30</v>
      </c>
    </row>
    <row r="68" spans="1:6" s="1085" customFormat="1" ht="36">
      <c r="A68" s="1134">
        <v>8</v>
      </c>
      <c r="B68" s="3922"/>
      <c r="C68" s="1048" t="s">
        <v>1484</v>
      </c>
      <c r="D68" s="1048" t="s">
        <v>1485</v>
      </c>
      <c r="E68" s="1119">
        <v>0.2</v>
      </c>
      <c r="F68" s="1134">
        <v>30</v>
      </c>
    </row>
    <row r="69" spans="1:6" s="1085" customFormat="1" ht="36">
      <c r="A69" s="1134">
        <v>9</v>
      </c>
      <c r="B69" s="3922"/>
      <c r="C69" s="1048" t="s">
        <v>1486</v>
      </c>
      <c r="D69" s="1048" t="s">
        <v>1487</v>
      </c>
      <c r="E69" s="1119">
        <v>0.2</v>
      </c>
      <c r="F69" s="1134">
        <v>30</v>
      </c>
    </row>
    <row r="70" spans="1:6" s="1085" customFormat="1" ht="48">
      <c r="A70" s="1134">
        <v>10</v>
      </c>
      <c r="B70" s="3922"/>
      <c r="C70" s="1048" t="s">
        <v>1488</v>
      </c>
      <c r="D70" s="1048" t="s">
        <v>1489</v>
      </c>
      <c r="E70" s="1119">
        <v>0.2</v>
      </c>
      <c r="F70" s="1134">
        <v>30</v>
      </c>
    </row>
    <row r="71" spans="1:6" s="1085" customFormat="1" ht="48">
      <c r="A71" s="1134">
        <v>11</v>
      </c>
      <c r="B71" s="3922"/>
      <c r="C71" s="1048" t="s">
        <v>1490</v>
      </c>
      <c r="D71" s="1048" t="s">
        <v>1491</v>
      </c>
      <c r="E71" s="1119">
        <v>0.2</v>
      </c>
      <c r="F71" s="1134">
        <v>30</v>
      </c>
    </row>
    <row r="72" spans="1:6" s="1085" customFormat="1" ht="36">
      <c r="A72" s="1134">
        <v>12</v>
      </c>
      <c r="B72" s="3922"/>
      <c r="C72" s="1048" t="s">
        <v>1492</v>
      </c>
      <c r="D72" s="1048" t="s">
        <v>1493</v>
      </c>
      <c r="E72" s="1119">
        <v>0.5</v>
      </c>
      <c r="F72" s="1134">
        <v>80</v>
      </c>
    </row>
    <row r="73" spans="1:6" s="1085" customFormat="1" ht="24">
      <c r="A73" s="1134">
        <v>13</v>
      </c>
      <c r="B73" s="3922"/>
      <c r="C73" s="1048" t="s">
        <v>1494</v>
      </c>
      <c r="D73" s="1048" t="s">
        <v>1495</v>
      </c>
      <c r="E73" s="1119">
        <v>0.4</v>
      </c>
      <c r="F73" s="1134">
        <v>60</v>
      </c>
    </row>
    <row r="74" spans="1:6" s="1085" customFormat="1" ht="24">
      <c r="A74" s="1134">
        <v>14</v>
      </c>
      <c r="B74" s="3922"/>
      <c r="C74" s="1048" t="s">
        <v>1496</v>
      </c>
      <c r="D74" s="1048" t="s">
        <v>1497</v>
      </c>
      <c r="E74" s="1119">
        <v>0.2</v>
      </c>
      <c r="F74" s="1134">
        <v>30</v>
      </c>
    </row>
    <row r="75" spans="1:6" s="1085" customFormat="1" ht="24">
      <c r="A75" s="1134">
        <v>15</v>
      </c>
      <c r="B75" s="3922"/>
      <c r="C75" s="1048" t="s">
        <v>1498</v>
      </c>
      <c r="D75" s="1048" t="s">
        <v>1499</v>
      </c>
      <c r="E75" s="1119">
        <v>0.2</v>
      </c>
      <c r="F75" s="1134">
        <v>30</v>
      </c>
    </row>
    <row r="76" spans="1:6" s="1085" customFormat="1" ht="24">
      <c r="A76" s="1134">
        <v>16</v>
      </c>
      <c r="B76" s="3922" t="s">
        <v>1500</v>
      </c>
      <c r="C76" s="1048" t="s">
        <v>1501</v>
      </c>
      <c r="D76" s="1048" t="s">
        <v>1502</v>
      </c>
      <c r="E76" s="1119">
        <v>0.5</v>
      </c>
      <c r="F76" s="1134">
        <v>80</v>
      </c>
    </row>
    <row r="77" spans="1:6" s="1085" customFormat="1" ht="24">
      <c r="A77" s="1134">
        <v>17</v>
      </c>
      <c r="B77" s="3922"/>
      <c r="C77" s="1048" t="s">
        <v>1503</v>
      </c>
      <c r="D77" s="1048" t="s">
        <v>1504</v>
      </c>
      <c r="E77" s="1119">
        <v>0.5</v>
      </c>
      <c r="F77" s="1134">
        <v>80</v>
      </c>
    </row>
    <row r="78" spans="1:6" s="1085" customFormat="1" ht="24">
      <c r="A78" s="1134">
        <v>18</v>
      </c>
      <c r="B78" s="3922"/>
      <c r="C78" s="1048" t="s">
        <v>1505</v>
      </c>
      <c r="D78" s="1048" t="s">
        <v>1506</v>
      </c>
      <c r="E78" s="1119">
        <v>0.2</v>
      </c>
      <c r="F78" s="1134">
        <v>30</v>
      </c>
    </row>
    <row r="79" spans="1:6" s="1085" customFormat="1" ht="24">
      <c r="A79" s="1134">
        <v>19</v>
      </c>
      <c r="B79" s="3922"/>
      <c r="C79" s="1048" t="s">
        <v>1507</v>
      </c>
      <c r="D79" s="1048" t="s">
        <v>1508</v>
      </c>
      <c r="E79" s="1119">
        <v>0.5</v>
      </c>
      <c r="F79" s="1134">
        <v>80</v>
      </c>
    </row>
    <row r="80" spans="1:6" s="1085" customFormat="1" ht="36">
      <c r="A80" s="1134">
        <v>20</v>
      </c>
      <c r="B80" s="3922"/>
      <c r="C80" s="1048" t="s">
        <v>1509</v>
      </c>
      <c r="D80" s="1048" t="s">
        <v>1510</v>
      </c>
      <c r="E80" s="1119">
        <v>0.2</v>
      </c>
      <c r="F80" s="1134">
        <v>30</v>
      </c>
    </row>
    <row r="81" spans="1:6" s="1085" customFormat="1" ht="36">
      <c r="A81" s="1134">
        <v>21</v>
      </c>
      <c r="B81" s="3922"/>
      <c r="C81" s="1048" t="s">
        <v>1511</v>
      </c>
      <c r="D81" s="1048" t="s">
        <v>1512</v>
      </c>
      <c r="E81" s="1119">
        <v>0.2</v>
      </c>
      <c r="F81" s="1134">
        <v>30</v>
      </c>
    </row>
    <row r="82" spans="1:6" s="1085" customFormat="1" ht="48">
      <c r="A82" s="1134">
        <v>22</v>
      </c>
      <c r="B82" s="3922"/>
      <c r="C82" s="1048" t="s">
        <v>1513</v>
      </c>
      <c r="D82" s="1048" t="s">
        <v>1514</v>
      </c>
      <c r="E82" s="1119">
        <v>0.2</v>
      </c>
      <c r="F82" s="1134">
        <v>30</v>
      </c>
    </row>
    <row r="83" spans="1:6" s="1085" customFormat="1" ht="48">
      <c r="A83" s="1134">
        <v>23</v>
      </c>
      <c r="B83" s="3922"/>
      <c r="C83" s="1048" t="s">
        <v>1515</v>
      </c>
      <c r="D83" s="1048" t="s">
        <v>1516</v>
      </c>
      <c r="E83" s="1119">
        <v>0.2</v>
      </c>
      <c r="F83" s="1134">
        <v>30</v>
      </c>
    </row>
    <row r="84" spans="1:6" s="1085" customFormat="1" ht="36">
      <c r="A84" s="1134">
        <v>24</v>
      </c>
      <c r="B84" s="3922"/>
      <c r="C84" s="1048" t="s">
        <v>1517</v>
      </c>
      <c r="D84" s="1048" t="s">
        <v>1518</v>
      </c>
      <c r="E84" s="1119">
        <v>0.2</v>
      </c>
      <c r="F84" s="1134">
        <v>30</v>
      </c>
    </row>
    <row r="85" spans="1:6" s="1085" customFormat="1" ht="36">
      <c r="A85" s="1134">
        <v>25</v>
      </c>
      <c r="B85" s="3922"/>
      <c r="C85" s="1048" t="s">
        <v>1519</v>
      </c>
      <c r="D85" s="1048" t="s">
        <v>1520</v>
      </c>
      <c r="E85" s="1119">
        <v>0.5</v>
      </c>
      <c r="F85" s="1134">
        <v>80</v>
      </c>
    </row>
    <row r="86" spans="1:6" s="1085" customFormat="1" ht="36">
      <c r="A86" s="1134">
        <v>26</v>
      </c>
      <c r="B86" s="3922"/>
      <c r="C86" s="1048" t="s">
        <v>1521</v>
      </c>
      <c r="D86" s="1048" t="s">
        <v>1522</v>
      </c>
      <c r="E86" s="1119">
        <v>0.2</v>
      </c>
      <c r="F86" s="1134">
        <v>30</v>
      </c>
    </row>
    <row r="87" spans="1:6" s="1085" customFormat="1" ht="36">
      <c r="A87" s="1134">
        <v>27</v>
      </c>
      <c r="B87" s="3922"/>
      <c r="C87" s="1048" t="s">
        <v>1523</v>
      </c>
      <c r="D87" s="1048" t="s">
        <v>1524</v>
      </c>
      <c r="E87" s="1119">
        <v>0.2</v>
      </c>
      <c r="F87" s="1134">
        <v>30</v>
      </c>
    </row>
    <row r="88" spans="1:6" s="1085" customFormat="1" ht="36">
      <c r="A88" s="1134">
        <v>28</v>
      </c>
      <c r="B88" s="3922"/>
      <c r="C88" s="1048" t="s">
        <v>1525</v>
      </c>
      <c r="D88" s="1048" t="s">
        <v>1526</v>
      </c>
      <c r="E88" s="1119">
        <v>0.2</v>
      </c>
      <c r="F88" s="1134">
        <v>30</v>
      </c>
    </row>
    <row r="89" spans="1:6" s="1085" customFormat="1" ht="24">
      <c r="A89" s="1134">
        <v>29</v>
      </c>
      <c r="B89" s="3922"/>
      <c r="C89" s="1048" t="s">
        <v>1527</v>
      </c>
      <c r="D89" s="1048" t="s">
        <v>1528</v>
      </c>
      <c r="E89" s="1119">
        <v>0.2</v>
      </c>
      <c r="F89" s="1134">
        <v>30</v>
      </c>
    </row>
    <row r="90" spans="1:6" s="1085" customFormat="1" ht="24">
      <c r="A90" s="1134">
        <v>30</v>
      </c>
      <c r="B90" s="3922"/>
      <c r="C90" s="1048" t="s">
        <v>1529</v>
      </c>
      <c r="D90" s="1048" t="s">
        <v>1530</v>
      </c>
      <c r="E90" s="1119">
        <v>0.2</v>
      </c>
      <c r="F90" s="1134">
        <v>30</v>
      </c>
    </row>
    <row r="91" spans="1:6" s="1085" customFormat="1" ht="36">
      <c r="A91" s="1134">
        <v>31</v>
      </c>
      <c r="B91" s="3922"/>
      <c r="C91" s="1048" t="s">
        <v>1531</v>
      </c>
      <c r="D91" s="1048" t="s">
        <v>1532</v>
      </c>
      <c r="E91" s="1119">
        <v>0.2</v>
      </c>
      <c r="F91" s="1134">
        <v>30</v>
      </c>
    </row>
    <row r="92" spans="1:6" s="1085" customFormat="1" ht="24">
      <c r="A92" s="1134">
        <v>32</v>
      </c>
      <c r="B92" s="3922" t="s">
        <v>1533</v>
      </c>
      <c r="C92" s="1134" t="s">
        <v>1534</v>
      </c>
      <c r="D92" s="1048" t="s">
        <v>1535</v>
      </c>
      <c r="E92" s="1119">
        <v>0.2</v>
      </c>
      <c r="F92" s="1134">
        <v>30</v>
      </c>
    </row>
    <row r="93" spans="1:6" s="1085" customFormat="1" ht="36">
      <c r="A93" s="1134">
        <v>33</v>
      </c>
      <c r="B93" s="3922"/>
      <c r="C93" s="1134" t="s">
        <v>1536</v>
      </c>
      <c r="D93" s="1048" t="s">
        <v>1537</v>
      </c>
      <c r="E93" s="1119">
        <v>0.2</v>
      </c>
      <c r="F93" s="1134">
        <v>30</v>
      </c>
    </row>
    <row r="94" spans="1:6" s="1085" customFormat="1" ht="48">
      <c r="A94" s="1134">
        <v>34</v>
      </c>
      <c r="B94" s="3922"/>
      <c r="C94" s="1134" t="s">
        <v>1538</v>
      </c>
      <c r="D94" s="1048" t="s">
        <v>1539</v>
      </c>
      <c r="E94" s="1119">
        <v>0.2</v>
      </c>
      <c r="F94" s="1134">
        <v>30</v>
      </c>
    </row>
    <row r="95" spans="1:6" s="1085" customFormat="1" ht="36">
      <c r="A95" s="1134">
        <v>35</v>
      </c>
      <c r="B95" s="3922"/>
      <c r="C95" s="1134" t="s">
        <v>1540</v>
      </c>
      <c r="D95" s="1048" t="s">
        <v>1541</v>
      </c>
      <c r="E95" s="1119">
        <v>0.2</v>
      </c>
      <c r="F95" s="1134">
        <v>30</v>
      </c>
    </row>
    <row r="96" spans="1:6" s="1085" customFormat="1" ht="48">
      <c r="A96" s="1134">
        <v>36</v>
      </c>
      <c r="B96" s="3922"/>
      <c r="C96" s="1048" t="s">
        <v>1542</v>
      </c>
      <c r="D96" s="1048" t="s">
        <v>1543</v>
      </c>
      <c r="E96" s="1119">
        <v>0.2</v>
      </c>
      <c r="F96" s="1134">
        <v>30</v>
      </c>
    </row>
    <row r="97" spans="1:6" s="1085" customFormat="1" ht="36">
      <c r="A97" s="1134">
        <v>37</v>
      </c>
      <c r="B97" s="3922"/>
      <c r="C97" s="1134" t="s">
        <v>1544</v>
      </c>
      <c r="D97" s="1048" t="s">
        <v>1545</v>
      </c>
      <c r="E97" s="1119">
        <v>0.2</v>
      </c>
      <c r="F97" s="1134">
        <v>30</v>
      </c>
    </row>
    <row r="98" spans="1:6" s="1085" customFormat="1" ht="36">
      <c r="A98" s="1134">
        <v>38</v>
      </c>
      <c r="B98" s="3922"/>
      <c r="C98" s="1134" t="s">
        <v>1546</v>
      </c>
      <c r="D98" s="1048" t="s">
        <v>1547</v>
      </c>
      <c r="E98" s="1119">
        <v>0.2</v>
      </c>
      <c r="F98" s="1134">
        <v>30</v>
      </c>
    </row>
    <row r="99" spans="1:6" s="1085" customFormat="1" ht="36">
      <c r="A99" s="1134">
        <v>39</v>
      </c>
      <c r="B99" s="3922" t="s">
        <v>1548</v>
      </c>
      <c r="C99" s="1134" t="s">
        <v>1549</v>
      </c>
      <c r="D99" s="1048" t="s">
        <v>1550</v>
      </c>
      <c r="E99" s="1119">
        <v>0.3</v>
      </c>
      <c r="F99" s="1134">
        <v>50</v>
      </c>
    </row>
    <row r="100" spans="1:6" s="1085" customFormat="1" ht="24">
      <c r="A100" s="1134">
        <v>40</v>
      </c>
      <c r="B100" s="3922"/>
      <c r="C100" s="1134" t="s">
        <v>1551</v>
      </c>
      <c r="D100" s="1048" t="s">
        <v>1552</v>
      </c>
      <c r="E100" s="1119">
        <v>0.2</v>
      </c>
      <c r="F100" s="1134">
        <v>30</v>
      </c>
    </row>
    <row r="101" spans="1:6" s="1085" customFormat="1" ht="36">
      <c r="A101" s="1134">
        <v>41</v>
      </c>
      <c r="B101" s="3922"/>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922" t="s">
        <v>1563</v>
      </c>
      <c r="C105" s="1134" t="s">
        <v>1564</v>
      </c>
      <c r="D105" s="1048" t="s">
        <v>1565</v>
      </c>
      <c r="E105" s="1119">
        <v>0.2</v>
      </c>
      <c r="F105" s="1134">
        <v>30</v>
      </c>
    </row>
    <row r="106" spans="1:6" s="1085" customFormat="1" ht="36">
      <c r="A106" s="1134">
        <v>46</v>
      </c>
      <c r="B106" s="3922"/>
      <c r="C106" s="1134" t="s">
        <v>1566</v>
      </c>
      <c r="D106" s="1048" t="s">
        <v>1567</v>
      </c>
      <c r="E106" s="1119">
        <v>0.2</v>
      </c>
      <c r="F106" s="1134">
        <v>30</v>
      </c>
    </row>
    <row r="107" spans="1:6" s="1085" customFormat="1" ht="36">
      <c r="A107" s="1134">
        <v>47</v>
      </c>
      <c r="B107" s="3922" t="s">
        <v>1568</v>
      </c>
      <c r="C107" s="1134" t="s">
        <v>1569</v>
      </c>
      <c r="D107" s="1048" t="s">
        <v>1570</v>
      </c>
      <c r="E107" s="1119">
        <v>0.3</v>
      </c>
      <c r="F107" s="1134">
        <v>50</v>
      </c>
    </row>
    <row r="108" spans="1:6" s="1085" customFormat="1" ht="36">
      <c r="A108" s="1134">
        <v>48</v>
      </c>
      <c r="B108" s="3922"/>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922" t="s">
        <v>1579</v>
      </c>
      <c r="C111" s="1134" t="s">
        <v>1580</v>
      </c>
      <c r="D111" s="1048" t="s">
        <v>1581</v>
      </c>
      <c r="E111" s="1119">
        <v>0.2</v>
      </c>
      <c r="F111" s="1134">
        <v>30</v>
      </c>
    </row>
    <row r="112" spans="1:6" s="1085" customFormat="1" ht="24">
      <c r="A112" s="1134">
        <v>52</v>
      </c>
      <c r="B112" s="3922"/>
      <c r="C112" s="1134" t="s">
        <v>1582</v>
      </c>
      <c r="D112" s="1048" t="s">
        <v>1583</v>
      </c>
      <c r="E112" s="1119">
        <v>0.2</v>
      </c>
      <c r="F112" s="1134">
        <v>30</v>
      </c>
    </row>
    <row r="113" spans="1:14" s="1085" customFormat="1" ht="24">
      <c r="A113" s="1134">
        <v>53</v>
      </c>
      <c r="B113" s="3922"/>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922" t="s">
        <v>1592</v>
      </c>
      <c r="C116" s="1134" t="s">
        <v>1593</v>
      </c>
      <c r="D116" s="1048" t="s">
        <v>1594</v>
      </c>
      <c r="E116" s="1119">
        <v>0.2</v>
      </c>
      <c r="F116" s="1134">
        <v>30</v>
      </c>
    </row>
    <row r="117" spans="1:14" ht="36">
      <c r="A117" s="1134">
        <v>57</v>
      </c>
      <c r="B117" s="3922"/>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921" t="s">
        <v>1601</v>
      </c>
      <c r="B121" s="3921"/>
      <c r="C121" s="3921"/>
      <c r="D121" s="3921"/>
      <c r="E121" s="3921"/>
      <c r="F121" s="3921"/>
      <c r="G121" s="3921"/>
      <c r="H121" s="3921"/>
      <c r="I121" s="3921"/>
      <c r="J121" s="3921"/>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936" t="s">
        <v>1007</v>
      </c>
      <c r="B1" s="3936"/>
      <c r="C1" s="3936"/>
      <c r="D1" s="3936"/>
      <c r="E1" s="3936"/>
      <c r="F1" s="3936"/>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937" t="s">
        <v>1020</v>
      </c>
      <c r="B2" s="3937"/>
      <c r="C2" s="3937"/>
      <c r="D2" s="3937"/>
      <c r="E2" s="3937"/>
      <c r="F2" s="3937"/>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938"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939"/>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940" t="s">
        <v>2044</v>
      </c>
      <c r="B1" s="3940"/>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943" t="s">
        <v>2532</v>
      </c>
      <c r="C1" s="3943"/>
      <c r="D1" s="3943"/>
      <c r="E1" s="3943"/>
      <c r="F1" s="3943"/>
      <c r="G1" s="3942" t="s">
        <v>2533</v>
      </c>
      <c r="H1" s="3942"/>
      <c r="I1" s="3942"/>
      <c r="J1" s="3942"/>
      <c r="K1" s="3942"/>
      <c r="L1" s="3942"/>
      <c r="N1" s="3942" t="s">
        <v>2534</v>
      </c>
      <c r="O1" s="3942"/>
      <c r="P1" s="3942"/>
      <c r="Q1" s="3942"/>
      <c r="S1" s="3942" t="s">
        <v>2535</v>
      </c>
      <c r="T1" s="3942"/>
      <c r="U1" s="3942"/>
      <c r="V1" s="3942"/>
      <c r="X1" s="3941" t="s">
        <v>2595</v>
      </c>
      <c r="Y1" s="3942"/>
      <c r="Z1" s="3942"/>
      <c r="AA1" s="3942"/>
      <c r="AB1" s="3942"/>
      <c r="AD1" s="3941" t="s">
        <v>2599</v>
      </c>
      <c r="AE1" s="3942"/>
      <c r="AF1" s="3942"/>
      <c r="AG1" s="3942"/>
      <c r="AH1" s="3942"/>
    </row>
    <row r="2" spans="1:34" s="2857" customFormat="1" ht="14.25" thickBot="1">
      <c r="B2" s="2858" t="s">
        <v>2536</v>
      </c>
      <c r="C2" s="2858" t="s">
        <v>2597</v>
      </c>
      <c r="D2" s="2859" t="s">
        <v>1612</v>
      </c>
      <c r="E2" s="2859" t="s">
        <v>1914</v>
      </c>
      <c r="F2" s="2858" t="s">
        <v>2598</v>
      </c>
      <c r="G2" s="2860"/>
      <c r="I2" s="2858" t="s">
        <v>2896</v>
      </c>
      <c r="J2" s="2859" t="s">
        <v>2898</v>
      </c>
      <c r="K2" s="2859" t="s">
        <v>2899</v>
      </c>
      <c r="L2" s="2858" t="s">
        <v>2900</v>
      </c>
      <c r="N2" s="2858" t="s">
        <v>2536</v>
      </c>
      <c r="O2" s="2859" t="s">
        <v>2897</v>
      </c>
      <c r="P2" s="2859" t="s">
        <v>1914</v>
      </c>
      <c r="Q2" s="2858" t="s">
        <v>2598</v>
      </c>
      <c r="S2" s="2858" t="s">
        <v>2536</v>
      </c>
      <c r="T2" s="2859" t="s">
        <v>2897</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2907</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2979</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2908</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2978</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2977</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2975</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2974</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2937</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2935</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2932</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2931</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2928</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2927</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2924</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945">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2917</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945"/>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2918</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945"/>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2914</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951"/>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2906</v>
      </c>
      <c r="B20" s="2907">
        <v>439</v>
      </c>
      <c r="C20" s="2907">
        <v>327</v>
      </c>
      <c r="D20" s="2907">
        <f t="shared" si="153"/>
        <v>327</v>
      </c>
      <c r="E20" s="2907">
        <v>627</v>
      </c>
      <c r="F20" s="2908">
        <v>283</v>
      </c>
      <c r="G20" s="3950">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2909</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945"/>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945"/>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951"/>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950">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945"/>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945"/>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946"/>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944">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945"/>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945"/>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946"/>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944">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945"/>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945"/>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946"/>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947">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948"/>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948"/>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949"/>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944">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945"/>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945"/>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946"/>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944">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945">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945">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946">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944">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945">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945">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946">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944">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945">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945">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946">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944">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945">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945">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946">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944">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945">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945">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946">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944">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945">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945">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946">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944">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945">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945">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946">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944">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945">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945">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946">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944">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945">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945">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946">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944">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945">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945">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946">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9" customWidth="1"/>
    <col min="2" max="2" width="12.5" style="3239" customWidth="1"/>
    <col min="3" max="3" width="12.125" style="3239" customWidth="1"/>
    <col min="4" max="4" width="16.625" style="3239" customWidth="1"/>
    <col min="5" max="5" width="12.5" style="3239" customWidth="1"/>
    <col min="6" max="6" width="12.75" style="3239" customWidth="1"/>
    <col min="7" max="16384" width="8.875" style="3239"/>
  </cols>
  <sheetData>
    <row r="1" spans="1:14" ht="20.25">
      <c r="A1" s="3242" t="s">
        <v>2890</v>
      </c>
      <c r="B1" s="3237"/>
      <c r="C1" s="3237"/>
      <c r="D1" s="3237"/>
      <c r="E1" s="3237"/>
      <c r="F1" s="3237"/>
      <c r="G1" s="3238"/>
      <c r="H1" s="3238"/>
      <c r="I1" s="3238"/>
      <c r="J1" s="3238"/>
      <c r="K1" s="3238"/>
      <c r="L1" s="3238"/>
      <c r="M1" s="3238"/>
      <c r="N1" s="3238"/>
    </row>
    <row r="2" spans="1:14" ht="14.25">
      <c r="A2" s="3243" t="s">
        <v>2885</v>
      </c>
      <c r="B2" s="3248">
        <f ca="1">SUMIF(B7:B14,"&lt;&gt;#ref!",B7:B14)</f>
        <v>0</v>
      </c>
      <c r="C2" s="3243" t="s">
        <v>2886</v>
      </c>
      <c r="D2" s="3240"/>
      <c r="E2" s="3240"/>
      <c r="F2" s="3240"/>
      <c r="G2" s="3238"/>
      <c r="H2" s="3238"/>
      <c r="I2" s="3238"/>
      <c r="J2" s="3238"/>
      <c r="K2" s="3238"/>
      <c r="L2" s="3238"/>
      <c r="M2" s="3238"/>
      <c r="N2" s="3238"/>
    </row>
    <row r="3" spans="1:14" ht="14.25">
      <c r="A3" s="3243" t="s">
        <v>2915</v>
      </c>
      <c r="B3" s="3248" t="e">
        <f ca="1">ROUND(B2*10000/E3,0)</f>
        <v>#DIV/0!</v>
      </c>
      <c r="C3" s="3243" t="s">
        <v>2043</v>
      </c>
      <c r="D3" s="3243" t="s">
        <v>2887</v>
      </c>
      <c r="E3" s="3241">
        <f ca="1">SUMIF(E7:E14,"&lt;&gt;#ref!",E7:E14)</f>
        <v>0</v>
      </c>
      <c r="F3" s="3240"/>
      <c r="G3" s="3238"/>
      <c r="H3" s="3238"/>
      <c r="I3" s="3238"/>
      <c r="J3" s="3238"/>
      <c r="K3" s="3238"/>
      <c r="L3" s="3238"/>
      <c r="M3" s="3238"/>
      <c r="N3" s="3238"/>
    </row>
    <row r="4" spans="1:14" ht="14.25">
      <c r="A4" s="3243" t="s">
        <v>2893</v>
      </c>
      <c r="B4" s="3248" t="e">
        <f ca="1">ROUND(B2*10000/E4,0)</f>
        <v>#DIV/0!</v>
      </c>
      <c r="C4" s="3243" t="s">
        <v>2043</v>
      </c>
      <c r="D4" s="3243" t="s">
        <v>2894</v>
      </c>
      <c r="E4" s="3241">
        <f ca="1">SUMIF(F7:F14,"&lt;&gt;#ref!",F7:F14)</f>
        <v>0</v>
      </c>
      <c r="F4" s="3240"/>
      <c r="G4" s="3238"/>
      <c r="H4" s="3238"/>
      <c r="I4" s="3238"/>
      <c r="J4" s="3238"/>
      <c r="K4" s="3238"/>
      <c r="L4" s="3238"/>
      <c r="M4" s="3238"/>
      <c r="N4" s="3238"/>
    </row>
    <row r="5" spans="1:14" ht="14.25">
      <c r="A5" s="3244"/>
      <c r="B5" s="3240"/>
      <c r="C5" s="3240"/>
      <c r="D5" s="3240"/>
      <c r="E5" s="3240"/>
      <c r="F5" s="3240"/>
      <c r="G5" s="3238"/>
      <c r="H5" s="3238"/>
      <c r="I5" s="3238"/>
      <c r="J5" s="3238"/>
      <c r="K5" s="3238"/>
      <c r="L5" s="3238"/>
      <c r="M5" s="3238"/>
      <c r="N5" s="3238"/>
    </row>
    <row r="6" spans="1:14" ht="28.5">
      <c r="A6" s="3245" t="s">
        <v>2891</v>
      </c>
      <c r="B6" s="3243" t="s">
        <v>2888</v>
      </c>
      <c r="C6" s="2782"/>
      <c r="D6" s="3240"/>
      <c r="E6" s="3243" t="s">
        <v>2889</v>
      </c>
      <c r="F6" s="3243" t="s">
        <v>2892</v>
      </c>
      <c r="G6" s="3238"/>
      <c r="H6" s="3238"/>
      <c r="I6" s="3238"/>
      <c r="J6" s="3238"/>
      <c r="K6" s="3238"/>
      <c r="L6" s="3238"/>
      <c r="M6" s="3238"/>
      <c r="N6" s="3238"/>
    </row>
    <row r="7" spans="1:14" ht="14.25">
      <c r="A7" s="3246"/>
      <c r="B7" s="3248" t="e">
        <f ca="1">SUMIF(INDIRECT("'"&amp;A7&amp;"'"&amp;"!A:A"),"总价",INDIRECT("'"&amp;A7&amp;"'"&amp;"!B:B"))</f>
        <v>#REF!</v>
      </c>
      <c r="C7" s="3243" t="s">
        <v>2886</v>
      </c>
      <c r="D7" s="3240"/>
      <c r="E7" s="3241" t="e">
        <f ca="1">SUMIF(INDIRECT("'"&amp;A7&amp;"'"&amp;"!C:C"),"建筑面积",INDIRECT("'"&amp;A7&amp;"'"&amp;"!D:D"))</f>
        <v>#REF!</v>
      </c>
      <c r="F7" s="3241" t="e">
        <f ca="1">SUMIF(INDIRECT("'"&amp;A7&amp;"'"&amp;"!E:E"),"土地面积",INDIRECT("'"&amp;A7&amp;"'"&amp;"!F:F"))</f>
        <v>#REF!</v>
      </c>
      <c r="G7" s="3238"/>
      <c r="H7" s="3238"/>
      <c r="I7" s="3238"/>
      <c r="J7" s="3238"/>
      <c r="K7" s="3238"/>
      <c r="L7" s="3238"/>
      <c r="M7" s="3238"/>
      <c r="N7" s="3238"/>
    </row>
    <row r="8" spans="1:14" ht="14.25">
      <c r="A8" s="3246"/>
      <c r="B8" s="3248" t="e">
        <f t="shared" ref="B8:B14" ca="1" si="0">SUMIF(INDIRECT("'"&amp;A8&amp;"'"&amp;"!A:A"),"总价",INDIRECT("'"&amp;A8&amp;"'"&amp;"!B:B"))</f>
        <v>#REF!</v>
      </c>
      <c r="C8" s="3243" t="s">
        <v>2886</v>
      </c>
      <c r="D8" s="3240"/>
      <c r="E8" s="3241" t="e">
        <f t="shared" ref="E8:E14" ca="1" si="1">SUMIF(INDIRECT("'"&amp;A8&amp;"'"&amp;"!C:C"),"建筑面积",INDIRECT("'"&amp;A8&amp;"'"&amp;"!D:D"))</f>
        <v>#REF!</v>
      </c>
      <c r="F8" s="3241" t="e">
        <f t="shared" ref="F8:F14" ca="1" si="2">SUMIF(INDIRECT("'"&amp;A8&amp;"'"&amp;"!E:E"),"土地面积",INDIRECT("'"&amp;A8&amp;"'"&amp;"!F:F"))</f>
        <v>#REF!</v>
      </c>
      <c r="G8" s="3238"/>
      <c r="H8" s="3238"/>
      <c r="I8" s="3238"/>
      <c r="J8" s="3238"/>
      <c r="K8" s="3238"/>
      <c r="L8" s="3238"/>
      <c r="M8" s="3238"/>
      <c r="N8" s="3238"/>
    </row>
    <row r="9" spans="1:14" ht="14.25">
      <c r="A9" s="3246"/>
      <c r="B9" s="3248" t="e">
        <f t="shared" ca="1" si="0"/>
        <v>#REF!</v>
      </c>
      <c r="C9" s="3243" t="s">
        <v>2886</v>
      </c>
      <c r="D9" s="3240"/>
      <c r="E9" s="3241" t="e">
        <f t="shared" ca="1" si="1"/>
        <v>#REF!</v>
      </c>
      <c r="F9" s="3241" t="e">
        <f t="shared" ca="1" si="2"/>
        <v>#REF!</v>
      </c>
      <c r="G9" s="3238"/>
      <c r="H9" s="3238"/>
      <c r="I9" s="3238"/>
      <c r="J9" s="3238"/>
      <c r="K9" s="3238"/>
      <c r="L9" s="3238"/>
      <c r="M9" s="3238"/>
      <c r="N9" s="3238"/>
    </row>
    <row r="10" spans="1:14" ht="14.25">
      <c r="A10" s="3246"/>
      <c r="B10" s="3248" t="e">
        <f t="shared" ca="1" si="0"/>
        <v>#REF!</v>
      </c>
      <c r="C10" s="3243" t="s">
        <v>2886</v>
      </c>
      <c r="D10" s="3240"/>
      <c r="E10" s="3241" t="e">
        <f t="shared" ca="1" si="1"/>
        <v>#REF!</v>
      </c>
      <c r="F10" s="3241" t="e">
        <f t="shared" ca="1" si="2"/>
        <v>#REF!</v>
      </c>
      <c r="G10" s="3238"/>
      <c r="H10" s="3238"/>
      <c r="I10" s="3238"/>
      <c r="J10" s="3238"/>
      <c r="K10" s="3238"/>
      <c r="L10" s="3238"/>
      <c r="M10" s="3238"/>
      <c r="N10" s="3238"/>
    </row>
    <row r="11" spans="1:14" ht="14.25">
      <c r="A11" s="3246"/>
      <c r="B11" s="3248" t="e">
        <f t="shared" ca="1" si="0"/>
        <v>#REF!</v>
      </c>
      <c r="C11" s="3243" t="s">
        <v>2886</v>
      </c>
      <c r="D11" s="3240"/>
      <c r="E11" s="3241" t="e">
        <f t="shared" ca="1" si="1"/>
        <v>#REF!</v>
      </c>
      <c r="F11" s="3241" t="e">
        <f t="shared" ca="1" si="2"/>
        <v>#REF!</v>
      </c>
      <c r="G11" s="3238"/>
      <c r="H11" s="3238"/>
      <c r="I11" s="3238"/>
      <c r="J11" s="3238"/>
      <c r="K11" s="3238"/>
      <c r="L11" s="3238"/>
      <c r="M11" s="3238"/>
      <c r="N11" s="3238"/>
    </row>
    <row r="12" spans="1:14" ht="14.25">
      <c r="A12" s="3246"/>
      <c r="B12" s="3248" t="e">
        <f t="shared" ca="1" si="0"/>
        <v>#REF!</v>
      </c>
      <c r="C12" s="3243" t="s">
        <v>2886</v>
      </c>
      <c r="D12" s="3240"/>
      <c r="E12" s="3241" t="e">
        <f t="shared" ca="1" si="1"/>
        <v>#REF!</v>
      </c>
      <c r="F12" s="3241" t="e">
        <f t="shared" ca="1" si="2"/>
        <v>#REF!</v>
      </c>
      <c r="G12" s="3238"/>
      <c r="H12" s="3238"/>
      <c r="I12" s="3238"/>
      <c r="J12" s="3238"/>
      <c r="K12" s="3238"/>
      <c r="L12" s="3238"/>
      <c r="M12" s="3238"/>
      <c r="N12" s="3238"/>
    </row>
    <row r="13" spans="1:14" ht="14.25">
      <c r="A13" s="3246"/>
      <c r="B13" s="3248" t="e">
        <f t="shared" ca="1" si="0"/>
        <v>#REF!</v>
      </c>
      <c r="C13" s="3243" t="s">
        <v>2886</v>
      </c>
      <c r="D13" s="3240"/>
      <c r="E13" s="3241" t="e">
        <f t="shared" ca="1" si="1"/>
        <v>#REF!</v>
      </c>
      <c r="F13" s="3241" t="e">
        <f t="shared" ca="1" si="2"/>
        <v>#REF!</v>
      </c>
      <c r="G13" s="3238"/>
      <c r="H13" s="3238"/>
      <c r="I13" s="3238"/>
      <c r="J13" s="3238"/>
      <c r="K13" s="3238"/>
      <c r="L13" s="3238"/>
      <c r="M13" s="3238"/>
      <c r="N13" s="3238"/>
    </row>
    <row r="14" spans="1:14" ht="14.25">
      <c r="A14" s="3247"/>
      <c r="B14" s="3248" t="e">
        <f t="shared" ca="1" si="0"/>
        <v>#REF!</v>
      </c>
      <c r="C14" s="3243" t="s">
        <v>2886</v>
      </c>
      <c r="D14" s="3240"/>
      <c r="E14" s="3241" t="e">
        <f t="shared" ca="1" si="1"/>
        <v>#REF!</v>
      </c>
      <c r="F14" s="3241" t="e">
        <f t="shared" ca="1" si="2"/>
        <v>#REF!</v>
      </c>
      <c r="G14" s="3238"/>
      <c r="H14" s="3238"/>
      <c r="I14" s="3238"/>
      <c r="J14" s="3238"/>
      <c r="K14" s="3238"/>
      <c r="L14" s="3238"/>
      <c r="M14" s="3238"/>
      <c r="N14" s="3238"/>
    </row>
    <row r="15" spans="1:14">
      <c r="A15" s="3238"/>
      <c r="B15" s="3238"/>
      <c r="C15" s="3238"/>
      <c r="D15" s="3238"/>
      <c r="E15" s="3238"/>
      <c r="F15" s="3238"/>
      <c r="G15" s="3238"/>
      <c r="H15" s="3238"/>
      <c r="I15" s="3238"/>
      <c r="J15" s="3238"/>
      <c r="K15" s="3238"/>
      <c r="L15" s="3238"/>
      <c r="M15" s="3238"/>
      <c r="N15" s="3238"/>
    </row>
    <row r="16" spans="1:14">
      <c r="A16" s="3238"/>
      <c r="B16" s="3238"/>
      <c r="C16" s="3238"/>
      <c r="D16" s="3238"/>
      <c r="E16" s="3238"/>
      <c r="F16" s="3238"/>
      <c r="G16" s="3238"/>
      <c r="H16" s="3238"/>
      <c r="I16" s="3238"/>
      <c r="J16" s="3238"/>
      <c r="K16" s="3238"/>
      <c r="L16" s="3238"/>
      <c r="M16" s="3238"/>
      <c r="N16" s="3238"/>
    </row>
    <row r="17" spans="1:14">
      <c r="A17" s="3238"/>
      <c r="B17" s="3238"/>
      <c r="C17" s="3238"/>
      <c r="D17" s="3238"/>
      <c r="E17" s="3238"/>
      <c r="F17" s="3238"/>
      <c r="G17" s="3238"/>
      <c r="H17" s="3238"/>
      <c r="I17" s="3238"/>
      <c r="J17" s="3238"/>
      <c r="K17" s="3238"/>
      <c r="L17" s="3238"/>
      <c r="M17" s="3238"/>
      <c r="N17" s="3238"/>
    </row>
    <row r="18" spans="1:14">
      <c r="A18" s="3238"/>
      <c r="B18" s="3238"/>
      <c r="C18" s="3238"/>
      <c r="D18" s="3238"/>
      <c r="E18" s="3238"/>
      <c r="F18" s="3238"/>
      <c r="G18" s="3238"/>
      <c r="H18" s="3238"/>
      <c r="I18" s="3238"/>
      <c r="J18" s="3238"/>
      <c r="K18" s="3238"/>
      <c r="L18" s="3238"/>
      <c r="M18" s="3238"/>
      <c r="N18" s="3238"/>
    </row>
    <row r="19" spans="1:14">
      <c r="A19" s="3238"/>
      <c r="B19" s="3238"/>
      <c r="C19" s="3238"/>
      <c r="D19" s="3238"/>
      <c r="E19" s="3238"/>
      <c r="F19" s="3238"/>
      <c r="G19" s="3238"/>
      <c r="H19" s="3238"/>
      <c r="I19" s="3238"/>
      <c r="J19" s="3238"/>
      <c r="K19" s="3238"/>
      <c r="L19" s="3238"/>
      <c r="M19" s="3238"/>
      <c r="N19" s="3238"/>
    </row>
    <row r="20" spans="1:14">
      <c r="A20" s="3238"/>
      <c r="B20" s="3238"/>
      <c r="C20" s="3238"/>
      <c r="D20" s="3238"/>
      <c r="E20" s="3238"/>
      <c r="F20" s="3238"/>
      <c r="G20" s="3238"/>
      <c r="H20" s="3238"/>
      <c r="I20" s="3238"/>
      <c r="J20" s="3238"/>
      <c r="K20" s="3238"/>
      <c r="L20" s="3238"/>
      <c r="M20" s="3238"/>
      <c r="N20" s="3238"/>
    </row>
    <row r="21" spans="1:14">
      <c r="A21" s="3238"/>
      <c r="B21" s="3238"/>
      <c r="C21" s="3238"/>
      <c r="D21" s="3238"/>
      <c r="E21" s="3238"/>
      <c r="F21" s="3238"/>
      <c r="G21" s="3238"/>
      <c r="H21" s="3238"/>
      <c r="I21" s="3238"/>
      <c r="J21" s="3238"/>
      <c r="K21" s="3238"/>
      <c r="L21" s="3238"/>
      <c r="M21" s="3238"/>
      <c r="N21" s="3238"/>
    </row>
    <row r="22" spans="1:14">
      <c r="A22" s="3238"/>
      <c r="B22" s="3238"/>
      <c r="C22" s="3238"/>
      <c r="D22" s="3238"/>
      <c r="E22" s="3238"/>
      <c r="F22" s="3238"/>
      <c r="G22" s="3238"/>
      <c r="H22" s="3238"/>
      <c r="I22" s="3238"/>
      <c r="J22" s="3238"/>
      <c r="K22" s="3238"/>
      <c r="L22" s="3238"/>
      <c r="M22" s="3238"/>
      <c r="N22" s="3238"/>
    </row>
    <row r="23" spans="1:14">
      <c r="A23" s="3238"/>
      <c r="B23" s="3238"/>
      <c r="C23" s="3238"/>
      <c r="D23" s="3238"/>
      <c r="E23" s="3238"/>
      <c r="F23" s="3238"/>
      <c r="G23" s="3238"/>
      <c r="H23" s="3238"/>
      <c r="I23" s="3238"/>
      <c r="J23" s="3238"/>
      <c r="K23" s="3238"/>
      <c r="L23" s="3238"/>
      <c r="M23" s="3238"/>
      <c r="N23" s="3238"/>
    </row>
    <row r="24" spans="1:14">
      <c r="A24" s="3238"/>
      <c r="B24" s="3238"/>
      <c r="C24" s="3238"/>
      <c r="D24" s="3238"/>
      <c r="E24" s="3238"/>
      <c r="F24" s="3238"/>
      <c r="G24" s="3238"/>
      <c r="H24" s="3238"/>
      <c r="I24" s="3238"/>
      <c r="J24" s="3238"/>
      <c r="K24" s="3238"/>
      <c r="L24" s="3238"/>
      <c r="M24" s="3238"/>
      <c r="N24" s="3238"/>
    </row>
    <row r="25" spans="1:14">
      <c r="A25" s="3238"/>
      <c r="B25" s="3238"/>
      <c r="C25" s="3238"/>
      <c r="D25" s="3238"/>
      <c r="E25" s="3238"/>
      <c r="F25" s="3238"/>
      <c r="G25" s="3238"/>
      <c r="H25" s="3238"/>
      <c r="I25" s="3238"/>
      <c r="J25" s="3238"/>
      <c r="K25" s="3238"/>
      <c r="L25" s="3238"/>
      <c r="M25" s="3238"/>
      <c r="N25" s="3238"/>
    </row>
    <row r="26" spans="1:14">
      <c r="A26" s="3238"/>
      <c r="B26" s="3238"/>
      <c r="C26" s="3238"/>
      <c r="D26" s="3238"/>
      <c r="E26" s="3238"/>
      <c r="F26" s="3238"/>
      <c r="G26" s="3238"/>
      <c r="H26" s="3238"/>
      <c r="I26" s="3238"/>
      <c r="J26" s="3238"/>
      <c r="K26" s="3238"/>
      <c r="L26" s="3238"/>
      <c r="M26" s="3238"/>
      <c r="N26" s="3238"/>
    </row>
    <row r="27" spans="1:14">
      <c r="A27" s="3238"/>
      <c r="B27" s="3238"/>
      <c r="C27" s="3238"/>
      <c r="D27" s="3238"/>
      <c r="E27" s="3238"/>
      <c r="F27" s="3238"/>
      <c r="G27" s="3238"/>
      <c r="H27" s="3238"/>
      <c r="I27" s="3238"/>
      <c r="J27" s="3238"/>
      <c r="K27" s="3238"/>
      <c r="L27" s="3238"/>
      <c r="M27" s="3238"/>
      <c r="N27" s="3238"/>
    </row>
    <row r="28" spans="1:14">
      <c r="A28" s="3238"/>
      <c r="B28" s="3238"/>
      <c r="C28" s="3238"/>
      <c r="D28" s="3238"/>
      <c r="E28" s="3238"/>
      <c r="F28" s="3238"/>
      <c r="G28" s="3238"/>
      <c r="H28" s="3238"/>
      <c r="I28" s="3238"/>
      <c r="J28" s="3238"/>
      <c r="K28" s="3238"/>
      <c r="L28" s="3238"/>
      <c r="M28" s="3238"/>
      <c r="N28" s="3238"/>
    </row>
    <row r="29" spans="1:14">
      <c r="A29" s="3238"/>
      <c r="B29" s="3238"/>
      <c r="C29" s="3238"/>
      <c r="D29" s="3238"/>
      <c r="E29" s="3238"/>
      <c r="F29" s="3238"/>
      <c r="G29" s="3238"/>
      <c r="H29" s="3238"/>
      <c r="I29" s="3238"/>
      <c r="J29" s="3238"/>
      <c r="K29" s="3238"/>
      <c r="L29" s="3238"/>
      <c r="M29" s="3238"/>
      <c r="N29" s="3238"/>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2883</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-2.5</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6">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953" t="s">
        <v>2420</v>
      </c>
      <c r="C8" s="1736">
        <f ca="1">ROUND(F8*F10*F9*(1-F11)/10000,0)</f>
        <v>0</v>
      </c>
      <c r="D8" s="1733" t="s">
        <v>2491</v>
      </c>
      <c r="E8" s="60" t="s">
        <v>608</v>
      </c>
      <c r="F8" s="772">
        <f ca="1">INDIRECT("'数据-取费表'!u"&amp;$G$1)</f>
        <v>0</v>
      </c>
      <c r="G8" s="1522"/>
      <c r="H8" s="2353" t="s">
        <v>1791</v>
      </c>
      <c r="I8" s="3953" t="s">
        <v>2420</v>
      </c>
      <c r="J8" s="770">
        <f ca="1">ROUND(M8*M10*M9*(1-M11)/10000,0)</f>
        <v>0</v>
      </c>
      <c r="K8" s="336" t="s">
        <v>2491</v>
      </c>
      <c r="L8" s="771" t="s">
        <v>1705</v>
      </c>
      <c r="M8" s="772">
        <f ca="1">INDIRECT("'数据-取费表'!z"&amp;$G$1)</f>
        <v>0</v>
      </c>
    </row>
    <row r="9" spans="1:25" ht="18" customHeight="1">
      <c r="A9" s="2349"/>
      <c r="B9" s="3954"/>
      <c r="C9" s="1737"/>
      <c r="D9" s="1734"/>
      <c r="E9" s="60" t="s">
        <v>609</v>
      </c>
      <c r="F9" s="772">
        <f ca="1">IF(INDIRECT("'数据-取费表'!ah"&amp;$G$1)="",INDIRECT("'数据-取费表'!k"&amp;$G$1),INDIRECT("'数据-取费表'!ah"&amp;$G$1))</f>
        <v>0</v>
      </c>
      <c r="G9" s="1522"/>
      <c r="H9" s="2338"/>
      <c r="I9" s="3954"/>
      <c r="J9" s="775"/>
      <c r="K9" s="776"/>
      <c r="L9" s="771" t="s">
        <v>1706</v>
      </c>
      <c r="M9" s="772">
        <f ca="1">F9</f>
        <v>0</v>
      </c>
    </row>
    <row r="10" spans="1:25" ht="18" customHeight="1">
      <c r="A10" s="2342"/>
      <c r="B10" s="3955"/>
      <c r="C10" s="1737"/>
      <c r="D10" s="1734"/>
      <c r="E10" s="60" t="s">
        <v>610</v>
      </c>
      <c r="F10" s="772">
        <f ca="1">INDIRECT("'数据-取费表'!ai"&amp;$G$1)</f>
        <v>0</v>
      </c>
      <c r="G10" s="1522"/>
      <c r="H10" s="2338"/>
      <c r="I10" s="3955"/>
      <c r="J10" s="775"/>
      <c r="K10" s="776"/>
      <c r="L10" s="771" t="s">
        <v>1707</v>
      </c>
      <c r="M10" s="772">
        <f ca="1">INDIRECT("'数据-取费表'!ai"&amp;$G$1)</f>
        <v>0</v>
      </c>
    </row>
    <row r="11" spans="1:25" ht="18" customHeight="1">
      <c r="A11" s="773"/>
      <c r="B11" s="3956"/>
      <c r="C11" s="1737"/>
      <c r="D11" s="1734"/>
      <c r="E11" s="60" t="s">
        <v>611</v>
      </c>
      <c r="F11" s="781">
        <f ca="1">INDIRECT("'数据-取费表'!w"&amp;$G$1)</f>
        <v>0</v>
      </c>
      <c r="G11" s="1522"/>
      <c r="H11" s="2354"/>
      <c r="I11" s="3955"/>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2912</v>
      </c>
      <c r="E12" s="2347" t="s">
        <v>2421</v>
      </c>
      <c r="F12" s="2461"/>
      <c r="G12" s="1522"/>
      <c r="H12" s="2410" t="s">
        <v>1792</v>
      </c>
      <c r="I12" s="2415" t="s">
        <v>2416</v>
      </c>
      <c r="J12" s="770">
        <f ca="1">ROUND(IF(M12="押一",J8/12*M13,IF(M12="押二",J8/12*2*M13,IF(M12="押三",J8/12*3*M13,J13*M13))),0)</f>
        <v>0</v>
      </c>
      <c r="K12" s="2350" t="s">
        <v>2912</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2.5</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1.1000000000000001E-3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9" t="s">
        <v>2969</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952"/>
      <c r="J36" s="1958"/>
      <c r="K36" s="1959"/>
      <c r="L36" s="1958"/>
      <c r="M36" s="1958"/>
    </row>
    <row r="37" spans="1:18" ht="18" customHeight="1">
      <c r="A37" s="801"/>
      <c r="B37" s="780"/>
      <c r="C37" s="68"/>
      <c r="D37" s="802"/>
      <c r="E37" s="771" t="s">
        <v>645</v>
      </c>
      <c r="F37" s="772">
        <f ca="1">INDIRECT("'数据-取费表'!r"&amp;$G$1)</f>
        <v>0</v>
      </c>
      <c r="G37" s="1941"/>
      <c r="H37" s="1944"/>
      <c r="I37" s="3952"/>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2901</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2904</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2916</v>
      </c>
      <c r="J54" s="2850">
        <f ca="1">IF(M48="住宅",MAX(J52,L49-'数据-取费表'!B20),MIN(J52,L49-'数据-取费表'!B20))</f>
        <v>-2.5</v>
      </c>
      <c r="K54" s="3957"/>
      <c r="L54" s="3958"/>
      <c r="O54" s="2252" t="s">
        <v>2349</v>
      </c>
      <c r="P54" s="2250" t="s">
        <v>2350</v>
      </c>
      <c r="Q54" s="2251">
        <f ca="1">J54</f>
        <v>-2.5</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2884</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3171</v>
      </c>
      <c r="E1" s="2005"/>
      <c r="F1" s="2520" t="s">
        <v>3223</v>
      </c>
      <c r="G1" s="1527" t="s">
        <v>692</v>
      </c>
      <c r="H1" s="497"/>
      <c r="I1" s="497"/>
      <c r="J1" s="497"/>
      <c r="K1" s="498"/>
      <c r="L1" s="3201"/>
      <c r="M1" s="3202"/>
      <c r="N1" s="3202"/>
      <c r="O1" s="3202"/>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323663</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62510</v>
      </c>
      <c r="C3" s="838" t="s">
        <v>693</v>
      </c>
      <c r="D3" s="837">
        <f>SUMIF('数据-汇总表'!$C19:$C33,D1,'数据-汇总表'!$E19:$E33)</f>
        <v>51777.739999999991</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884" t="s">
        <v>493</v>
      </c>
      <c r="D4" s="3885"/>
      <c r="E4" s="3909" t="s">
        <v>494</v>
      </c>
      <c r="F4" s="3910"/>
      <c r="G4" s="3884" t="s">
        <v>495</v>
      </c>
      <c r="H4" s="3885"/>
      <c r="I4" s="3884" t="s">
        <v>496</v>
      </c>
      <c r="J4" s="3885"/>
      <c r="K4" s="839" t="s">
        <v>497</v>
      </c>
      <c r="L4" s="2011"/>
      <c r="M4" s="2012"/>
      <c r="N4" s="2012"/>
      <c r="O4" s="2012"/>
      <c r="P4" s="3886" t="s">
        <v>498</v>
      </c>
      <c r="Q4" s="3887"/>
      <c r="R4" s="3872" t="s">
        <v>494</v>
      </c>
      <c r="S4" s="3873"/>
      <c r="T4" s="3872" t="s">
        <v>495</v>
      </c>
      <c r="U4" s="3873"/>
      <c r="V4" s="3892" t="s">
        <v>496</v>
      </c>
      <c r="W4" s="3892"/>
      <c r="X4" s="1497"/>
      <c r="Y4" s="3872" t="s">
        <v>498</v>
      </c>
      <c r="Z4" s="3873"/>
      <c r="AA4" s="3867" t="s">
        <v>494</v>
      </c>
      <c r="AB4" s="3867" t="s">
        <v>495</v>
      </c>
      <c r="AC4" s="3867" t="s">
        <v>496</v>
      </c>
    </row>
    <row r="5" spans="1:29" ht="15">
      <c r="A5" s="506"/>
      <c r="B5" s="507"/>
      <c r="C5" s="3895" t="s">
        <v>2871</v>
      </c>
      <c r="D5" s="3896"/>
      <c r="E5" s="3959" t="s">
        <v>3435</v>
      </c>
      <c r="F5" s="3912"/>
      <c r="G5" s="3960" t="s">
        <v>3436</v>
      </c>
      <c r="H5" s="3896"/>
      <c r="I5" s="3960" t="s">
        <v>3434</v>
      </c>
      <c r="J5" s="3896"/>
      <c r="K5" s="840"/>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840"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v>44531</v>
      </c>
      <c r="F7" s="513">
        <f>SUMIF(58:58,YEAR(E7)&amp;"-"&amp;MONTH(E7),59:59)</f>
        <v>100</v>
      </c>
      <c r="G7" s="512">
        <v>44531</v>
      </c>
      <c r="H7" s="511">
        <f>SUMIF(58:58,YEAR(G7)&amp;"-"&amp;MONTH(G7),59:59)</f>
        <v>100</v>
      </c>
      <c r="I7" s="512">
        <v>44531</v>
      </c>
      <c r="J7" s="511">
        <f>SUMIF(58:58,YEAR(I7)&amp;"-"&amp;MONTH(I7),59:59)</f>
        <v>100</v>
      </c>
      <c r="K7" s="841"/>
      <c r="L7" s="2013"/>
      <c r="M7" s="2014"/>
      <c r="N7" s="2014"/>
      <c r="O7" s="2014"/>
      <c r="P7" s="3870" t="s">
        <v>501</v>
      </c>
      <c r="Q7" s="3879"/>
      <c r="R7" s="1498" t="s">
        <v>12</v>
      </c>
      <c r="S7" s="1499">
        <f t="shared" ref="S7:S15" si="0">F7</f>
        <v>100</v>
      </c>
      <c r="T7" s="1498" t="s">
        <v>12</v>
      </c>
      <c r="U7" s="1499">
        <f t="shared" ref="U7:U15" si="1">H7</f>
        <v>100</v>
      </c>
      <c r="V7" s="1498" t="s">
        <v>12</v>
      </c>
      <c r="W7" s="1499">
        <f t="shared" ref="W7:W15" si="2">J7</f>
        <v>100</v>
      </c>
      <c r="X7" s="1500"/>
      <c r="Y7" s="3870" t="s">
        <v>501</v>
      </c>
      <c r="Z7" s="3871"/>
      <c r="AA7" s="1501">
        <f>D7/F7</f>
        <v>1</v>
      </c>
      <c r="AB7" s="1501">
        <f>D7/H7</f>
        <v>1</v>
      </c>
      <c r="AC7" s="1501">
        <f>D7/J7</f>
        <v>1</v>
      </c>
    </row>
    <row r="8" spans="1:29" s="1200" customFormat="1" ht="15.75" thickBot="1">
      <c r="A8" s="2626"/>
      <c r="B8" s="2633" t="s">
        <v>502</v>
      </c>
      <c r="C8" s="516" t="s">
        <v>547</v>
      </c>
      <c r="D8" s="511">
        <v>100</v>
      </c>
      <c r="E8" s="842" t="s">
        <v>3179</v>
      </c>
      <c r="F8" s="513">
        <f>SUMIF(61:61,E8,62:62)-SUMIF(61:61,C8,62:62)+100</f>
        <v>100</v>
      </c>
      <c r="G8" s="516" t="s">
        <v>3179</v>
      </c>
      <c r="H8" s="511">
        <f>SUMIF(61:61,G8,62:62)-SUMIF(61:61,C8,62:62)+100</f>
        <v>100</v>
      </c>
      <c r="I8" s="842" t="s">
        <v>3179</v>
      </c>
      <c r="J8" s="511">
        <f>SUMIF(61:61,I8,62:62)-SUMIF(61:61,C8,62:62)+100</f>
        <v>100</v>
      </c>
      <c r="K8" s="841"/>
      <c r="L8" s="2013"/>
      <c r="M8" s="2014"/>
      <c r="N8" s="2014"/>
      <c r="O8" s="2014"/>
      <c r="P8" s="3870" t="s">
        <v>504</v>
      </c>
      <c r="Q8" s="3871"/>
      <c r="R8" s="1498" t="s">
        <v>12</v>
      </c>
      <c r="S8" s="1499">
        <f t="shared" si="0"/>
        <v>100</v>
      </c>
      <c r="T8" s="1498" t="s">
        <v>12</v>
      </c>
      <c r="U8" s="1499">
        <f t="shared" si="1"/>
        <v>100</v>
      </c>
      <c r="V8" s="1498" t="s">
        <v>12</v>
      </c>
      <c r="W8" s="1499">
        <f t="shared" si="2"/>
        <v>100</v>
      </c>
      <c r="X8" s="1500"/>
      <c r="Y8" s="3870" t="s">
        <v>504</v>
      </c>
      <c r="Z8" s="3871"/>
      <c r="AA8" s="1501">
        <f t="shared" ref="AA8:AA46" si="3">D8/F8</f>
        <v>1</v>
      </c>
      <c r="AB8" s="1501">
        <f t="shared" ref="AB8:AB46" si="4">D8/H8</f>
        <v>1</v>
      </c>
      <c r="AC8" s="1501">
        <f t="shared" ref="AC8:AC46" si="5">D8/J8</f>
        <v>1</v>
      </c>
    </row>
    <row r="9" spans="1:29" s="1200" customFormat="1" ht="15">
      <c r="A9" s="2627"/>
      <c r="B9" s="2634" t="s">
        <v>2712</v>
      </c>
      <c r="C9" s="3282" t="s">
        <v>3204</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t="s">
        <v>3205</v>
      </c>
      <c r="D10" s="251">
        <v>100</v>
      </c>
      <c r="E10" s="848" t="s">
        <v>3205</v>
      </c>
      <c r="F10" s="849">
        <f>SUMIF(65:65,E10,66:66)-SUMIF(65:65,C10,66:66)+100</f>
        <v>100</v>
      </c>
      <c r="G10" s="847" t="s">
        <v>3205</v>
      </c>
      <c r="H10" s="251">
        <f>SUMIF(65:65,G10,66:66)-SUMIF(65:65,C10,66:66)+100</f>
        <v>100</v>
      </c>
      <c r="I10" s="847" t="s">
        <v>3205</v>
      </c>
      <c r="J10" s="251">
        <f>SUMIF(65:65,I10,66:66)-SUMIF(65:65,C10,66:66)+100</f>
        <v>100</v>
      </c>
      <c r="K10" s="850">
        <v>2</v>
      </c>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f>'数据-汇总表'!I6</f>
        <v>2.71</v>
      </c>
      <c r="D11" s="251">
        <v>100</v>
      </c>
      <c r="E11" s="525">
        <v>2.8</v>
      </c>
      <c r="F11" s="849">
        <f>LOOKUP(E11,68:68,69:69)-LOOKUP(C11,68:68,69:69)+100</f>
        <v>100</v>
      </c>
      <c r="G11" s="524">
        <v>2.5</v>
      </c>
      <c r="H11" s="251">
        <f>LOOKUP(G11,68:68,69:69)-LOOKUP(C11,68:68,69:69)+100</f>
        <v>100</v>
      </c>
      <c r="I11" s="524">
        <v>2.2000000000000002</v>
      </c>
      <c r="J11" s="251">
        <f>LOOKUP(I11,68:68,69:69)-LOOKUP(C11,68:68,69:69)+100</f>
        <v>100</v>
      </c>
      <c r="K11" s="850">
        <v>2</v>
      </c>
      <c r="L11" s="2018"/>
      <c r="M11" s="2012"/>
      <c r="N11" s="2012"/>
      <c r="O11" s="2019"/>
      <c r="P11" s="3878"/>
      <c r="Q11" s="1131" t="str">
        <f t="shared" si="6"/>
        <v>容积率</v>
      </c>
      <c r="R11" s="1498" t="s">
        <v>11</v>
      </c>
      <c r="S11" s="1499">
        <f t="shared" si="0"/>
        <v>100</v>
      </c>
      <c r="T11" s="1498" t="s">
        <v>11</v>
      </c>
      <c r="U11" s="1499">
        <f t="shared" si="1"/>
        <v>100</v>
      </c>
      <c r="V11" s="1498" t="s">
        <v>11</v>
      </c>
      <c r="W11" s="1499">
        <f t="shared" si="2"/>
        <v>100</v>
      </c>
      <c r="X11" s="1500"/>
      <c r="Y11" s="3829"/>
      <c r="Z11" s="1130" t="str">
        <f t="shared" si="7"/>
        <v>容积率</v>
      </c>
      <c r="AA11" s="1501">
        <f t="shared" si="3"/>
        <v>1</v>
      </c>
      <c r="AB11" s="1501">
        <f t="shared" si="4"/>
        <v>1</v>
      </c>
      <c r="AC11" s="1501">
        <f t="shared" si="5"/>
        <v>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878"/>
      <c r="Q12" s="1131">
        <f t="shared" si="6"/>
        <v>111</v>
      </c>
      <c r="R12" s="1498" t="s">
        <v>11</v>
      </c>
      <c r="S12" s="1499">
        <f t="shared" si="0"/>
        <v>100</v>
      </c>
      <c r="T12" s="1498" t="s">
        <v>11</v>
      </c>
      <c r="U12" s="1499">
        <f t="shared" si="1"/>
        <v>100</v>
      </c>
      <c r="V12" s="1498" t="s">
        <v>11</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878"/>
      <c r="Q13" s="1131">
        <f t="shared" si="6"/>
        <v>111</v>
      </c>
      <c r="R13" s="1498" t="s">
        <v>11</v>
      </c>
      <c r="S13" s="1499">
        <f t="shared" si="0"/>
        <v>100</v>
      </c>
      <c r="T13" s="1498" t="s">
        <v>11</v>
      </c>
      <c r="U13" s="1499">
        <f t="shared" si="1"/>
        <v>100</v>
      </c>
      <c r="V13" s="1498" t="s">
        <v>11</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878"/>
      <c r="Q14" s="1131">
        <f t="shared" si="6"/>
        <v>111</v>
      </c>
      <c r="R14" s="1498" t="s">
        <v>11</v>
      </c>
      <c r="S14" s="1499">
        <f t="shared" si="0"/>
        <v>100</v>
      </c>
      <c r="T14" s="1498" t="s">
        <v>11</v>
      </c>
      <c r="U14" s="1499">
        <f t="shared" si="1"/>
        <v>100</v>
      </c>
      <c r="V14" s="1498" t="s">
        <v>11</v>
      </c>
      <c r="W14" s="1499">
        <f t="shared" si="2"/>
        <v>100</v>
      </c>
      <c r="X14" s="1500"/>
      <c r="Y14" s="3829"/>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97</v>
      </c>
      <c r="G15" s="543"/>
      <c r="H15" s="540">
        <f>SUMIF(76:76,G16,77:77)-SUMIF(76:76,C16,77:77)+100</f>
        <v>97</v>
      </c>
      <c r="I15" s="541"/>
      <c r="J15" s="540">
        <f>SUMIF(76:76,I16,77:77)-SUMIF(76:76,C16,77:77)+100</f>
        <v>97</v>
      </c>
      <c r="K15" s="854">
        <f>'比较法-住宅、综合'!K17</f>
        <v>3</v>
      </c>
      <c r="L15" s="2020"/>
      <c r="M15" s="2012"/>
      <c r="N15" s="2012"/>
      <c r="O15" s="2019"/>
      <c r="P15" s="3880" t="s">
        <v>511</v>
      </c>
      <c r="Q15" s="1502" t="str">
        <f t="shared" si="6"/>
        <v>居住社区成熟度</v>
      </c>
      <c r="R15" s="1503" t="s">
        <v>11</v>
      </c>
      <c r="S15" s="1504">
        <f t="shared" si="0"/>
        <v>97</v>
      </c>
      <c r="T15" s="1503" t="s">
        <v>11</v>
      </c>
      <c r="U15" s="1504">
        <f t="shared" si="1"/>
        <v>97</v>
      </c>
      <c r="V15" s="1503" t="s">
        <v>11</v>
      </c>
      <c r="W15" s="1504">
        <f t="shared" si="2"/>
        <v>97</v>
      </c>
      <c r="X15" s="1497"/>
      <c r="Y15" s="3880" t="s">
        <v>511</v>
      </c>
      <c r="Z15" s="1505" t="str">
        <f t="shared" si="7"/>
        <v>居住社区成熟度</v>
      </c>
      <c r="AA15" s="1506">
        <f t="shared" si="3"/>
        <v>1.0309278350515463</v>
      </c>
      <c r="AB15" s="1506">
        <f t="shared" si="4"/>
        <v>1.0309278350515463</v>
      </c>
      <c r="AC15" s="1506">
        <f t="shared" si="5"/>
        <v>1.0309278350515463</v>
      </c>
    </row>
    <row r="16" spans="1:29" ht="15">
      <c r="A16" s="523"/>
      <c r="B16" s="855"/>
      <c r="C16" s="567" t="s">
        <v>3187</v>
      </c>
      <c r="D16" s="546"/>
      <c r="E16" s="547" t="s">
        <v>3188</v>
      </c>
      <c r="F16" s="548"/>
      <c r="G16" s="549" t="s">
        <v>3188</v>
      </c>
      <c r="H16" s="550"/>
      <c r="I16" s="547" t="s">
        <v>3188</v>
      </c>
      <c r="J16" s="546"/>
      <c r="K16" s="856"/>
      <c r="L16" s="2020"/>
      <c r="M16" s="2012"/>
      <c r="N16" s="2012"/>
      <c r="O16" s="2019"/>
      <c r="P16" s="3881"/>
      <c r="Q16" s="1502"/>
      <c r="R16" s="1503"/>
      <c r="S16" s="1504"/>
      <c r="T16" s="1503"/>
      <c r="U16" s="1504"/>
      <c r="V16" s="1503"/>
      <c r="W16" s="1504"/>
      <c r="X16" s="1497"/>
      <c r="Y16" s="3881"/>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98</v>
      </c>
      <c r="G17" s="555"/>
      <c r="H17" s="556">
        <f>SUMIF(78:78,G18,79:79)-SUMIF(78:78,C18,79:79)+100</f>
        <v>98</v>
      </c>
      <c r="I17" s="553"/>
      <c r="J17" s="556">
        <f>SUMIF(78:78,I18,79:79)-SUMIF(78:78,C18,79:79)+100</f>
        <v>100</v>
      </c>
      <c r="K17" s="854">
        <f>'比较法-住宅、综合'!K23</f>
        <v>2</v>
      </c>
      <c r="L17" s="2020"/>
      <c r="M17" s="2012"/>
      <c r="N17" s="2012"/>
      <c r="O17" s="2019"/>
      <c r="P17" s="3881"/>
      <c r="Q17" s="1502" t="str">
        <f>B17</f>
        <v>交通便捷度</v>
      </c>
      <c r="R17" s="1503" t="s">
        <v>11</v>
      </c>
      <c r="S17" s="1504">
        <f>F17</f>
        <v>98</v>
      </c>
      <c r="T17" s="1503" t="s">
        <v>11</v>
      </c>
      <c r="U17" s="1504">
        <f>H17</f>
        <v>98</v>
      </c>
      <c r="V17" s="1503" t="s">
        <v>11</v>
      </c>
      <c r="W17" s="1504">
        <f>J17</f>
        <v>100</v>
      </c>
      <c r="X17" s="1497"/>
      <c r="Y17" s="3881"/>
      <c r="Z17" s="1505" t="str">
        <f>Q17</f>
        <v>交通便捷度</v>
      </c>
      <c r="AA17" s="1506">
        <f t="shared" si="3"/>
        <v>1.0204081632653061</v>
      </c>
      <c r="AB17" s="1506">
        <f t="shared" si="4"/>
        <v>1.0204081632653061</v>
      </c>
      <c r="AC17" s="1506">
        <f t="shared" si="5"/>
        <v>1</v>
      </c>
    </row>
    <row r="18" spans="1:29" ht="15">
      <c r="A18" s="523"/>
      <c r="B18" s="586"/>
      <c r="C18" s="859" t="s">
        <v>3187</v>
      </c>
      <c r="D18" s="550"/>
      <c r="E18" s="559" t="s">
        <v>3188</v>
      </c>
      <c r="F18" s="554"/>
      <c r="G18" s="560" t="s">
        <v>3188</v>
      </c>
      <c r="H18" s="546"/>
      <c r="I18" s="559" t="s">
        <v>3187</v>
      </c>
      <c r="J18" s="546"/>
      <c r="K18" s="856"/>
      <c r="L18" s="2020"/>
      <c r="M18" s="2012"/>
      <c r="N18" s="2012"/>
      <c r="O18" s="2019"/>
      <c r="P18" s="3881"/>
      <c r="Q18" s="1502"/>
      <c r="R18" s="1503"/>
      <c r="S18" s="1504"/>
      <c r="T18" s="1503"/>
      <c r="U18" s="1504"/>
      <c r="V18" s="1503"/>
      <c r="W18" s="1504"/>
      <c r="X18" s="1497"/>
      <c r="Y18" s="3881"/>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102</v>
      </c>
      <c r="G19" s="563"/>
      <c r="H19" s="550">
        <f>SUMIF(80:80,G20,81:81)-SUMIF(80:80,C20,81:81)+100</f>
        <v>102</v>
      </c>
      <c r="I19" s="561"/>
      <c r="J19" s="550">
        <f>SUMIF(80:80,I20,81:81)-SUMIF(80:80,C20,81:81)+100</f>
        <v>100</v>
      </c>
      <c r="K19" s="854">
        <f>'比较法-住宅、综合'!K29</f>
        <v>2</v>
      </c>
      <c r="L19" s="2020"/>
      <c r="M19" s="2012"/>
      <c r="N19" s="2012"/>
      <c r="O19" s="2019"/>
      <c r="P19" s="3881"/>
      <c r="Q19" s="1502" t="str">
        <f>B19</f>
        <v>公共配套设施</v>
      </c>
      <c r="R19" s="1503" t="s">
        <v>11</v>
      </c>
      <c r="S19" s="1504">
        <f>F19</f>
        <v>102</v>
      </c>
      <c r="T19" s="1503" t="s">
        <v>11</v>
      </c>
      <c r="U19" s="1504">
        <f>H19</f>
        <v>102</v>
      </c>
      <c r="V19" s="1503" t="s">
        <v>11</v>
      </c>
      <c r="W19" s="1504">
        <f>J19</f>
        <v>100</v>
      </c>
      <c r="X19" s="1497"/>
      <c r="Y19" s="3881"/>
      <c r="Z19" s="1505" t="str">
        <f>Q19</f>
        <v>公共配套设施</v>
      </c>
      <c r="AA19" s="1506">
        <f t="shared" si="3"/>
        <v>0.98039215686274506</v>
      </c>
      <c r="AB19" s="1506">
        <f t="shared" si="4"/>
        <v>0.98039215686274506</v>
      </c>
      <c r="AC19" s="1506">
        <f t="shared" si="5"/>
        <v>1</v>
      </c>
    </row>
    <row r="20" spans="1:29" ht="15">
      <c r="A20" s="523"/>
      <c r="B20" s="586"/>
      <c r="C20" s="567" t="s">
        <v>3188</v>
      </c>
      <c r="D20" s="546"/>
      <c r="E20" s="547" t="s">
        <v>3187</v>
      </c>
      <c r="F20" s="548"/>
      <c r="G20" s="549" t="s">
        <v>3187</v>
      </c>
      <c r="H20" s="546"/>
      <c r="I20" s="567" t="s">
        <v>3188</v>
      </c>
      <c r="J20" s="546"/>
      <c r="K20" s="856"/>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1</v>
      </c>
      <c r="L21" s="2020"/>
      <c r="M21" s="2012"/>
      <c r="N21" s="2012"/>
      <c r="O21" s="2019"/>
      <c r="P21" s="3881"/>
      <c r="Q21" s="2425" t="str">
        <f>B21</f>
        <v>基础设施水平</v>
      </c>
      <c r="R21" s="1503" t="s">
        <v>11</v>
      </c>
      <c r="S21" s="1504">
        <f>F21</f>
        <v>100</v>
      </c>
      <c r="T21" s="1503" t="s">
        <v>11</v>
      </c>
      <c r="U21" s="1504">
        <f>H21</f>
        <v>100</v>
      </c>
      <c r="V21" s="1503" t="s">
        <v>11</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908"/>
      <c r="C22" s="859" t="s">
        <v>3189</v>
      </c>
      <c r="D22" s="546"/>
      <c r="E22" s="567" t="s">
        <v>3189</v>
      </c>
      <c r="F22" s="548"/>
      <c r="G22" s="567" t="s">
        <v>3189</v>
      </c>
      <c r="H22" s="546"/>
      <c r="I22" s="567" t="s">
        <v>3189</v>
      </c>
      <c r="J22" s="546"/>
      <c r="K22" s="2439"/>
      <c r="L22" s="2020"/>
      <c r="M22" s="2012"/>
      <c r="N22" s="2012"/>
      <c r="O22" s="2019"/>
      <c r="P22" s="3881"/>
      <c r="Q22" s="2425"/>
      <c r="R22" s="1503"/>
      <c r="S22" s="1504"/>
      <c r="T22" s="1503"/>
      <c r="U22" s="1504"/>
      <c r="V22" s="1503"/>
      <c r="W22" s="1504"/>
      <c r="X22" s="2427"/>
      <c r="Y22" s="3881"/>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102</v>
      </c>
      <c r="G23" s="555"/>
      <c r="H23" s="550">
        <f>SUMIF(84:84,G24,85:85)-SUMIF(84:84,C24,85:85)+100</f>
        <v>102</v>
      </c>
      <c r="I23" s="553"/>
      <c r="J23" s="550">
        <f>SUMIF(84:84,I24,85:85)-SUMIF(84:84,C24,85:85)+100</f>
        <v>100</v>
      </c>
      <c r="K23" s="854">
        <f>'比较法-住宅、综合'!K27</f>
        <v>2</v>
      </c>
      <c r="L23" s="2020"/>
      <c r="M23" s="2012"/>
      <c r="N23" s="2012"/>
      <c r="O23" s="2019"/>
      <c r="P23" s="3881"/>
      <c r="Q23" s="1502" t="str">
        <f>B23</f>
        <v>自然及人文环境</v>
      </c>
      <c r="R23" s="1503" t="s">
        <v>11</v>
      </c>
      <c r="S23" s="1504">
        <f>F23</f>
        <v>102</v>
      </c>
      <c r="T23" s="1503" t="s">
        <v>11</v>
      </c>
      <c r="U23" s="1504">
        <f>H23</f>
        <v>102</v>
      </c>
      <c r="V23" s="1503" t="s">
        <v>11</v>
      </c>
      <c r="W23" s="1504">
        <f>J23</f>
        <v>100</v>
      </c>
      <c r="X23" s="1497"/>
      <c r="Y23" s="3881"/>
      <c r="Z23" s="1505" t="str">
        <f>Q23</f>
        <v>自然及人文环境</v>
      </c>
      <c r="AA23" s="1506">
        <f t="shared" si="3"/>
        <v>0.98039215686274506</v>
      </c>
      <c r="AB23" s="1506">
        <f t="shared" si="4"/>
        <v>0.98039215686274506</v>
      </c>
      <c r="AC23" s="1506">
        <f t="shared" si="5"/>
        <v>1</v>
      </c>
    </row>
    <row r="24" spans="1:29" ht="15.75" thickBot="1">
      <c r="A24" s="523"/>
      <c r="B24" s="586"/>
      <c r="C24" s="567" t="s">
        <v>3188</v>
      </c>
      <c r="D24" s="546"/>
      <c r="E24" s="547" t="s">
        <v>3187</v>
      </c>
      <c r="F24" s="548"/>
      <c r="G24" s="549" t="s">
        <v>3187</v>
      </c>
      <c r="H24" s="546"/>
      <c r="I24" s="567" t="s">
        <v>3188</v>
      </c>
      <c r="J24" s="546"/>
      <c r="K24" s="856"/>
      <c r="L24" s="2020"/>
      <c r="M24" s="2012"/>
      <c r="N24" s="2012"/>
      <c r="O24" s="2019"/>
      <c r="P24" s="3881"/>
      <c r="Q24" s="1502"/>
      <c r="R24" s="1503"/>
      <c r="S24" s="1504"/>
      <c r="T24" s="1503"/>
      <c r="U24" s="1504"/>
      <c r="V24" s="1503"/>
      <c r="W24" s="1504"/>
      <c r="X24" s="1497"/>
      <c r="Y24" s="3881"/>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881"/>
      <c r="Q25" s="1502" t="str">
        <f t="shared" ref="Q25:Q46" si="11">B25</f>
        <v>楼层-1</v>
      </c>
      <c r="R25" s="1503" t="s">
        <v>11</v>
      </c>
      <c r="S25" s="1504">
        <f>F25</f>
        <v>100</v>
      </c>
      <c r="T25" s="1503" t="s">
        <v>11</v>
      </c>
      <c r="U25" s="1504">
        <f>H25</f>
        <v>100</v>
      </c>
      <c r="V25" s="1503" t="s">
        <v>11</v>
      </c>
      <c r="W25" s="1504">
        <f>J25</f>
        <v>100</v>
      </c>
      <c r="X25" s="1497"/>
      <c r="Y25" s="3881"/>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881"/>
      <c r="Q26" s="1502" t="str">
        <f t="shared" si="11"/>
        <v>朝向</v>
      </c>
      <c r="R26" s="1503" t="s">
        <v>11</v>
      </c>
      <c r="S26" s="1504">
        <f>F26</f>
        <v>100</v>
      </c>
      <c r="T26" s="1503" t="s">
        <v>11</v>
      </c>
      <c r="U26" s="1504">
        <f>H26</f>
        <v>100</v>
      </c>
      <c r="V26" s="1503" t="s">
        <v>11</v>
      </c>
      <c r="W26" s="1504">
        <f>J26</f>
        <v>100</v>
      </c>
      <c r="X26" s="1497"/>
      <c r="Y26" s="3881"/>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881"/>
      <c r="Q27" s="1131" t="str">
        <f t="shared" si="11"/>
        <v>道路级别</v>
      </c>
      <c r="R27" s="1498" t="s">
        <v>11</v>
      </c>
      <c r="S27" s="1499">
        <f>F27</f>
        <v>100</v>
      </c>
      <c r="T27" s="1498" t="s">
        <v>11</v>
      </c>
      <c r="U27" s="1499">
        <f>H27</f>
        <v>100</v>
      </c>
      <c r="V27" s="1498" t="s">
        <v>11</v>
      </c>
      <c r="W27" s="1499">
        <f>J27</f>
        <v>100</v>
      </c>
      <c r="X27" s="1500"/>
      <c r="Y27" s="3881"/>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881"/>
      <c r="Q28" s="1502">
        <f t="shared" si="11"/>
        <v>111</v>
      </c>
      <c r="R28" s="1503" t="s">
        <v>11</v>
      </c>
      <c r="S28" s="1504">
        <f t="shared" ref="S28:S46" si="12">F28</f>
        <v>100</v>
      </c>
      <c r="T28" s="1503" t="s">
        <v>11</v>
      </c>
      <c r="U28" s="1504">
        <f t="shared" ref="U28:U46" si="13">H28</f>
        <v>100</v>
      </c>
      <c r="V28" s="1503" t="s">
        <v>11</v>
      </c>
      <c r="W28" s="1504">
        <f t="shared" ref="W28:W46" si="14">J28</f>
        <v>100</v>
      </c>
      <c r="X28" s="1497"/>
      <c r="Y28" s="3881"/>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881"/>
      <c r="Q29" s="1502">
        <f t="shared" si="11"/>
        <v>111</v>
      </c>
      <c r="R29" s="1503" t="s">
        <v>11</v>
      </c>
      <c r="S29" s="1504">
        <f t="shared" si="12"/>
        <v>100</v>
      </c>
      <c r="T29" s="1503" t="s">
        <v>11</v>
      </c>
      <c r="U29" s="1504">
        <f t="shared" si="13"/>
        <v>100</v>
      </c>
      <c r="V29" s="1503" t="s">
        <v>11</v>
      </c>
      <c r="W29" s="1504">
        <f t="shared" si="14"/>
        <v>100</v>
      </c>
      <c r="X29" s="1497"/>
      <c r="Y29" s="3881"/>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881"/>
      <c r="Q30" s="1502">
        <f t="shared" si="11"/>
        <v>111</v>
      </c>
      <c r="R30" s="1503" t="s">
        <v>11</v>
      </c>
      <c r="S30" s="1504">
        <f t="shared" si="12"/>
        <v>100</v>
      </c>
      <c r="T30" s="1503" t="s">
        <v>11</v>
      </c>
      <c r="U30" s="1504">
        <f t="shared" si="13"/>
        <v>100</v>
      </c>
      <c r="V30" s="1503" t="s">
        <v>11</v>
      </c>
      <c r="W30" s="1504">
        <f t="shared" si="14"/>
        <v>100</v>
      </c>
      <c r="X30" s="1497"/>
      <c r="Y30" s="3881"/>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881"/>
      <c r="Q31" s="1502">
        <f t="shared" si="11"/>
        <v>111</v>
      </c>
      <c r="R31" s="1503" t="s">
        <v>11</v>
      </c>
      <c r="S31" s="1504">
        <f t="shared" si="12"/>
        <v>100</v>
      </c>
      <c r="T31" s="1503" t="s">
        <v>11</v>
      </c>
      <c r="U31" s="1504">
        <f t="shared" si="13"/>
        <v>100</v>
      </c>
      <c r="V31" s="1503" t="s">
        <v>11</v>
      </c>
      <c r="W31" s="1504">
        <f t="shared" si="14"/>
        <v>100</v>
      </c>
      <c r="X31" s="1497"/>
      <c r="Y31" s="3881"/>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882" t="s">
        <v>521</v>
      </c>
      <c r="Q32" s="1502" t="str">
        <f t="shared" si="11"/>
        <v>建筑类型</v>
      </c>
      <c r="R32" s="1503" t="s">
        <v>11</v>
      </c>
      <c r="S32" s="1504">
        <f t="shared" si="12"/>
        <v>100</v>
      </c>
      <c r="T32" s="1503" t="s">
        <v>11</v>
      </c>
      <c r="U32" s="1504">
        <f t="shared" si="13"/>
        <v>100</v>
      </c>
      <c r="V32" s="1503" t="s">
        <v>11</v>
      </c>
      <c r="W32" s="1504">
        <f t="shared" si="14"/>
        <v>100</v>
      </c>
      <c r="X32" s="1497"/>
      <c r="Y32" s="3883" t="s">
        <v>521</v>
      </c>
      <c r="Z32" s="1505" t="str">
        <f t="shared" si="15"/>
        <v>建筑类型</v>
      </c>
      <c r="AA32" s="1506">
        <f t="shared" si="3"/>
        <v>1</v>
      </c>
      <c r="AB32" s="1506">
        <f t="shared" si="4"/>
        <v>1</v>
      </c>
      <c r="AC32" s="1506">
        <f t="shared" si="5"/>
        <v>1</v>
      </c>
    </row>
    <row r="33" spans="1:29" s="1290" customFormat="1" ht="15">
      <c r="A33" s="594"/>
      <c r="B33" s="518" t="s">
        <v>697</v>
      </c>
      <c r="C33" s="866">
        <f>'数据-汇总表'!E31</f>
        <v>82153.719999999987</v>
      </c>
      <c r="D33" s="251">
        <v>100</v>
      </c>
      <c r="E33" s="525">
        <v>203902</v>
      </c>
      <c r="F33" s="849">
        <f>LOOKUP(E33,103:103,104:104)-LOOKUP(C33,103:103,104:104)+100</f>
        <v>100</v>
      </c>
      <c r="G33" s="524">
        <v>280000</v>
      </c>
      <c r="H33" s="251">
        <f>LOOKUP(G33,103:103,104:104)-LOOKUP(C33,103:103,104:104)+100</f>
        <v>100</v>
      </c>
      <c r="I33" s="525">
        <v>240000</v>
      </c>
      <c r="J33" s="251">
        <f>LOOKUP(I33,103:103,104:104)-LOOKUP(C33,103:103,104:104)+100</f>
        <v>100</v>
      </c>
      <c r="K33" s="851"/>
      <c r="L33" s="2018"/>
      <c r="M33" s="2048"/>
      <c r="N33" s="2048"/>
      <c r="O33" s="2021"/>
      <c r="P33" s="3883"/>
      <c r="Q33" s="1531" t="str">
        <f t="shared" si="11"/>
        <v>项目建筑规模</v>
      </c>
      <c r="R33" s="1507" t="s">
        <v>11</v>
      </c>
      <c r="S33" s="1508">
        <f t="shared" si="12"/>
        <v>100</v>
      </c>
      <c r="T33" s="1507" t="s">
        <v>11</v>
      </c>
      <c r="U33" s="1508">
        <f t="shared" si="13"/>
        <v>100</v>
      </c>
      <c r="V33" s="1507" t="s">
        <v>11</v>
      </c>
      <c r="W33" s="1508">
        <f t="shared" si="14"/>
        <v>100</v>
      </c>
      <c r="X33" s="1509"/>
      <c r="Y33" s="3883"/>
      <c r="Z33" s="1510" t="str">
        <f t="shared" si="15"/>
        <v>项目建筑规模</v>
      </c>
      <c r="AA33" s="1506">
        <f t="shared" si="3"/>
        <v>1</v>
      </c>
      <c r="AB33" s="1506">
        <f t="shared" si="4"/>
        <v>1</v>
      </c>
      <c r="AC33" s="1506">
        <f t="shared" si="5"/>
        <v>1</v>
      </c>
    </row>
    <row r="34" spans="1:29" ht="15">
      <c r="A34" s="585"/>
      <c r="B34" s="518" t="s">
        <v>698</v>
      </c>
      <c r="C34" s="867" t="s">
        <v>3206</v>
      </c>
      <c r="D34" s="531">
        <v>100</v>
      </c>
      <c r="E34" s="868" t="s">
        <v>3206</v>
      </c>
      <c r="F34" s="566">
        <f>SUMIF(105:105,E34,106:106)-SUMIF(105:105,C34,106:106)+100</f>
        <v>100</v>
      </c>
      <c r="G34" s="867" t="s">
        <v>3206</v>
      </c>
      <c r="H34" s="531">
        <f>SUMIF(105:105,G34,106:106)-SUMIF(105:105,C34,106:106)+100</f>
        <v>100</v>
      </c>
      <c r="I34" s="868" t="s">
        <v>3206</v>
      </c>
      <c r="J34" s="531">
        <f>SUMIF(105:105,I34,106:106)-SUMIF(105:105,C34,106:106)+100</f>
        <v>100</v>
      </c>
      <c r="K34" s="850">
        <v>2</v>
      </c>
      <c r="L34" s="2020"/>
      <c r="M34" s="2012"/>
      <c r="N34" s="2012"/>
      <c r="O34" s="2019"/>
      <c r="P34" s="3883"/>
      <c r="Q34" s="1502" t="str">
        <f t="shared" si="11"/>
        <v>建筑结构</v>
      </c>
      <c r="R34" s="1503" t="s">
        <v>11</v>
      </c>
      <c r="S34" s="1504">
        <f t="shared" si="12"/>
        <v>100</v>
      </c>
      <c r="T34" s="1503" t="s">
        <v>11</v>
      </c>
      <c r="U34" s="1504">
        <f t="shared" si="13"/>
        <v>100</v>
      </c>
      <c r="V34" s="1503" t="s">
        <v>11</v>
      </c>
      <c r="W34" s="1504">
        <f t="shared" si="14"/>
        <v>100</v>
      </c>
      <c r="X34" s="1497"/>
      <c r="Y34" s="3883"/>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883"/>
      <c r="Q35" s="1502" t="str">
        <f t="shared" si="11"/>
        <v>建筑品质</v>
      </c>
      <c r="R35" s="1503" t="s">
        <v>11</v>
      </c>
      <c r="S35" s="1504">
        <f t="shared" si="12"/>
        <v>100</v>
      </c>
      <c r="T35" s="1503" t="s">
        <v>11</v>
      </c>
      <c r="U35" s="1504">
        <f t="shared" si="13"/>
        <v>100</v>
      </c>
      <c r="V35" s="1503" t="s">
        <v>11</v>
      </c>
      <c r="W35" s="1504">
        <f t="shared" si="14"/>
        <v>100</v>
      </c>
      <c r="X35" s="1497"/>
      <c r="Y35" s="3883"/>
      <c r="Z35" s="1505" t="str">
        <f t="shared" si="15"/>
        <v>建筑品质</v>
      </c>
      <c r="AA35" s="1506">
        <f t="shared" si="3"/>
        <v>1</v>
      </c>
      <c r="AB35" s="1506">
        <f t="shared" si="4"/>
        <v>1</v>
      </c>
      <c r="AC35" s="1506">
        <f t="shared" si="5"/>
        <v>1</v>
      </c>
    </row>
    <row r="36" spans="1:29" ht="15">
      <c r="A36" s="585"/>
      <c r="B36" s="518" t="s">
        <v>700</v>
      </c>
      <c r="C36" s="590" t="s">
        <v>3209</v>
      </c>
      <c r="D36" s="531">
        <v>100</v>
      </c>
      <c r="E36" s="590" t="s">
        <v>3209</v>
      </c>
      <c r="F36" s="566">
        <f>SUMIF(109:109,E36,110:110)-SUMIF(109:109,C36,110:110)+100</f>
        <v>100</v>
      </c>
      <c r="G36" s="590" t="s">
        <v>3209</v>
      </c>
      <c r="H36" s="531">
        <f>SUMIF(109:109,G36,110:110)-SUMIF(109:109,C36,110:110)+100</f>
        <v>100</v>
      </c>
      <c r="I36" s="590" t="s">
        <v>3209</v>
      </c>
      <c r="J36" s="531">
        <f>SUMIF(109:109,I36,110:110)-SUMIF(109:109,C36,110:110)+100</f>
        <v>100</v>
      </c>
      <c r="K36" s="850">
        <v>2</v>
      </c>
      <c r="L36" s="2020"/>
      <c r="M36" s="2012"/>
      <c r="N36" s="2012"/>
      <c r="O36" s="2019"/>
      <c r="P36" s="3883"/>
      <c r="Q36" s="1502" t="str">
        <f t="shared" si="11"/>
        <v>公共部分装修</v>
      </c>
      <c r="R36" s="1503" t="s">
        <v>11</v>
      </c>
      <c r="S36" s="1504">
        <f t="shared" si="12"/>
        <v>100</v>
      </c>
      <c r="T36" s="1503" t="s">
        <v>11</v>
      </c>
      <c r="U36" s="1504">
        <f t="shared" si="13"/>
        <v>100</v>
      </c>
      <c r="V36" s="1503" t="s">
        <v>11</v>
      </c>
      <c r="W36" s="1504">
        <f t="shared" si="14"/>
        <v>100</v>
      </c>
      <c r="X36" s="1497"/>
      <c r="Y36" s="3883"/>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883"/>
      <c r="Q37" s="1131" t="str">
        <f t="shared" si="11"/>
        <v>成新度</v>
      </c>
      <c r="R37" s="1498" t="s">
        <v>11</v>
      </c>
      <c r="S37" s="1499">
        <f t="shared" si="12"/>
        <v>100</v>
      </c>
      <c r="T37" s="1498" t="s">
        <v>11</v>
      </c>
      <c r="U37" s="1499">
        <f t="shared" si="13"/>
        <v>100</v>
      </c>
      <c r="V37" s="1498" t="s">
        <v>11</v>
      </c>
      <c r="W37" s="1499">
        <f t="shared" si="14"/>
        <v>100</v>
      </c>
      <c r="X37" s="1500"/>
      <c r="Y37" s="3883"/>
      <c r="Z37" s="1130" t="str">
        <f t="shared" si="15"/>
        <v>成新度</v>
      </c>
      <c r="AA37" s="1501">
        <f t="shared" si="3"/>
        <v>1</v>
      </c>
      <c r="AB37" s="1501">
        <f t="shared" si="4"/>
        <v>1</v>
      </c>
      <c r="AC37" s="1501">
        <f t="shared" si="5"/>
        <v>1</v>
      </c>
    </row>
    <row r="38" spans="1:29" ht="15">
      <c r="A38" s="585"/>
      <c r="B38" s="518" t="s">
        <v>702</v>
      </c>
      <c r="C38" s="590" t="s">
        <v>3211</v>
      </c>
      <c r="D38" s="531">
        <v>100</v>
      </c>
      <c r="E38" s="590" t="s">
        <v>3211</v>
      </c>
      <c r="F38" s="566">
        <f>SUMIF(114:114,E38,115:115)-SUMIF(114:114,C38,115:115)+100</f>
        <v>100</v>
      </c>
      <c r="G38" s="590" t="s">
        <v>3211</v>
      </c>
      <c r="H38" s="531">
        <f>SUMIF(114:114,G38,115:115)-SUMIF(114:114,C38,115:115)+100</f>
        <v>100</v>
      </c>
      <c r="I38" s="590" t="s">
        <v>3211</v>
      </c>
      <c r="J38" s="531">
        <f>SUMIF(114:114,I38,115:115)-SUMIF(114:114,C38,115:115)+100</f>
        <v>100</v>
      </c>
      <c r="K38" s="850">
        <v>3</v>
      </c>
      <c r="L38" s="2020"/>
      <c r="M38" s="2012"/>
      <c r="N38" s="2012"/>
      <c r="O38" s="2019"/>
      <c r="P38" s="3883" t="s">
        <v>521</v>
      </c>
      <c r="Q38" s="1502" t="str">
        <f t="shared" si="11"/>
        <v>物业管理</v>
      </c>
      <c r="R38" s="1503" t="s">
        <v>11</v>
      </c>
      <c r="S38" s="1504">
        <f t="shared" si="12"/>
        <v>100</v>
      </c>
      <c r="T38" s="1503" t="s">
        <v>11</v>
      </c>
      <c r="U38" s="1504">
        <f t="shared" si="13"/>
        <v>100</v>
      </c>
      <c r="V38" s="1503" t="s">
        <v>11</v>
      </c>
      <c r="W38" s="1504">
        <f t="shared" si="14"/>
        <v>100</v>
      </c>
      <c r="X38" s="1497"/>
      <c r="Y38" s="3883" t="s">
        <v>521</v>
      </c>
      <c r="Z38" s="1505" t="str">
        <f t="shared" si="15"/>
        <v>物业管理</v>
      </c>
      <c r="AA38" s="1506">
        <f t="shared" si="3"/>
        <v>1</v>
      </c>
      <c r="AB38" s="1506">
        <f t="shared" si="4"/>
        <v>1</v>
      </c>
      <c r="AC38" s="1506">
        <f t="shared" si="5"/>
        <v>1</v>
      </c>
    </row>
    <row r="39" spans="1:29" ht="15">
      <c r="A39" s="585"/>
      <c r="B39" s="1805" t="s">
        <v>2521</v>
      </c>
      <c r="C39" s="590" t="s">
        <v>3195</v>
      </c>
      <c r="D39" s="531">
        <v>100</v>
      </c>
      <c r="E39" s="590" t="s">
        <v>3195</v>
      </c>
      <c r="F39" s="566">
        <f>SUMIF(116:116,E39,117:117)-SUMIF(116:116,C39,117:117)+100</f>
        <v>100</v>
      </c>
      <c r="G39" s="590" t="s">
        <v>3195</v>
      </c>
      <c r="H39" s="531">
        <f>SUMIF(116:116,G39,117:117)-SUMIF(116:116,C39,117:117)+100</f>
        <v>100</v>
      </c>
      <c r="I39" s="590" t="s">
        <v>3195</v>
      </c>
      <c r="J39" s="531">
        <f>SUMIF(116:116,I39,117:117)-SUMIF(116:116,C39,117:117)+100</f>
        <v>100</v>
      </c>
      <c r="K39" s="850">
        <v>2</v>
      </c>
      <c r="L39" s="2020"/>
      <c r="M39" s="2012"/>
      <c r="N39" s="2012"/>
      <c r="O39" s="2019"/>
      <c r="P39" s="3883"/>
      <c r="Q39" s="1502" t="str">
        <f t="shared" si="11"/>
        <v>市政基础设施</v>
      </c>
      <c r="R39" s="1503" t="s">
        <v>11</v>
      </c>
      <c r="S39" s="1504">
        <f t="shared" si="12"/>
        <v>100</v>
      </c>
      <c r="T39" s="1503" t="s">
        <v>11</v>
      </c>
      <c r="U39" s="1504">
        <f t="shared" si="13"/>
        <v>100</v>
      </c>
      <c r="V39" s="1503" t="s">
        <v>11</v>
      </c>
      <c r="W39" s="1504">
        <f t="shared" si="14"/>
        <v>100</v>
      </c>
      <c r="X39" s="1497"/>
      <c r="Y39" s="3883"/>
      <c r="Z39" s="1505" t="str">
        <f t="shared" si="15"/>
        <v>市政基础设施</v>
      </c>
      <c r="AA39" s="1506">
        <f t="shared" si="3"/>
        <v>1</v>
      </c>
      <c r="AB39" s="1506">
        <f t="shared" si="4"/>
        <v>1</v>
      </c>
      <c r="AC39" s="1506">
        <f t="shared" si="5"/>
        <v>1</v>
      </c>
    </row>
    <row r="40" spans="1:29" ht="15">
      <c r="A40" s="585"/>
      <c r="B40" s="518" t="s">
        <v>703</v>
      </c>
      <c r="C40" s="590" t="s">
        <v>3221</v>
      </c>
      <c r="D40" s="531">
        <v>100</v>
      </c>
      <c r="E40" s="590" t="s">
        <v>3221</v>
      </c>
      <c r="F40" s="566">
        <f>SUMIF(118:118,E40,119:119)-SUMIF(118:118,C40,119:119)+100</f>
        <v>100</v>
      </c>
      <c r="G40" s="590" t="s">
        <v>3221</v>
      </c>
      <c r="H40" s="531">
        <f>SUMIF(118:118,G40,119:119)-SUMIF(118:118,C40,119:119)+100</f>
        <v>100</v>
      </c>
      <c r="I40" s="590" t="s">
        <v>3221</v>
      </c>
      <c r="J40" s="531">
        <f>SUMIF(118:118,I40,119:119)-SUMIF(118:118,C40,119:119)+100</f>
        <v>100</v>
      </c>
      <c r="K40" s="850">
        <v>2</v>
      </c>
      <c r="L40" s="2020"/>
      <c r="M40" s="2012"/>
      <c r="N40" s="2012"/>
      <c r="O40" s="2019"/>
      <c r="P40" s="3883"/>
      <c r="Q40" s="1502" t="str">
        <f t="shared" si="11"/>
        <v>房型</v>
      </c>
      <c r="R40" s="1503" t="s">
        <v>11</v>
      </c>
      <c r="S40" s="1504">
        <f t="shared" si="12"/>
        <v>100</v>
      </c>
      <c r="T40" s="1503" t="s">
        <v>11</v>
      </c>
      <c r="U40" s="1504">
        <f t="shared" si="13"/>
        <v>100</v>
      </c>
      <c r="V40" s="1503" t="s">
        <v>11</v>
      </c>
      <c r="W40" s="1504">
        <f t="shared" si="14"/>
        <v>100</v>
      </c>
      <c r="X40" s="1497"/>
      <c r="Y40" s="3883"/>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883"/>
      <c r="Q41" s="1531" t="str">
        <f t="shared" si="11"/>
        <v>单套/主力户型建筑面积</v>
      </c>
      <c r="R41" s="1507" t="s">
        <v>11</v>
      </c>
      <c r="S41" s="1508">
        <f t="shared" si="12"/>
        <v>100</v>
      </c>
      <c r="T41" s="1507" t="s">
        <v>11</v>
      </c>
      <c r="U41" s="1508">
        <f t="shared" si="13"/>
        <v>100</v>
      </c>
      <c r="V41" s="1507" t="s">
        <v>11</v>
      </c>
      <c r="W41" s="1508">
        <f t="shared" si="14"/>
        <v>100</v>
      </c>
      <c r="X41" s="1509"/>
      <c r="Y41" s="3883"/>
      <c r="Z41" s="1510" t="str">
        <f t="shared" si="15"/>
        <v>单套/主力户型建筑面积</v>
      </c>
      <c r="AA41" s="1506">
        <f t="shared" si="3"/>
        <v>1</v>
      </c>
      <c r="AB41" s="1506">
        <f t="shared" si="4"/>
        <v>1</v>
      </c>
      <c r="AC41" s="1506">
        <f t="shared" si="5"/>
        <v>1</v>
      </c>
    </row>
    <row r="42" spans="1:29" ht="15">
      <c r="A42" s="585"/>
      <c r="B42" s="518" t="s">
        <v>705</v>
      </c>
      <c r="C42" s="590" t="s">
        <v>3209</v>
      </c>
      <c r="D42" s="531">
        <v>100</v>
      </c>
      <c r="E42" s="860" t="s">
        <v>3209</v>
      </c>
      <c r="F42" s="566">
        <f>SUMIF(122:122,E42,123:123)-SUMIF(122:122,C42,123:123)+100</f>
        <v>100</v>
      </c>
      <c r="G42" s="590" t="s">
        <v>3209</v>
      </c>
      <c r="H42" s="531">
        <f>SUMIF(122:122,G42,123:123)-SUMIF(122:122,C42,123:123)+100</f>
        <v>100</v>
      </c>
      <c r="I42" s="590" t="s">
        <v>3209</v>
      </c>
      <c r="J42" s="531">
        <f>SUMIF(122:122,I42,123:123)-SUMIF(122:122,C42,123:123)+100</f>
        <v>100</v>
      </c>
      <c r="K42" s="850">
        <v>1</v>
      </c>
      <c r="L42" s="2020"/>
      <c r="M42" s="2012"/>
      <c r="N42" s="2012"/>
      <c r="O42" s="2019"/>
      <c r="P42" s="3883"/>
      <c r="Q42" s="1502" t="str">
        <f t="shared" si="11"/>
        <v>内部装修</v>
      </c>
      <c r="R42" s="1503" t="s">
        <v>11</v>
      </c>
      <c r="S42" s="1504">
        <f t="shared" si="12"/>
        <v>100</v>
      </c>
      <c r="T42" s="1503" t="s">
        <v>11</v>
      </c>
      <c r="U42" s="1504">
        <f t="shared" si="13"/>
        <v>100</v>
      </c>
      <c r="V42" s="1503" t="s">
        <v>11</v>
      </c>
      <c r="W42" s="1504">
        <f t="shared" si="14"/>
        <v>100</v>
      </c>
      <c r="X42" s="1497"/>
      <c r="Y42" s="3883"/>
      <c r="Z42" s="1505" t="str">
        <f t="shared" si="15"/>
        <v>内部装修</v>
      </c>
      <c r="AA42" s="1506">
        <f t="shared" si="3"/>
        <v>1</v>
      </c>
      <c r="AB42" s="1506">
        <f t="shared" si="4"/>
        <v>1</v>
      </c>
      <c r="AC42" s="1506">
        <f t="shared" si="5"/>
        <v>1</v>
      </c>
    </row>
    <row r="43" spans="1:29" ht="27">
      <c r="A43" s="585"/>
      <c r="B43" s="518" t="s">
        <v>706</v>
      </c>
      <c r="C43" s="590" t="s">
        <v>3187</v>
      </c>
      <c r="D43" s="531">
        <v>100</v>
      </c>
      <c r="E43" s="860" t="s">
        <v>3187</v>
      </c>
      <c r="F43" s="566">
        <f>SUMIF(124:124,E43,125:125)-SUMIF(124:124,C43,125:125)+100</f>
        <v>100</v>
      </c>
      <c r="G43" s="590" t="s">
        <v>3187</v>
      </c>
      <c r="H43" s="531">
        <f>SUMIF(124:124,G43,125:125)-SUMIF(124:124,C43,125:125)+100</f>
        <v>100</v>
      </c>
      <c r="I43" s="860" t="s">
        <v>3187</v>
      </c>
      <c r="J43" s="531">
        <f>SUMIF(124:124,I43,125:125)-SUMIF(124:124,C43,125:125)+100</f>
        <v>100</v>
      </c>
      <c r="K43" s="850">
        <v>3</v>
      </c>
      <c r="L43" s="2020"/>
      <c r="M43" s="2012"/>
      <c r="N43" s="2012"/>
      <c r="O43" s="2019"/>
      <c r="P43" s="3883"/>
      <c r="Q43" s="1502" t="str">
        <f t="shared" si="11"/>
        <v>内部装修维护情况</v>
      </c>
      <c r="R43" s="1503" t="s">
        <v>11</v>
      </c>
      <c r="S43" s="1504">
        <f t="shared" si="12"/>
        <v>100</v>
      </c>
      <c r="T43" s="1503" t="s">
        <v>11</v>
      </c>
      <c r="U43" s="1504">
        <f t="shared" si="13"/>
        <v>100</v>
      </c>
      <c r="V43" s="1503" t="s">
        <v>11</v>
      </c>
      <c r="W43" s="1504">
        <f t="shared" si="14"/>
        <v>100</v>
      </c>
      <c r="X43" s="1497"/>
      <c r="Y43" s="3883"/>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883"/>
      <c r="Q44" s="1131">
        <f t="shared" si="11"/>
        <v>111</v>
      </c>
      <c r="R44" s="1498" t="s">
        <v>11</v>
      </c>
      <c r="S44" s="1499">
        <f t="shared" si="12"/>
        <v>100</v>
      </c>
      <c r="T44" s="1498" t="s">
        <v>11</v>
      </c>
      <c r="U44" s="1499">
        <f t="shared" si="13"/>
        <v>100</v>
      </c>
      <c r="V44" s="1498" t="s">
        <v>11</v>
      </c>
      <c r="W44" s="1499">
        <f t="shared" si="14"/>
        <v>100</v>
      </c>
      <c r="X44" s="1500"/>
      <c r="Y44" s="3883"/>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883"/>
      <c r="Q45" s="1502">
        <f t="shared" si="11"/>
        <v>111</v>
      </c>
      <c r="R45" s="1503" t="s">
        <v>11</v>
      </c>
      <c r="S45" s="1504">
        <f t="shared" si="12"/>
        <v>100</v>
      </c>
      <c r="T45" s="1503" t="s">
        <v>11</v>
      </c>
      <c r="U45" s="1504">
        <f t="shared" si="13"/>
        <v>100</v>
      </c>
      <c r="V45" s="1503" t="s">
        <v>11</v>
      </c>
      <c r="W45" s="1504">
        <f t="shared" si="14"/>
        <v>100</v>
      </c>
      <c r="X45" s="1497"/>
      <c r="Y45" s="3883"/>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963"/>
      <c r="Q46" s="1502">
        <f t="shared" si="11"/>
        <v>111</v>
      </c>
      <c r="R46" s="1503" t="s">
        <v>10</v>
      </c>
      <c r="S46" s="1504">
        <f t="shared" si="12"/>
        <v>100</v>
      </c>
      <c r="T46" s="1503" t="s">
        <v>10</v>
      </c>
      <c r="U46" s="1504">
        <f t="shared" si="13"/>
        <v>100</v>
      </c>
      <c r="V46" s="1503" t="s">
        <v>10</v>
      </c>
      <c r="W46" s="1504">
        <f t="shared" si="14"/>
        <v>100</v>
      </c>
      <c r="X46" s="1497"/>
      <c r="Y46" s="3963"/>
      <c r="Z46" s="1505">
        <f t="shared" si="15"/>
        <v>111</v>
      </c>
      <c r="AA46" s="1506">
        <f t="shared" si="3"/>
        <v>1</v>
      </c>
      <c r="AB46" s="1506">
        <f t="shared" si="4"/>
        <v>1</v>
      </c>
      <c r="AC46" s="1506">
        <f t="shared" si="5"/>
        <v>1</v>
      </c>
    </row>
    <row r="47" spans="1:29" ht="15">
      <c r="A47" s="598" t="s">
        <v>707</v>
      </c>
      <c r="B47" s="873"/>
      <c r="C47" s="2466" t="s">
        <v>9</v>
      </c>
      <c r="D47" s="2467"/>
      <c r="E47" s="2468">
        <v>58954</v>
      </c>
      <c r="F47" s="2469"/>
      <c r="G47" s="2470">
        <v>63042</v>
      </c>
      <c r="H47" s="2471"/>
      <c r="I47" s="2468">
        <v>62252</v>
      </c>
      <c r="J47" s="2471"/>
      <c r="K47" s="1532"/>
      <c r="L47" s="2022"/>
      <c r="M47" s="2023"/>
      <c r="N47" s="2012"/>
      <c r="O47" s="2023"/>
      <c r="P47" s="3878" t="str">
        <f>A47</f>
        <v>成交单价（元/平方米）</v>
      </c>
      <c r="Q47" s="3878"/>
      <c r="R47" s="3962">
        <f>E47</f>
        <v>58954</v>
      </c>
      <c r="S47" s="3962"/>
      <c r="T47" s="3962">
        <f>G47</f>
        <v>63042</v>
      </c>
      <c r="U47" s="3962"/>
      <c r="V47" s="3962">
        <f>I47</f>
        <v>62252</v>
      </c>
      <c r="W47" s="3962"/>
      <c r="X47" s="1492"/>
      <c r="Y47" s="1511"/>
      <c r="Z47" s="1492"/>
      <c r="AA47" s="1492"/>
      <c r="AB47" s="1492"/>
      <c r="AC47" s="1492"/>
    </row>
    <row r="48" spans="1:29" ht="15.75" thickBot="1">
      <c r="A48" s="606" t="s">
        <v>2716</v>
      </c>
      <c r="B48" s="874"/>
      <c r="C48" s="2472">
        <f>R49</f>
        <v>62510</v>
      </c>
      <c r="D48" s="3006" t="s">
        <v>2945</v>
      </c>
      <c r="E48" s="2473">
        <f>R48</f>
        <v>59609</v>
      </c>
      <c r="F48" s="3007"/>
      <c r="G48" s="2472">
        <f>T48</f>
        <v>63743</v>
      </c>
      <c r="H48" s="3007"/>
      <c r="I48" s="2473">
        <f>V48</f>
        <v>64177</v>
      </c>
      <c r="J48" s="3007"/>
      <c r="K48" s="3015">
        <f>F48+H48+J48</f>
        <v>0</v>
      </c>
      <c r="L48" s="2022"/>
      <c r="M48" s="2023"/>
      <c r="N48" s="2023"/>
      <c r="O48" s="2023"/>
      <c r="P48" s="3878" t="str">
        <f>A48</f>
        <v>比较价格（元/平方米）</v>
      </c>
      <c r="Q48" s="3878"/>
      <c r="R48" s="3962">
        <f>IF(F1="售价",ROUND(PRODUCT(R47,AA7:AA46),0),ROUND(PRODUCT(R47,AA7:AA46),1))</f>
        <v>59609</v>
      </c>
      <c r="S48" s="3962"/>
      <c r="T48" s="3962">
        <f>IF(F1="售价",ROUND(PRODUCT(T47,AB7:AB46),0),ROUND(PRODUCT(T47,AB7:AB46),1))</f>
        <v>63743</v>
      </c>
      <c r="U48" s="3962"/>
      <c r="V48" s="3962">
        <f>IF(F1="售价",ROUND(PRODUCT(V47,AC7:AC46),0),ROUND(PRODUCT(V47,AC7:AC46),1))</f>
        <v>64177</v>
      </c>
      <c r="W48" s="3962"/>
      <c r="X48" s="1492"/>
      <c r="Y48" s="1492"/>
      <c r="Z48" s="1492"/>
      <c r="AA48" s="1492"/>
      <c r="AB48" s="1492"/>
      <c r="AC48" s="1492"/>
    </row>
    <row r="49" spans="1:29" ht="15.75" thickBot="1">
      <c r="A49" s="610" t="s">
        <v>2877</v>
      </c>
      <c r="B49" s="611"/>
      <c r="C49" s="2474">
        <f>R49</f>
        <v>62510</v>
      </c>
      <c r="D49" s="2474"/>
      <c r="E49" s="2474"/>
      <c r="F49" s="2474"/>
      <c r="G49" s="2474"/>
      <c r="H49" s="2474"/>
      <c r="I49" s="2474"/>
      <c r="J49" s="2474"/>
      <c r="K49" s="1533"/>
      <c r="L49" s="2022"/>
      <c r="M49" s="2023"/>
      <c r="N49" s="2023"/>
      <c r="O49" s="2023"/>
      <c r="P49" s="3899" t="str">
        <f>A49</f>
        <v>估价对象XX用房的比较价格（楼面单价，元/平方米）</v>
      </c>
      <c r="Q49" s="3900"/>
      <c r="R49" s="3961">
        <f>IF(F1="售价",ROUND(IF(D48="简单平均",AVERAGE(R48:V48),R48*F48+T48*H48+V48*J48),0),ROUND(IF(D48="简单平均",AVERAGE(R48:V48),R48*F48+T48*H48+V48*J48),1))</f>
        <v>62510</v>
      </c>
      <c r="S49" s="3961"/>
      <c r="T49" s="3961"/>
      <c r="U49" s="3961"/>
      <c r="V49" s="3961"/>
      <c r="W49" s="3961"/>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f>IF(E47&lt;E48,E48/E47-1,E47/E48-1)</f>
        <v>1.1110357227668954E-2</v>
      </c>
      <c r="F52" s="616" t="str">
        <f>IF(OR(E52&gt;=0.3,E52&lt;=-0.3),"超过30%","")</f>
        <v/>
      </c>
      <c r="G52" s="615">
        <f>IF(G47&lt;G48,G48/G47-1,G47/G48-1)</f>
        <v>1.1119571079597712E-2</v>
      </c>
      <c r="H52" s="616" t="str">
        <f>IF(OR(G52&gt;=0.3,G52&lt;=-0.3),"超过30%","")</f>
        <v/>
      </c>
      <c r="I52" s="615">
        <f>IF(I47&lt;I48,I48/I47-1,I47/I48-1)</f>
        <v>3.0922701278673692E-2</v>
      </c>
      <c r="J52" s="616" t="str">
        <f>IF(OR(I52&gt;=0.3,I52&lt;=-0.3),"超过30%","")</f>
        <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f>IF(E48&lt;G48,G48/E48-1,E48/G48-1)</f>
        <v>6.9351943498465074E-2</v>
      </c>
      <c r="F53" s="616" t="str">
        <f>IF(OR(E53&gt;=0.2,E53&lt;=-0.2),"超过20%","")</f>
        <v/>
      </c>
      <c r="G53" s="615">
        <f>IF(G48&lt;I48,I48/G48-1,G48/I48-1)</f>
        <v>6.8085907472192897E-3</v>
      </c>
      <c r="H53" s="616" t="str">
        <f>IF(OR(G53&gt;=0.2,G53&lt;=-0.2),"超过20%","")</f>
        <v/>
      </c>
      <c r="I53" s="615">
        <f>IF(I48&lt;E48,E48/I48-1,I48/E48-1)</f>
        <v>7.663272324648962E-2</v>
      </c>
      <c r="J53" s="616" t="str">
        <f>IF(OR(I53&gt;=0.2,I53&lt;=-0.2),"超过20%","")</f>
        <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f>IF(E47&lt;G47,G47/E47-1,E47/G47-1)</f>
        <v>6.9342199002612182E-2</v>
      </c>
      <c r="F54" s="616" t="str">
        <f>IF(OR(E54&gt;=0.3,E54&lt;=-0.3),"超过30%","")</f>
        <v/>
      </c>
      <c r="G54" s="615">
        <f>IF(G47&lt;I47,I47/G47-1,G47/I47-1)</f>
        <v>1.2690355329949332E-2</v>
      </c>
      <c r="H54" s="616" t="str">
        <f>IF(OR(G54&gt;=0.3,G54&lt;=-0.3),"超过30%","")</f>
        <v/>
      </c>
      <c r="I54" s="615">
        <f>IF(I47&lt;E47,E47/I47-1,I47/E47-1)</f>
        <v>5.5941920819622126E-2</v>
      </c>
      <c r="J54" s="616" t="str">
        <f>IF(OR(I54&gt;=0.3,I54&lt;=-0.3),"超过30%","")</f>
        <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99</v>
      </c>
      <c r="E83" s="668">
        <f>D83-$K21</f>
        <v>98</v>
      </c>
      <c r="F83" s="668">
        <f>E83-$K21</f>
        <v>97</v>
      </c>
      <c r="G83" s="668">
        <f>F83-$K21</f>
        <v>96</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0(含)-300000</v>
      </c>
      <c r="D102" s="697" t="str">
        <f t="shared" ref="D102:L102" si="23">D103&amp;"(含)"&amp;"-"&amp;E103</f>
        <v>300000(含)-600000</v>
      </c>
      <c r="E102" s="697" t="str">
        <f t="shared" si="23"/>
        <v>600000(含)-900000</v>
      </c>
      <c r="F102" s="697" t="str">
        <f t="shared" si="23"/>
        <v>900000(含)-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300000</v>
      </c>
      <c r="E103" s="719">
        <v>600000</v>
      </c>
      <c r="F103" s="719">
        <v>900000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80" t="s">
        <v>3207</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1" t="s">
        <v>3208</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80" t="s">
        <v>3210</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80" t="s">
        <v>3212</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80" t="s">
        <v>3213</v>
      </c>
      <c r="D116" s="3280" t="s">
        <v>3214</v>
      </c>
      <c r="E116" s="3280" t="s">
        <v>3215</v>
      </c>
      <c r="F116" s="3280" t="s">
        <v>3216</v>
      </c>
      <c r="G116" s="3280" t="s">
        <v>3217</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1" t="s">
        <v>3222</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80" t="s">
        <v>3210</v>
      </c>
      <c r="D122" s="3280" t="s">
        <v>3218</v>
      </c>
      <c r="E122" s="3280" t="s">
        <v>3219</v>
      </c>
      <c r="F122" s="3281" t="s">
        <v>3220</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L19" sqref="L19"/>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3296</v>
      </c>
      <c r="C1" s="3343" t="s">
        <v>3314</v>
      </c>
      <c r="D1" s="3344" t="s">
        <v>3297</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ROUND(B3*D3/10000,0)</f>
        <v>29140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C37</f>
        <v>13301</v>
      </c>
      <c r="C3" s="3361" t="s">
        <v>3318</v>
      </c>
      <c r="D3" s="3362">
        <f>SUMIF('[1]数据-汇总表'!$C19:$C33,D1,'[1]数据-汇总表'!$E19:$E33)</f>
        <v>21908</v>
      </c>
      <c r="E3" s="3356"/>
      <c r="F3" s="3357"/>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67" t="s">
        <v>3320</v>
      </c>
      <c r="D4" s="3968"/>
      <c r="E4" s="3969" t="s">
        <v>3321</v>
      </c>
      <c r="F4" s="3970"/>
      <c r="G4" s="3967" t="s">
        <v>3322</v>
      </c>
      <c r="H4" s="3968"/>
      <c r="I4" s="3967" t="s">
        <v>3323</v>
      </c>
      <c r="J4" s="3968"/>
      <c r="K4" s="3367" t="s">
        <v>3324</v>
      </c>
      <c r="L4" s="3368"/>
      <c r="M4" s="3369"/>
      <c r="N4" s="3369"/>
      <c r="O4" s="3369"/>
      <c r="P4" s="3971" t="s">
        <v>3325</v>
      </c>
      <c r="Q4" s="3972"/>
      <c r="R4" s="3977" t="s">
        <v>3321</v>
      </c>
      <c r="S4" s="3978"/>
      <c r="T4" s="3977" t="s">
        <v>3322</v>
      </c>
      <c r="U4" s="3978"/>
      <c r="V4" s="3992" t="s">
        <v>3323</v>
      </c>
      <c r="W4" s="3992"/>
      <c r="X4" s="3370"/>
      <c r="Y4" s="3977" t="s">
        <v>3325</v>
      </c>
      <c r="Z4" s="3978"/>
      <c r="AA4" s="3964" t="s">
        <v>3321</v>
      </c>
      <c r="AB4" s="3965" t="s">
        <v>3322</v>
      </c>
      <c r="AC4" s="3964" t="s">
        <v>3323</v>
      </c>
    </row>
    <row r="5" spans="1:29" ht="15">
      <c r="A5" s="3372"/>
      <c r="B5" s="3373"/>
      <c r="C5" s="3981" t="s">
        <v>3326</v>
      </c>
      <c r="D5" s="3982"/>
      <c r="E5" s="3983" t="s">
        <v>3437</v>
      </c>
      <c r="F5" s="3984"/>
      <c r="G5" s="3985" t="s">
        <v>3438</v>
      </c>
      <c r="H5" s="3982"/>
      <c r="I5" s="3985" t="s">
        <v>3439</v>
      </c>
      <c r="J5" s="3982"/>
      <c r="K5" s="3367"/>
      <c r="L5" s="3368"/>
      <c r="M5" s="3369"/>
      <c r="N5" s="3369"/>
      <c r="O5" s="3369"/>
      <c r="P5" s="3973"/>
      <c r="Q5" s="3974"/>
      <c r="R5" s="3979"/>
      <c r="S5" s="3980"/>
      <c r="T5" s="3979"/>
      <c r="U5" s="3980"/>
      <c r="V5" s="3992"/>
      <c r="W5" s="3992"/>
      <c r="X5" s="3370"/>
      <c r="Y5" s="3979"/>
      <c r="Z5" s="3980"/>
      <c r="AA5" s="3965"/>
      <c r="AB5" s="3965"/>
      <c r="AC5" s="3965"/>
    </row>
    <row r="6" spans="1:29" ht="15.75" thickBot="1">
      <c r="A6" s="3374"/>
      <c r="B6" s="3375"/>
      <c r="C6" s="3986" t="s">
        <v>3327</v>
      </c>
      <c r="D6" s="3987"/>
      <c r="E6" s="3988" t="s">
        <v>3327</v>
      </c>
      <c r="F6" s="3989"/>
      <c r="G6" s="3986" t="s">
        <v>3327</v>
      </c>
      <c r="H6" s="3987"/>
      <c r="I6" s="3986" t="s">
        <v>3327</v>
      </c>
      <c r="J6" s="3987"/>
      <c r="K6" s="3367" t="s">
        <v>3328</v>
      </c>
      <c r="L6" s="3368"/>
      <c r="M6" s="3369"/>
      <c r="N6" s="3369"/>
      <c r="O6" s="3369"/>
      <c r="P6" s="3975"/>
      <c r="Q6" s="3976"/>
      <c r="R6" s="3979"/>
      <c r="S6" s="3980"/>
      <c r="T6" s="3990"/>
      <c r="U6" s="3991"/>
      <c r="V6" s="3992"/>
      <c r="W6" s="3992"/>
      <c r="X6" s="3370"/>
      <c r="Y6" s="3990"/>
      <c r="Z6" s="3991"/>
      <c r="AA6" s="3966"/>
      <c r="AB6" s="3966"/>
      <c r="AC6" s="3966"/>
    </row>
    <row r="7" spans="1:29" s="3389" customFormat="1" ht="15.75" thickBot="1">
      <c r="A7" s="3376"/>
      <c r="B7" s="3377" t="s">
        <v>3329</v>
      </c>
      <c r="C7" s="3378">
        <f>'[1]数据-取费表'!B2</f>
        <v>44557</v>
      </c>
      <c r="D7" s="3379">
        <v>100</v>
      </c>
      <c r="E7" s="3380">
        <v>44501</v>
      </c>
      <c r="F7" s="3381">
        <f>SUMIF(46:46,YEAR(E7)&amp;"-"&amp;MONTH(E7),47:47)</f>
        <v>100</v>
      </c>
      <c r="G7" s="3380">
        <v>44531</v>
      </c>
      <c r="H7" s="3379">
        <f>SUMIF(46:46,YEAR(G7)&amp;"-"&amp;MONTH(G7),47:47)</f>
        <v>100</v>
      </c>
      <c r="I7" s="3380">
        <v>44501</v>
      </c>
      <c r="J7" s="3379">
        <f>SUMIF(46:46,YEAR(I7)&amp;"-"&amp;MONTH(I7),47:47)</f>
        <v>100</v>
      </c>
      <c r="K7" s="3382"/>
      <c r="L7" s="3383"/>
      <c r="M7" s="3384"/>
      <c r="N7" s="3384"/>
      <c r="O7" s="3384"/>
      <c r="P7" s="3993" t="s">
        <v>3330</v>
      </c>
      <c r="Q7" s="3994"/>
      <c r="R7" s="3385" t="s">
        <v>3331</v>
      </c>
      <c r="S7" s="3386">
        <f t="shared" ref="S7:S14" si="0">F7</f>
        <v>100</v>
      </c>
      <c r="T7" s="3385" t="s">
        <v>3331</v>
      </c>
      <c r="U7" s="3386">
        <f t="shared" ref="U7:U14" si="1">H7</f>
        <v>100</v>
      </c>
      <c r="V7" s="3385" t="s">
        <v>3331</v>
      </c>
      <c r="W7" s="3386">
        <f t="shared" ref="W7:W14" si="2">J7</f>
        <v>100</v>
      </c>
      <c r="X7" s="3387"/>
      <c r="Y7" s="3993" t="s">
        <v>3330</v>
      </c>
      <c r="Z7" s="3995"/>
      <c r="AA7" s="3388">
        <f>D7/F7</f>
        <v>1</v>
      </c>
      <c r="AB7" s="3388">
        <f>D7/H7</f>
        <v>1</v>
      </c>
      <c r="AC7" s="3388">
        <f>D7/J7</f>
        <v>1</v>
      </c>
    </row>
    <row r="8" spans="1:29" s="3389" customFormat="1" ht="15.75" thickBot="1">
      <c r="A8" s="3390"/>
      <c r="B8" s="3391" t="s">
        <v>502</v>
      </c>
      <c r="C8" s="3392" t="s">
        <v>3332</v>
      </c>
      <c r="D8" s="3379">
        <v>100</v>
      </c>
      <c r="E8" s="3392" t="s">
        <v>3179</v>
      </c>
      <c r="F8" s="3381">
        <f>SUMIF(49:49,E8,50:50)-SUMIF(49:49,C8,50:50)+100</f>
        <v>100</v>
      </c>
      <c r="G8" s="3392" t="s">
        <v>3179</v>
      </c>
      <c r="H8" s="3379">
        <f>SUMIF(49:49,G8,50:50)-SUMIF(49:49,C8,50:50)+100</f>
        <v>100</v>
      </c>
      <c r="I8" s="3392" t="s">
        <v>3179</v>
      </c>
      <c r="J8" s="3379">
        <f>SUMIF(49:49,I8,50:50)-SUMIF(49:49,C8,50:50)+100</f>
        <v>100</v>
      </c>
      <c r="K8" s="3382"/>
      <c r="L8" s="3383"/>
      <c r="M8" s="3384"/>
      <c r="N8" s="3384"/>
      <c r="O8" s="3384"/>
      <c r="P8" s="3993" t="s">
        <v>3333</v>
      </c>
      <c r="Q8" s="3995"/>
      <c r="R8" s="3385" t="s">
        <v>3334</v>
      </c>
      <c r="S8" s="3386">
        <f t="shared" si="0"/>
        <v>100</v>
      </c>
      <c r="T8" s="3385" t="s">
        <v>3334</v>
      </c>
      <c r="U8" s="3386">
        <f t="shared" si="1"/>
        <v>100</v>
      </c>
      <c r="V8" s="3385" t="s">
        <v>3334</v>
      </c>
      <c r="W8" s="3386">
        <f t="shared" si="2"/>
        <v>100</v>
      </c>
      <c r="X8" s="3387"/>
      <c r="Y8" s="3993" t="s">
        <v>3333</v>
      </c>
      <c r="Z8" s="3995"/>
      <c r="AA8" s="3388">
        <f t="shared" ref="AA8:AA34" si="3">D8/F8</f>
        <v>1</v>
      </c>
      <c r="AB8" s="3388">
        <f t="shared" ref="AB8:AB34" si="4">D8/H8</f>
        <v>1</v>
      </c>
      <c r="AC8" s="3388">
        <f t="shared" ref="AC8:AC34" si="5">D8/J8</f>
        <v>1</v>
      </c>
    </row>
    <row r="9" spans="1:29" s="3389" customFormat="1" ht="15">
      <c r="A9" s="3393"/>
      <c r="B9" s="3394" t="s">
        <v>3335</v>
      </c>
      <c r="C9" s="3395" t="s">
        <v>3336</v>
      </c>
      <c r="D9" s="3396">
        <v>100</v>
      </c>
      <c r="E9" s="3397" t="s">
        <v>3296</v>
      </c>
      <c r="F9" s="3396">
        <f>SUMIF(51:51,E9,52:52)-SUMIF(51:51,C9,52:52)+100</f>
        <v>100</v>
      </c>
      <c r="G9" s="3397" t="s">
        <v>3296</v>
      </c>
      <c r="H9" s="3396">
        <f>SUMIF(51:51,G9,52:52)-SUMIF(51:51,C9,52:52)+100</f>
        <v>100</v>
      </c>
      <c r="I9" s="3397" t="s">
        <v>3296</v>
      </c>
      <c r="J9" s="3396">
        <f>SUMIF(51:51,I9,52:52)-SUMIF(51:51,C9,52:52)+100</f>
        <v>100</v>
      </c>
      <c r="K9" s="3382"/>
      <c r="L9" s="3383"/>
      <c r="M9" s="3384"/>
      <c r="N9" s="3384"/>
      <c r="O9" s="3398"/>
      <c r="P9" s="3996" t="s">
        <v>3337</v>
      </c>
      <c r="Q9" s="3399" t="str">
        <f t="shared" ref="Q9:Q14" si="6">B9</f>
        <v>用途</v>
      </c>
      <c r="R9" s="3385" t="s">
        <v>8</v>
      </c>
      <c r="S9" s="3386">
        <f t="shared" si="0"/>
        <v>100</v>
      </c>
      <c r="T9" s="3385" t="s">
        <v>8</v>
      </c>
      <c r="U9" s="3386">
        <f t="shared" si="1"/>
        <v>100</v>
      </c>
      <c r="V9" s="3385" t="s">
        <v>8</v>
      </c>
      <c r="W9" s="3386">
        <f t="shared" si="2"/>
        <v>100</v>
      </c>
      <c r="X9" s="3387"/>
      <c r="Y9" s="3997" t="s">
        <v>507</v>
      </c>
      <c r="Z9" s="3400" t="str">
        <f t="shared" ref="Z9:Z14" si="7">Q9</f>
        <v>用途</v>
      </c>
      <c r="AA9" s="3388">
        <f t="shared" si="3"/>
        <v>1</v>
      </c>
      <c r="AB9" s="3388">
        <f t="shared" si="4"/>
        <v>1</v>
      </c>
      <c r="AC9" s="3388">
        <f t="shared" si="5"/>
        <v>1</v>
      </c>
    </row>
    <row r="10" spans="1:29" s="3408" customFormat="1" ht="27">
      <c r="A10" s="3401"/>
      <c r="B10" s="3391" t="s">
        <v>2713</v>
      </c>
      <c r="C10" s="3402" t="s">
        <v>3338</v>
      </c>
      <c r="D10" s="3403">
        <v>100</v>
      </c>
      <c r="E10" s="3402" t="s">
        <v>3338</v>
      </c>
      <c r="F10" s="3403">
        <f>SUMIF(53:53,E10,54:54)-SUMIF(53:53,C10,54:54)+100</f>
        <v>100</v>
      </c>
      <c r="G10" s="3402" t="s">
        <v>3338</v>
      </c>
      <c r="H10" s="3403">
        <f>SUMIF(53:53,G10,54:54)-SUMIF(53:53,C10,54:54)+100</f>
        <v>100</v>
      </c>
      <c r="I10" s="3402" t="s">
        <v>3338</v>
      </c>
      <c r="J10" s="3403">
        <f>SUMIF(53:53,I10,54:54)-SUMIF(53:53,C10,54:54)+100</f>
        <v>100</v>
      </c>
      <c r="K10" s="3404">
        <f>'[1]比较法-住宅、综合'!K13</f>
        <v>1</v>
      </c>
      <c r="L10" s="3405"/>
      <c r="M10" s="3406"/>
      <c r="N10" s="3406"/>
      <c r="O10" s="3407"/>
      <c r="P10" s="3996"/>
      <c r="Q10" s="3399" t="str">
        <f t="shared" si="6"/>
        <v>土地使用年限（年）</v>
      </c>
      <c r="R10" s="3385" t="s">
        <v>8</v>
      </c>
      <c r="S10" s="3386">
        <f t="shared" si="0"/>
        <v>100</v>
      </c>
      <c r="T10" s="3385" t="s">
        <v>8</v>
      </c>
      <c r="U10" s="3386">
        <f t="shared" si="1"/>
        <v>100</v>
      </c>
      <c r="V10" s="3385" t="s">
        <v>8</v>
      </c>
      <c r="W10" s="3386">
        <f t="shared" si="2"/>
        <v>100</v>
      </c>
      <c r="X10" s="3387"/>
      <c r="Y10" s="3997"/>
      <c r="Z10" s="3400" t="str">
        <f t="shared" si="7"/>
        <v>土地使用年限（年）</v>
      </c>
      <c r="AA10" s="3388">
        <f t="shared" si="3"/>
        <v>1</v>
      </c>
      <c r="AB10" s="3388">
        <f t="shared" si="4"/>
        <v>1</v>
      </c>
      <c r="AC10" s="3388">
        <f t="shared" si="5"/>
        <v>1</v>
      </c>
    </row>
    <row r="11" spans="1:29" ht="15">
      <c r="A11" s="3409"/>
      <c r="B11" s="3410">
        <v>111</v>
      </c>
      <c r="C11" s="3411"/>
      <c r="D11" s="3403">
        <v>100</v>
      </c>
      <c r="E11" s="3412"/>
      <c r="F11" s="3403">
        <f>SUMIF(55:55,E11,56:56)-SUMIF(55:55,C11,56:56)+100</f>
        <v>100</v>
      </c>
      <c r="G11" s="3412"/>
      <c r="H11" s="3403">
        <f>SUMIF(55:55,G11,56:56)-SUMIF(55:55,C11,56:56)+100</f>
        <v>100</v>
      </c>
      <c r="I11" s="3412"/>
      <c r="J11" s="3403">
        <f>SUMIF(55:55,I11,56:56)-SUMIF(55:55,C11,56:56)+100</f>
        <v>100</v>
      </c>
      <c r="K11" s="3413"/>
      <c r="L11" s="3414"/>
      <c r="M11" s="3369"/>
      <c r="N11" s="3369"/>
      <c r="O11" s="3415"/>
      <c r="P11" s="3996"/>
      <c r="Q11" s="3399">
        <f t="shared" si="6"/>
        <v>111</v>
      </c>
      <c r="R11" s="3385" t="s">
        <v>8</v>
      </c>
      <c r="S11" s="3386">
        <f t="shared" si="0"/>
        <v>100</v>
      </c>
      <c r="T11" s="3385" t="s">
        <v>8</v>
      </c>
      <c r="U11" s="3386">
        <f t="shared" si="1"/>
        <v>100</v>
      </c>
      <c r="V11" s="3385" t="s">
        <v>8</v>
      </c>
      <c r="W11" s="3386">
        <f t="shared" si="2"/>
        <v>100</v>
      </c>
      <c r="X11" s="3387"/>
      <c r="Y11" s="3997"/>
      <c r="Z11" s="3400">
        <f t="shared" si="7"/>
        <v>111</v>
      </c>
      <c r="AA11" s="3388">
        <f t="shared" si="3"/>
        <v>1</v>
      </c>
      <c r="AB11" s="3388">
        <f t="shared" si="4"/>
        <v>1</v>
      </c>
      <c r="AC11" s="3388">
        <f t="shared" si="5"/>
        <v>1</v>
      </c>
    </row>
    <row r="12" spans="1:29" s="3389" customFormat="1" ht="15">
      <c r="A12" s="3409"/>
      <c r="B12" s="3410">
        <v>111</v>
      </c>
      <c r="C12" s="3411"/>
      <c r="D12" s="3416">
        <v>100</v>
      </c>
      <c r="E12" s="3412"/>
      <c r="F12" s="3403">
        <f>SUMIF(57:57,E12,58:58)-SUMIF(57:57,C12,58:58)+100</f>
        <v>100</v>
      </c>
      <c r="G12" s="3412"/>
      <c r="H12" s="3403">
        <f>SUMIF(57:57,G12,58:58)-SUMIF(57:57,C12,58:58)+100</f>
        <v>100</v>
      </c>
      <c r="I12" s="3412"/>
      <c r="J12" s="3403">
        <f>SUMIF(57:57,I12,58:58)-SUMIF(57:57,C12,58:58)+100</f>
        <v>100</v>
      </c>
      <c r="K12" s="3413"/>
      <c r="L12" s="3383"/>
      <c r="M12" s="3384"/>
      <c r="N12" s="3384"/>
      <c r="O12" s="3398"/>
      <c r="P12" s="3996"/>
      <c r="Q12" s="3399">
        <f t="shared" si="6"/>
        <v>111</v>
      </c>
      <c r="R12" s="3385" t="s">
        <v>8</v>
      </c>
      <c r="S12" s="3386">
        <f t="shared" si="0"/>
        <v>100</v>
      </c>
      <c r="T12" s="3385" t="s">
        <v>8</v>
      </c>
      <c r="U12" s="3386">
        <f t="shared" si="1"/>
        <v>100</v>
      </c>
      <c r="V12" s="3385" t="s">
        <v>8</v>
      </c>
      <c r="W12" s="3386">
        <f t="shared" si="2"/>
        <v>100</v>
      </c>
      <c r="X12" s="3387"/>
      <c r="Y12" s="3997"/>
      <c r="Z12" s="3400">
        <f t="shared" si="7"/>
        <v>111</v>
      </c>
      <c r="AA12" s="3388">
        <f>D12/F12</f>
        <v>1</v>
      </c>
      <c r="AB12" s="3388">
        <f>D12/H12</f>
        <v>1</v>
      </c>
      <c r="AC12" s="3388">
        <f>D12/J12</f>
        <v>1</v>
      </c>
    </row>
    <row r="13" spans="1:29" ht="15.75" thickBot="1">
      <c r="A13" s="3417"/>
      <c r="B13" s="3418">
        <v>111</v>
      </c>
      <c r="C13" s="3419"/>
      <c r="D13" s="3420">
        <v>100</v>
      </c>
      <c r="E13" s="3412"/>
      <c r="F13" s="3403">
        <f>SUMIF(59:59,E13,60:60)-SUMIF(59:59,C13,60:60)+100</f>
        <v>100</v>
      </c>
      <c r="G13" s="3412"/>
      <c r="H13" s="3420">
        <f>SUMIF(59:59,G13,60:60)-SUMIF(59:59,C13,60:60)+100</f>
        <v>100</v>
      </c>
      <c r="I13" s="3412"/>
      <c r="J13" s="3420">
        <f>SUMIF(59:59,I13,60:60)-SUMIF(59:59,C13,60:60)+100</f>
        <v>100</v>
      </c>
      <c r="K13" s="3413"/>
      <c r="L13" s="3421"/>
      <c r="M13" s="3369"/>
      <c r="N13" s="3369"/>
      <c r="O13" s="3415"/>
      <c r="P13" s="3996"/>
      <c r="Q13" s="3399">
        <f t="shared" si="6"/>
        <v>111</v>
      </c>
      <c r="R13" s="3385" t="s">
        <v>8</v>
      </c>
      <c r="S13" s="3386">
        <f t="shared" si="0"/>
        <v>100</v>
      </c>
      <c r="T13" s="3385" t="s">
        <v>8</v>
      </c>
      <c r="U13" s="3386">
        <f t="shared" si="1"/>
        <v>100</v>
      </c>
      <c r="V13" s="3385" t="s">
        <v>8</v>
      </c>
      <c r="W13" s="3386">
        <f t="shared" si="2"/>
        <v>100</v>
      </c>
      <c r="X13" s="3387"/>
      <c r="Y13" s="3997"/>
      <c r="Z13" s="3400">
        <f t="shared" si="7"/>
        <v>111</v>
      </c>
      <c r="AA13" s="3388">
        <f t="shared" si="3"/>
        <v>1</v>
      </c>
      <c r="AB13" s="3388">
        <f t="shared" si="4"/>
        <v>1</v>
      </c>
      <c r="AC13" s="3388">
        <f t="shared" si="5"/>
        <v>1</v>
      </c>
    </row>
    <row r="14" spans="1:29" ht="85.5">
      <c r="A14" s="3422" t="s">
        <v>3339</v>
      </c>
      <c r="B14" s="3423" t="s">
        <v>557</v>
      </c>
      <c r="C14" s="3424" t="str">
        <f>IF(B1="工业",[1]估价对象房地状况!G4,[1]估价对象房地状况!C6)</f>
        <v>估价对象周边道路状况、公共交通通达情况、停车便捷程度，综合评价交通便捷度一般</v>
      </c>
      <c r="D14" s="3425">
        <v>100</v>
      </c>
      <c r="E14" s="3426"/>
      <c r="F14" s="3427">
        <f>SUMIF(61:61,E15,62:62)-SUMIF(61:61,C15,62:62)+100</f>
        <v>98</v>
      </c>
      <c r="G14" s="3428"/>
      <c r="H14" s="3425">
        <f>SUMIF(61:61,G15,62:62)-SUMIF(61:61,C15,62:62)+100</f>
        <v>98</v>
      </c>
      <c r="I14" s="3426"/>
      <c r="J14" s="3425">
        <f>SUMIF(61:61,I15,62:62)-SUMIF(61:61,C15,62:62)+100</f>
        <v>98</v>
      </c>
      <c r="K14" s="3429">
        <f>'不动产比较法-住宅'!K17</f>
        <v>2</v>
      </c>
      <c r="L14" s="3421"/>
      <c r="M14" s="3369"/>
      <c r="N14" s="3369"/>
      <c r="O14" s="3415"/>
      <c r="P14" s="3998" t="s">
        <v>3340</v>
      </c>
      <c r="Q14" s="3430" t="str">
        <f t="shared" si="6"/>
        <v>交通便捷度</v>
      </c>
      <c r="R14" s="3431" t="s">
        <v>3331</v>
      </c>
      <c r="S14" s="3432">
        <f t="shared" si="0"/>
        <v>98</v>
      </c>
      <c r="T14" s="3431" t="s">
        <v>3331</v>
      </c>
      <c r="U14" s="3432">
        <f t="shared" si="1"/>
        <v>98</v>
      </c>
      <c r="V14" s="3431" t="s">
        <v>3331</v>
      </c>
      <c r="W14" s="3432">
        <f t="shared" si="2"/>
        <v>98</v>
      </c>
      <c r="X14" s="3370"/>
      <c r="Y14" s="3998" t="s">
        <v>3340</v>
      </c>
      <c r="Z14" s="3433" t="str">
        <f t="shared" si="7"/>
        <v>交通便捷度</v>
      </c>
      <c r="AA14" s="3434">
        <f t="shared" si="3"/>
        <v>1.0204081632653061</v>
      </c>
      <c r="AB14" s="3434">
        <f t="shared" si="4"/>
        <v>1.0204081632653061</v>
      </c>
      <c r="AC14" s="3434">
        <f t="shared" si="5"/>
        <v>1.0204081632653061</v>
      </c>
    </row>
    <row r="15" spans="1:29" ht="15">
      <c r="A15" s="3435"/>
      <c r="B15" s="3436"/>
      <c r="C15" s="3437" t="s">
        <v>3187</v>
      </c>
      <c r="D15" s="3438"/>
      <c r="E15" s="3437" t="s">
        <v>3188</v>
      </c>
      <c r="F15" s="3439"/>
      <c r="G15" s="3437" t="s">
        <v>3188</v>
      </c>
      <c r="H15" s="3440"/>
      <c r="I15" s="3437" t="s">
        <v>3188</v>
      </c>
      <c r="J15" s="3438"/>
      <c r="K15" s="3441"/>
      <c r="L15" s="3421"/>
      <c r="M15" s="3369"/>
      <c r="N15" s="3369"/>
      <c r="O15" s="3415"/>
      <c r="P15" s="3999"/>
      <c r="Q15" s="3430"/>
      <c r="R15" s="3431"/>
      <c r="S15" s="3432"/>
      <c r="T15" s="3431"/>
      <c r="U15" s="3432"/>
      <c r="V15" s="3431"/>
      <c r="W15" s="3432"/>
      <c r="X15" s="3370"/>
      <c r="Y15" s="3999"/>
      <c r="Z15" s="3433"/>
      <c r="AA15" s="3434">
        <v>1</v>
      </c>
      <c r="AB15" s="3434">
        <v>1</v>
      </c>
      <c r="AC15" s="3434">
        <v>1</v>
      </c>
    </row>
    <row r="16" spans="1:29" ht="42.75">
      <c r="A16" s="3435"/>
      <c r="B16" s="3442" t="s">
        <v>3341</v>
      </c>
      <c r="C16" s="3443" t="str">
        <f>IF(B1="工业",[1]估价对象房地状况!G5,[1]估价对象房地状况!C7)</f>
        <v>估价对象所在区域公共配套设施齐备情况一般</v>
      </c>
      <c r="D16" s="3444">
        <v>100</v>
      </c>
      <c r="E16" s="3445"/>
      <c r="F16" s="3446">
        <f>SUMIF(63:63,E17,64:64)-SUMIF(63:63,C17,64:64)+100</f>
        <v>102</v>
      </c>
      <c r="G16" s="3447"/>
      <c r="H16" s="3444">
        <f>SUMIF(63:63,G17,64:64)-SUMIF(63:63,C17,64:64)+100</f>
        <v>102</v>
      </c>
      <c r="I16" s="3445"/>
      <c r="J16" s="3444">
        <f>SUMIF(63:63,I17,64:64)-SUMIF(63:63,C17,64:64)+100</f>
        <v>100</v>
      </c>
      <c r="K16" s="3429">
        <f>'不动产比较法-住宅'!K19</f>
        <v>2</v>
      </c>
      <c r="L16" s="3421"/>
      <c r="M16" s="3369"/>
      <c r="N16" s="3369"/>
      <c r="O16" s="3415"/>
      <c r="P16" s="3999"/>
      <c r="Q16" s="3430" t="str">
        <f>B16</f>
        <v>公共配套设施</v>
      </c>
      <c r="R16" s="3431" t="s">
        <v>3331</v>
      </c>
      <c r="S16" s="3432">
        <f>F16</f>
        <v>102</v>
      </c>
      <c r="T16" s="3431" t="s">
        <v>3331</v>
      </c>
      <c r="U16" s="3432">
        <f>H16</f>
        <v>102</v>
      </c>
      <c r="V16" s="3431" t="s">
        <v>3331</v>
      </c>
      <c r="W16" s="3432">
        <f>J16</f>
        <v>100</v>
      </c>
      <c r="X16" s="3370"/>
      <c r="Y16" s="3999"/>
      <c r="Z16" s="3433" t="str">
        <f>Q16</f>
        <v>公共配套设施</v>
      </c>
      <c r="AA16" s="3434">
        <f t="shared" si="3"/>
        <v>0.98039215686274506</v>
      </c>
      <c r="AB16" s="3434">
        <f t="shared" si="4"/>
        <v>0.98039215686274506</v>
      </c>
      <c r="AC16" s="3434">
        <f t="shared" si="5"/>
        <v>1</v>
      </c>
    </row>
    <row r="17" spans="1:29" ht="15">
      <c r="A17" s="3435"/>
      <c r="B17" s="3448"/>
      <c r="C17" s="3449" t="s">
        <v>3188</v>
      </c>
      <c r="D17" s="3438"/>
      <c r="E17" s="3437" t="s">
        <v>3187</v>
      </c>
      <c r="F17" s="3439"/>
      <c r="G17" s="3437" t="s">
        <v>3187</v>
      </c>
      <c r="H17" s="3438"/>
      <c r="I17" s="3437" t="s">
        <v>3188</v>
      </c>
      <c r="J17" s="3438"/>
      <c r="K17" s="3441"/>
      <c r="L17" s="3421"/>
      <c r="M17" s="3369"/>
      <c r="N17" s="3369"/>
      <c r="O17" s="3415"/>
      <c r="P17" s="3999"/>
      <c r="Q17" s="3430"/>
      <c r="R17" s="3431"/>
      <c r="S17" s="3432"/>
      <c r="T17" s="3431"/>
      <c r="U17" s="3432"/>
      <c r="V17" s="3431"/>
      <c r="W17" s="3432"/>
      <c r="X17" s="3370"/>
      <c r="Y17" s="3999"/>
      <c r="Z17" s="3433"/>
      <c r="AA17" s="3434">
        <v>1</v>
      </c>
      <c r="AB17" s="3434">
        <v>1</v>
      </c>
      <c r="AC17" s="3434">
        <v>1</v>
      </c>
    </row>
    <row r="18" spans="1:29" ht="28.5">
      <c r="A18" s="3435"/>
      <c r="B18" s="3450" t="s">
        <v>3342</v>
      </c>
      <c r="C18" s="3443" t="str">
        <f>IF(B1="工业",[1]估价对象房地状况!G6,[1]估价对象房地状况!C8)</f>
        <v>估价对象所在区域基础设施水平</v>
      </c>
      <c r="D18" s="3440">
        <v>100</v>
      </c>
      <c r="E18" s="3451"/>
      <c r="F18" s="3452">
        <f>SUMIF(65:65,E19,66:66)-SUMIF(65:65,C19,66:66)+100</f>
        <v>100</v>
      </c>
      <c r="G18" s="3453"/>
      <c r="H18" s="3444">
        <f>SUMIF(65:65,G19,66:66)-SUMIF(65:65,C19,66:66)+100</f>
        <v>100</v>
      </c>
      <c r="I18" s="3445"/>
      <c r="J18" s="3444">
        <f>SUMIF(65:65,I19,66:66)-SUMIF(65:65,C19,66:66)+100</f>
        <v>100</v>
      </c>
      <c r="K18" s="3429">
        <f>'不动产比较法-住宅'!K21</f>
        <v>1</v>
      </c>
      <c r="L18" s="3421"/>
      <c r="M18" s="3369"/>
      <c r="N18" s="3369"/>
      <c r="O18" s="3415"/>
      <c r="P18" s="3999"/>
      <c r="Q18" s="3430" t="str">
        <f>B18</f>
        <v>基础设施水平</v>
      </c>
      <c r="R18" s="3431" t="s">
        <v>3331</v>
      </c>
      <c r="S18" s="3432">
        <f>F18</f>
        <v>100</v>
      </c>
      <c r="T18" s="3431" t="s">
        <v>3331</v>
      </c>
      <c r="U18" s="3432">
        <f>H18</f>
        <v>100</v>
      </c>
      <c r="V18" s="3431" t="s">
        <v>3331</v>
      </c>
      <c r="W18" s="3432">
        <f>J18</f>
        <v>100</v>
      </c>
      <c r="X18" s="3370"/>
      <c r="Y18" s="3999"/>
      <c r="Z18" s="3433" t="str">
        <f>Q18</f>
        <v>基础设施水平</v>
      </c>
      <c r="AA18" s="3434">
        <f t="shared" ref="AA18" si="8">D18/F18</f>
        <v>1</v>
      </c>
      <c r="AB18" s="3434">
        <f t="shared" ref="AB18" si="9">D18/H18</f>
        <v>1</v>
      </c>
      <c r="AC18" s="3434">
        <f t="shared" ref="AC18" si="10">D18/J18</f>
        <v>1</v>
      </c>
    </row>
    <row r="19" spans="1:29" ht="15">
      <c r="A19" s="3435"/>
      <c r="B19" s="3454"/>
      <c r="C19" s="3449" t="s">
        <v>3189</v>
      </c>
      <c r="D19" s="3440"/>
      <c r="E19" s="3449" t="s">
        <v>3189</v>
      </c>
      <c r="F19" s="3452"/>
      <c r="G19" s="3449" t="s">
        <v>3189</v>
      </c>
      <c r="H19" s="3438"/>
      <c r="I19" s="3449" t="s">
        <v>3189</v>
      </c>
      <c r="J19" s="3438"/>
      <c r="K19" s="3455"/>
      <c r="L19" s="3421"/>
      <c r="M19" s="3369"/>
      <c r="N19" s="3369"/>
      <c r="O19" s="3415"/>
      <c r="P19" s="3999"/>
      <c r="Q19" s="3430"/>
      <c r="R19" s="3431"/>
      <c r="S19" s="3432"/>
      <c r="T19" s="3431"/>
      <c r="U19" s="3432"/>
      <c r="V19" s="3431"/>
      <c r="W19" s="3432"/>
      <c r="X19" s="3370"/>
      <c r="Y19" s="3999"/>
      <c r="Z19" s="3433"/>
      <c r="AA19" s="3434">
        <v>1</v>
      </c>
      <c r="AB19" s="3434">
        <v>1</v>
      </c>
      <c r="AC19" s="3434">
        <v>1</v>
      </c>
    </row>
    <row r="20" spans="1:29" ht="57">
      <c r="A20" s="3435"/>
      <c r="B20" s="3456" t="s">
        <v>3343</v>
      </c>
      <c r="C20" s="3443" t="str">
        <f>IF(B1="工业",[1]估价对象房地状况!G7,[1]估价对象房地状况!C9)</f>
        <v>区域自然环境：；人文环境；综合评价环境状况一般</v>
      </c>
      <c r="D20" s="3444">
        <v>100</v>
      </c>
      <c r="E20" s="3445"/>
      <c r="F20" s="3446">
        <f>SUMIF(67:67,E21,68:68)-SUMIF(67:67,C21,68:68)+100</f>
        <v>102</v>
      </c>
      <c r="G20" s="3447"/>
      <c r="H20" s="3440">
        <f>SUMIF(67:67,G21,68:68)-SUMIF(67:67,C21,68:68)+100</f>
        <v>102</v>
      </c>
      <c r="I20" s="3451"/>
      <c r="J20" s="3440">
        <f>SUMIF(67:67,I21,68:68)-SUMIF(67:67,C21,68:68)+100</f>
        <v>100</v>
      </c>
      <c r="K20" s="3429">
        <f>'[1]比较法-住宅、综合'!K27</f>
        <v>2</v>
      </c>
      <c r="L20" s="3421"/>
      <c r="M20" s="3369"/>
      <c r="N20" s="3369"/>
      <c r="O20" s="3415"/>
      <c r="P20" s="3999"/>
      <c r="Q20" s="3430" t="str">
        <f>B20</f>
        <v>自然及人文环境</v>
      </c>
      <c r="R20" s="3431" t="s">
        <v>3331</v>
      </c>
      <c r="S20" s="3432">
        <f>F20</f>
        <v>102</v>
      </c>
      <c r="T20" s="3431" t="s">
        <v>3331</v>
      </c>
      <c r="U20" s="3432">
        <f>H20</f>
        <v>102</v>
      </c>
      <c r="V20" s="3431" t="s">
        <v>3331</v>
      </c>
      <c r="W20" s="3432">
        <f>J20</f>
        <v>100</v>
      </c>
      <c r="X20" s="3370"/>
      <c r="Y20" s="3999"/>
      <c r="Z20" s="3433" t="str">
        <f>Q20</f>
        <v>自然及人文环境</v>
      </c>
      <c r="AA20" s="3434">
        <f t="shared" si="3"/>
        <v>0.98039215686274506</v>
      </c>
      <c r="AB20" s="3434">
        <f t="shared" si="4"/>
        <v>0.98039215686274506</v>
      </c>
      <c r="AC20" s="3434">
        <f t="shared" si="5"/>
        <v>1</v>
      </c>
    </row>
    <row r="21" spans="1:29" ht="15">
      <c r="A21" s="3435"/>
      <c r="B21" s="3457"/>
      <c r="C21" s="3437" t="s">
        <v>3188</v>
      </c>
      <c r="D21" s="3438"/>
      <c r="E21" s="3437" t="s">
        <v>3187</v>
      </c>
      <c r="F21" s="3439"/>
      <c r="G21" s="3437" t="s">
        <v>3187</v>
      </c>
      <c r="H21" s="3438"/>
      <c r="I21" s="3437" t="s">
        <v>3188</v>
      </c>
      <c r="J21" s="3438"/>
      <c r="K21" s="3441"/>
      <c r="L21" s="3421"/>
      <c r="M21" s="3369"/>
      <c r="N21" s="3369"/>
      <c r="O21" s="3415"/>
      <c r="P21" s="3999"/>
      <c r="Q21" s="3430"/>
      <c r="R21" s="3431"/>
      <c r="S21" s="3432"/>
      <c r="T21" s="3431"/>
      <c r="U21" s="3432"/>
      <c r="V21" s="3431"/>
      <c r="W21" s="3432"/>
      <c r="X21" s="3370"/>
      <c r="Y21" s="3999"/>
      <c r="Z21" s="3433"/>
      <c r="AA21" s="3434">
        <v>1</v>
      </c>
      <c r="AB21" s="3434">
        <v>1</v>
      </c>
      <c r="AC21" s="3434">
        <v>1</v>
      </c>
    </row>
    <row r="22" spans="1:29" ht="15">
      <c r="A22" s="3435"/>
      <c r="B22" s="3456" t="s">
        <v>3344</v>
      </c>
      <c r="C22" s="3458"/>
      <c r="D22" s="3440">
        <v>100</v>
      </c>
      <c r="E22" s="3458"/>
      <c r="F22" s="3459">
        <f>SUMIF(69:69,E22,70:70)-SUMIF(69:69,C22,70:70)+100</f>
        <v>100</v>
      </c>
      <c r="G22" s="3458"/>
      <c r="H22" s="3420">
        <f>SUMIF(69:69,G22,70:70)-SUMIF(69:69,C22,70:70)+100</f>
        <v>100</v>
      </c>
      <c r="I22" s="3458"/>
      <c r="J22" s="3420">
        <f>SUMIF(69:69,I22,70:70)-SUMIF(69:69,C22,70:70)+100</f>
        <v>100</v>
      </c>
      <c r="K22" s="3404"/>
      <c r="L22" s="3421"/>
      <c r="M22" s="3369"/>
      <c r="N22" s="3369"/>
      <c r="O22" s="3415"/>
      <c r="P22" s="3999"/>
      <c r="Q22" s="3430" t="str">
        <f>B22</f>
        <v>楼层</v>
      </c>
      <c r="R22" s="3431" t="s">
        <v>3331</v>
      </c>
      <c r="S22" s="3432">
        <f>F22</f>
        <v>100</v>
      </c>
      <c r="T22" s="3431" t="s">
        <v>3331</v>
      </c>
      <c r="U22" s="3432">
        <f>H22</f>
        <v>100</v>
      </c>
      <c r="V22" s="3431" t="s">
        <v>3331</v>
      </c>
      <c r="W22" s="3432">
        <f>J22</f>
        <v>100</v>
      </c>
      <c r="X22" s="3370"/>
      <c r="Y22" s="3999"/>
      <c r="Z22" s="3433" t="str">
        <f>Q22</f>
        <v>楼层</v>
      </c>
      <c r="AA22" s="3434">
        <f t="shared" si="3"/>
        <v>1</v>
      </c>
      <c r="AB22" s="3434">
        <f t="shared" si="4"/>
        <v>1</v>
      </c>
      <c r="AC22" s="3434">
        <f t="shared" si="5"/>
        <v>1</v>
      </c>
    </row>
    <row r="23" spans="1:29" ht="15">
      <c r="A23" s="3372"/>
      <c r="B23" s="3460">
        <v>111</v>
      </c>
      <c r="C23" s="3411"/>
      <c r="D23" s="3420">
        <v>100</v>
      </c>
      <c r="E23" s="3419"/>
      <c r="F23" s="3459">
        <f>SUMIF(71:71,E23,72:72)-SUMIF(71:71,C23,72:72)+100</f>
        <v>100</v>
      </c>
      <c r="G23" s="3419"/>
      <c r="H23" s="3420">
        <f>SUMIF(71:71,G23,72:72)-SUMIF(71:71,C23,72:72)+100</f>
        <v>100</v>
      </c>
      <c r="I23" s="3419"/>
      <c r="J23" s="3420">
        <f>SUMIF(71:71,I23,72:72)-SUMIF(71:71,C23,72:72)+100</f>
        <v>100</v>
      </c>
      <c r="K23" s="3413"/>
      <c r="L23" s="3421"/>
      <c r="M23" s="3369"/>
      <c r="N23" s="3369"/>
      <c r="O23" s="3415"/>
      <c r="P23" s="3999"/>
      <c r="Q23" s="3430">
        <f>B23</f>
        <v>111</v>
      </c>
      <c r="R23" s="3431" t="s">
        <v>3331</v>
      </c>
      <c r="S23" s="3432">
        <f>F23</f>
        <v>100</v>
      </c>
      <c r="T23" s="3431" t="s">
        <v>3331</v>
      </c>
      <c r="U23" s="3432">
        <f>H23</f>
        <v>100</v>
      </c>
      <c r="V23" s="3431" t="s">
        <v>3331</v>
      </c>
      <c r="W23" s="3432">
        <f>J23</f>
        <v>100</v>
      </c>
      <c r="X23" s="3370"/>
      <c r="Y23" s="3999"/>
      <c r="Z23" s="3433">
        <f>Q23</f>
        <v>111</v>
      </c>
      <c r="AA23" s="3434">
        <f t="shared" si="3"/>
        <v>1</v>
      </c>
      <c r="AB23" s="3434">
        <f t="shared" si="4"/>
        <v>1</v>
      </c>
      <c r="AC23" s="3434">
        <f t="shared" si="5"/>
        <v>1</v>
      </c>
    </row>
    <row r="24" spans="1:29" ht="15">
      <c r="A24" s="3435"/>
      <c r="B24" s="3460">
        <v>111</v>
      </c>
      <c r="C24" s="3411"/>
      <c r="D24" s="3420">
        <v>100</v>
      </c>
      <c r="E24" s="3419"/>
      <c r="F24" s="3459">
        <f>SUMIF(73:73,E24,74:74)-SUMIF(73:73,C24,74:74)+100</f>
        <v>100</v>
      </c>
      <c r="G24" s="3419"/>
      <c r="H24" s="3420">
        <f>SUMIF(73:73,G24,74:74)-SUMIF(73:73,C24,74:74)+100</f>
        <v>100</v>
      </c>
      <c r="I24" s="3419"/>
      <c r="J24" s="3420">
        <f>SUMIF(73:73,I24,74:74)-SUMIF(73:73,C24,74:74)+100</f>
        <v>100</v>
      </c>
      <c r="K24" s="3413"/>
      <c r="L24" s="3421"/>
      <c r="M24" s="3369"/>
      <c r="N24" s="3369"/>
      <c r="O24" s="3415"/>
      <c r="P24" s="3999"/>
      <c r="Q24" s="3430">
        <f t="shared" ref="Q24:Q34" si="11">B24</f>
        <v>111</v>
      </c>
      <c r="R24" s="3431" t="s">
        <v>3331</v>
      </c>
      <c r="S24" s="3432">
        <f>F24</f>
        <v>100</v>
      </c>
      <c r="T24" s="3431" t="s">
        <v>3331</v>
      </c>
      <c r="U24" s="3432">
        <f>H24</f>
        <v>100</v>
      </c>
      <c r="V24" s="3431" t="s">
        <v>3331</v>
      </c>
      <c r="W24" s="3432">
        <f>J24</f>
        <v>100</v>
      </c>
      <c r="X24" s="3370"/>
      <c r="Y24" s="3999"/>
      <c r="Z24" s="3433">
        <f>Q24</f>
        <v>111</v>
      </c>
      <c r="AA24" s="3434">
        <f t="shared" si="3"/>
        <v>1</v>
      </c>
      <c r="AB24" s="3434">
        <f t="shared" si="4"/>
        <v>1</v>
      </c>
      <c r="AC24" s="3434">
        <f t="shared" si="5"/>
        <v>1</v>
      </c>
    </row>
    <row r="25" spans="1:29" s="3389" customFormat="1" ht="15.75" thickBot="1">
      <c r="A25" s="3461"/>
      <c r="B25" s="3460">
        <v>111</v>
      </c>
      <c r="C25" s="3462"/>
      <c r="D25" s="3463">
        <v>100</v>
      </c>
      <c r="E25" s="3462"/>
      <c r="F25" s="3464">
        <f>SUMIF(75:75,E25,76:76)-SUMIF(75:75,C25,76:76)+100</f>
        <v>100</v>
      </c>
      <c r="G25" s="3462"/>
      <c r="H25" s="3463">
        <f>SUMIF(75:75,G25,76:76)-SUMIF(75:75,C25,76:76)+100</f>
        <v>100</v>
      </c>
      <c r="I25" s="3462"/>
      <c r="J25" s="3463">
        <f>SUMIF(75:75,I25,76:76)-SUMIF(75:75,C25,76:76)+100</f>
        <v>100</v>
      </c>
      <c r="K25" s="3413"/>
      <c r="L25" s="3383"/>
      <c r="M25" s="3384"/>
      <c r="N25" s="3384"/>
      <c r="O25" s="3398"/>
      <c r="P25" s="3999"/>
      <c r="Q25" s="3399">
        <f t="shared" si="11"/>
        <v>111</v>
      </c>
      <c r="R25" s="3385" t="s">
        <v>3331</v>
      </c>
      <c r="S25" s="3386">
        <f>F25</f>
        <v>100</v>
      </c>
      <c r="T25" s="3385" t="s">
        <v>3331</v>
      </c>
      <c r="U25" s="3386">
        <f>H25</f>
        <v>100</v>
      </c>
      <c r="V25" s="3385" t="s">
        <v>3331</v>
      </c>
      <c r="W25" s="3386">
        <f>J25</f>
        <v>100</v>
      </c>
      <c r="X25" s="3387"/>
      <c r="Y25" s="3999"/>
      <c r="Z25" s="3400">
        <f>Q25</f>
        <v>111</v>
      </c>
      <c r="AA25" s="3434">
        <f>D25/F25</f>
        <v>1</v>
      </c>
      <c r="AB25" s="3434">
        <f>D25/H25</f>
        <v>1</v>
      </c>
      <c r="AC25" s="3434">
        <f>D25/J25</f>
        <v>1</v>
      </c>
    </row>
    <row r="26" spans="1:29" ht="15">
      <c r="A26" s="3465" t="s">
        <v>3345</v>
      </c>
      <c r="B26" s="3466" t="s">
        <v>3346</v>
      </c>
      <c r="C26" s="3467" t="s">
        <v>3209</v>
      </c>
      <c r="D26" s="3468">
        <v>100</v>
      </c>
      <c r="E26" s="3467" t="s">
        <v>3209</v>
      </c>
      <c r="F26" s="3469">
        <f>SUMIF(77:77,E26,78:78)-SUMIF(77:77,C26,78:78)+100</f>
        <v>100</v>
      </c>
      <c r="G26" s="3467" t="s">
        <v>3209</v>
      </c>
      <c r="H26" s="3468">
        <f>SUMIF(77:77,G26,78:78)-SUMIF(77:77,C26,78:78)+100</f>
        <v>100</v>
      </c>
      <c r="I26" s="3467" t="s">
        <v>3209</v>
      </c>
      <c r="J26" s="3468">
        <f>SUMIF(77:77,I26,78:78)-SUMIF(77:77,C26,78:78)+100</f>
        <v>100</v>
      </c>
      <c r="K26" s="3404">
        <f>'[1]不动产比较法-住宅'!K42</f>
        <v>1</v>
      </c>
      <c r="L26" s="3421"/>
      <c r="M26" s="3369"/>
      <c r="N26" s="3369"/>
      <c r="O26" s="3415"/>
      <c r="P26" s="4000" t="s">
        <v>3347</v>
      </c>
      <c r="Q26" s="3430" t="str">
        <f t="shared" si="11"/>
        <v>公共部分装修</v>
      </c>
      <c r="R26" s="3431" t="s">
        <v>3331</v>
      </c>
      <c r="S26" s="3432">
        <f t="shared" ref="S26:S34" si="12">F26</f>
        <v>100</v>
      </c>
      <c r="T26" s="3431" t="s">
        <v>3331</v>
      </c>
      <c r="U26" s="3432">
        <f t="shared" ref="U26:U34" si="13">H26</f>
        <v>100</v>
      </c>
      <c r="V26" s="3431" t="s">
        <v>3331</v>
      </c>
      <c r="W26" s="3432">
        <f t="shared" ref="W26:W34" si="14">J26</f>
        <v>100</v>
      </c>
      <c r="X26" s="3370"/>
      <c r="Y26" s="4001" t="s">
        <v>3347</v>
      </c>
      <c r="Z26" s="3433" t="str">
        <f t="shared" ref="Z26:Z34" si="15">Q26</f>
        <v>公共部分装修</v>
      </c>
      <c r="AA26" s="3434">
        <f t="shared" si="3"/>
        <v>1</v>
      </c>
      <c r="AB26" s="3434">
        <f t="shared" si="4"/>
        <v>1</v>
      </c>
      <c r="AC26" s="3434">
        <f t="shared" si="5"/>
        <v>1</v>
      </c>
    </row>
    <row r="27" spans="1:29" s="3480" customFormat="1" ht="15">
      <c r="A27" s="3470"/>
      <c r="B27" s="3471" t="s">
        <v>3348</v>
      </c>
      <c r="C27" s="3472">
        <v>1</v>
      </c>
      <c r="D27" s="3403">
        <v>100</v>
      </c>
      <c r="E27" s="3472">
        <v>1</v>
      </c>
      <c r="F27" s="3459">
        <f>LOOKUP(E27,80:80,81:81)-LOOKUP(C27,80:80,81:81)+100</f>
        <v>100</v>
      </c>
      <c r="G27" s="3472">
        <v>1</v>
      </c>
      <c r="H27" s="3420">
        <f>LOOKUP(G27,80:80,81:81)-LOOKUP(C27,80:80,81:81)+100</f>
        <v>100</v>
      </c>
      <c r="I27" s="3472">
        <v>1</v>
      </c>
      <c r="J27" s="3420">
        <f>LOOKUP(I27,80:80,81:81)-LOOKUP(C27,80:80,81:81)+100</f>
        <v>100</v>
      </c>
      <c r="K27" s="3404">
        <v>1</v>
      </c>
      <c r="L27" s="3414"/>
      <c r="M27" s="3473"/>
      <c r="N27" s="3473"/>
      <c r="O27" s="3474"/>
      <c r="P27" s="4001"/>
      <c r="Q27" s="3475" t="str">
        <f t="shared" si="11"/>
        <v>成新率</v>
      </c>
      <c r="R27" s="3476" t="s">
        <v>3331</v>
      </c>
      <c r="S27" s="3477">
        <f t="shared" si="12"/>
        <v>100</v>
      </c>
      <c r="T27" s="3476" t="s">
        <v>3331</v>
      </c>
      <c r="U27" s="3477">
        <f t="shared" si="13"/>
        <v>100</v>
      </c>
      <c r="V27" s="3476" t="s">
        <v>3331</v>
      </c>
      <c r="W27" s="3477">
        <f t="shared" si="14"/>
        <v>100</v>
      </c>
      <c r="X27" s="3478"/>
      <c r="Y27" s="4001"/>
      <c r="Z27" s="3479" t="str">
        <f t="shared" si="15"/>
        <v>成新率</v>
      </c>
      <c r="AA27" s="3434">
        <f t="shared" si="3"/>
        <v>1</v>
      </c>
      <c r="AB27" s="3434">
        <f t="shared" si="4"/>
        <v>1</v>
      </c>
      <c r="AC27" s="3434">
        <f t="shared" si="5"/>
        <v>1</v>
      </c>
    </row>
    <row r="28" spans="1:29" ht="15">
      <c r="A28" s="3481"/>
      <c r="B28" s="3471" t="s">
        <v>3349</v>
      </c>
      <c r="C28" s="3482" t="s">
        <v>3211</v>
      </c>
      <c r="D28" s="3420">
        <v>100</v>
      </c>
      <c r="E28" s="3482" t="s">
        <v>3211</v>
      </c>
      <c r="F28" s="3459">
        <f>SUMIF(82:82,E28,83:83)-SUMIF(82:82,C28,83:83)+100</f>
        <v>100</v>
      </c>
      <c r="G28" s="3482" t="s">
        <v>3211</v>
      </c>
      <c r="H28" s="3420">
        <f>SUMIF(82:82,G28,83:83)-SUMIF(82:82,C28,83:83)+100</f>
        <v>100</v>
      </c>
      <c r="I28" s="3482" t="s">
        <v>3211</v>
      </c>
      <c r="J28" s="3420">
        <f>SUMIF(82:82,I28,83:83)-SUMIF(82:82,C28,83:83)+100</f>
        <v>100</v>
      </c>
      <c r="K28" s="3404">
        <v>2</v>
      </c>
      <c r="L28" s="3421"/>
      <c r="M28" s="3369"/>
      <c r="N28" s="3369"/>
      <c r="O28" s="3415"/>
      <c r="P28" s="4001"/>
      <c r="Q28" s="3430" t="str">
        <f t="shared" si="11"/>
        <v>物业等级</v>
      </c>
      <c r="R28" s="3431" t="s">
        <v>3331</v>
      </c>
      <c r="S28" s="3432">
        <f t="shared" si="12"/>
        <v>100</v>
      </c>
      <c r="T28" s="3431" t="s">
        <v>3331</v>
      </c>
      <c r="U28" s="3432">
        <f t="shared" si="13"/>
        <v>100</v>
      </c>
      <c r="V28" s="3431" t="s">
        <v>3331</v>
      </c>
      <c r="W28" s="3432">
        <f t="shared" si="14"/>
        <v>100</v>
      </c>
      <c r="X28" s="3370"/>
      <c r="Y28" s="4001"/>
      <c r="Z28" s="3433" t="str">
        <f t="shared" si="15"/>
        <v>物业等级</v>
      </c>
      <c r="AA28" s="3434">
        <f t="shared" si="3"/>
        <v>1</v>
      </c>
      <c r="AB28" s="3434">
        <f t="shared" si="4"/>
        <v>1</v>
      </c>
      <c r="AC28" s="3434">
        <f t="shared" si="5"/>
        <v>1</v>
      </c>
    </row>
    <row r="29" spans="1:29" ht="15">
      <c r="A29" s="3481"/>
      <c r="B29" s="3471" t="s">
        <v>3350</v>
      </c>
      <c r="C29" s="3483"/>
      <c r="D29" s="3420">
        <v>100</v>
      </c>
      <c r="E29" s="3483"/>
      <c r="F29" s="3459">
        <f>SUMIF(84:84,E29,85:85)-SUMIF(84:84,C29,85:85)+100</f>
        <v>100</v>
      </c>
      <c r="G29" s="3483"/>
      <c r="H29" s="3420">
        <f>SUMIF(84:84,G29,85:85)-SUMIF(84:84,C29,85:85)+100</f>
        <v>100</v>
      </c>
      <c r="I29" s="3483"/>
      <c r="J29" s="3420">
        <f>SUMIF(84:84,I29,85:85)-SUMIF(84:84,C29,85:85)+100</f>
        <v>100</v>
      </c>
      <c r="K29" s="3404"/>
      <c r="L29" s="3421"/>
      <c r="M29" s="3369"/>
      <c r="N29" s="3369"/>
      <c r="O29" s="3415"/>
      <c r="P29" s="4001"/>
      <c r="Q29" s="3430" t="str">
        <f t="shared" si="11"/>
        <v>有无电梯</v>
      </c>
      <c r="R29" s="3431" t="s">
        <v>3331</v>
      </c>
      <c r="S29" s="3432">
        <f t="shared" si="12"/>
        <v>100</v>
      </c>
      <c r="T29" s="3431" t="s">
        <v>3331</v>
      </c>
      <c r="U29" s="3432">
        <f t="shared" si="13"/>
        <v>100</v>
      </c>
      <c r="V29" s="3431" t="s">
        <v>3331</v>
      </c>
      <c r="W29" s="3432">
        <f t="shared" si="14"/>
        <v>100</v>
      </c>
      <c r="X29" s="3370"/>
      <c r="Y29" s="4001"/>
      <c r="Z29" s="3433" t="str">
        <f t="shared" si="15"/>
        <v>有无电梯</v>
      </c>
      <c r="AA29" s="3434">
        <f t="shared" si="3"/>
        <v>1</v>
      </c>
      <c r="AB29" s="3434">
        <f t="shared" si="4"/>
        <v>1</v>
      </c>
      <c r="AC29" s="3434">
        <f t="shared" si="5"/>
        <v>1</v>
      </c>
    </row>
    <row r="30" spans="1:29" ht="15">
      <c r="A30" s="3481"/>
      <c r="B30" s="3471" t="s">
        <v>3351</v>
      </c>
      <c r="C30" s="3412">
        <v>30</v>
      </c>
      <c r="D30" s="3420">
        <v>100</v>
      </c>
      <c r="E30" s="3412">
        <v>30</v>
      </c>
      <c r="F30" s="3459">
        <f>LOOKUP(E30,87:87,88:88)-LOOKUP(C30,87:87,88:88)+100</f>
        <v>100</v>
      </c>
      <c r="G30" s="3412">
        <v>30</v>
      </c>
      <c r="H30" s="3420">
        <f>LOOKUP(G30,87:87,88:88)-LOOKUP(C30,87:87,88:88)+100</f>
        <v>100</v>
      </c>
      <c r="I30" s="3412">
        <v>30</v>
      </c>
      <c r="J30" s="3420">
        <f>LOOKUP(I30,87:87,88:88)-LOOKUP(C30,87:87,88:88)+100</f>
        <v>100</v>
      </c>
      <c r="K30" s="3413"/>
      <c r="L30" s="3421"/>
      <c r="M30" s="3369"/>
      <c r="N30" s="3369"/>
      <c r="O30" s="3415"/>
      <c r="P30" s="4001"/>
      <c r="Q30" s="3430" t="str">
        <f t="shared" si="11"/>
        <v>建筑面积</v>
      </c>
      <c r="R30" s="3431" t="s">
        <v>3331</v>
      </c>
      <c r="S30" s="3432">
        <f t="shared" si="12"/>
        <v>100</v>
      </c>
      <c r="T30" s="3431" t="s">
        <v>3331</v>
      </c>
      <c r="U30" s="3432">
        <f t="shared" si="13"/>
        <v>100</v>
      </c>
      <c r="V30" s="3431" t="s">
        <v>3331</v>
      </c>
      <c r="W30" s="3432">
        <f t="shared" si="14"/>
        <v>100</v>
      </c>
      <c r="X30" s="3370"/>
      <c r="Y30" s="4001"/>
      <c r="Z30" s="3433" t="str">
        <f t="shared" si="15"/>
        <v>建筑面积</v>
      </c>
      <c r="AA30" s="3434">
        <f t="shared" si="3"/>
        <v>1</v>
      </c>
      <c r="AB30" s="3434">
        <f t="shared" si="4"/>
        <v>1</v>
      </c>
      <c r="AC30" s="3434">
        <f t="shared" si="5"/>
        <v>1</v>
      </c>
    </row>
    <row r="31" spans="1:29" s="3389" customFormat="1" ht="15">
      <c r="A31" s="3484"/>
      <c r="B31" s="3471" t="s">
        <v>3352</v>
      </c>
      <c r="C31" s="3483"/>
      <c r="D31" s="3403">
        <v>100</v>
      </c>
      <c r="E31" s="3483"/>
      <c r="F31" s="3459">
        <f>SUMIF(89:89,E31,90:90)-SUMIF(89:89,C31,90:90)+100</f>
        <v>100</v>
      </c>
      <c r="G31" s="3483"/>
      <c r="H31" s="3420">
        <f>SUMIF(89:89,G31,90:90)-SUMIF(89:89,C31,90:90)+100</f>
        <v>100</v>
      </c>
      <c r="I31" s="3483"/>
      <c r="J31" s="3420">
        <f>SUMIF(89:89,I31,90:90)-SUMIF(89:89,C31,90:90)+100</f>
        <v>100</v>
      </c>
      <c r="K31" s="3404"/>
      <c r="L31" s="3383"/>
      <c r="M31" s="3384"/>
      <c r="N31" s="3384"/>
      <c r="O31" s="3398"/>
      <c r="P31" s="4001"/>
      <c r="Q31" s="3399" t="str">
        <f t="shared" si="11"/>
        <v>是否封闭</v>
      </c>
      <c r="R31" s="3385" t="s">
        <v>3331</v>
      </c>
      <c r="S31" s="3386">
        <f t="shared" si="12"/>
        <v>100</v>
      </c>
      <c r="T31" s="3385" t="s">
        <v>3331</v>
      </c>
      <c r="U31" s="3386">
        <f t="shared" si="13"/>
        <v>100</v>
      </c>
      <c r="V31" s="3385" t="s">
        <v>3331</v>
      </c>
      <c r="W31" s="3386">
        <f t="shared" si="14"/>
        <v>100</v>
      </c>
      <c r="X31" s="3387"/>
      <c r="Y31" s="4001"/>
      <c r="Z31" s="3400" t="str">
        <f t="shared" si="15"/>
        <v>是否封闭</v>
      </c>
      <c r="AA31" s="3388">
        <f t="shared" si="3"/>
        <v>1</v>
      </c>
      <c r="AB31" s="3388">
        <f t="shared" si="4"/>
        <v>1</v>
      </c>
      <c r="AC31" s="3388">
        <f t="shared" si="5"/>
        <v>1</v>
      </c>
    </row>
    <row r="32" spans="1:29" ht="15">
      <c r="A32" s="3481"/>
      <c r="B32" s="3460">
        <v>111</v>
      </c>
      <c r="C32" s="3411"/>
      <c r="D32" s="3420">
        <v>100</v>
      </c>
      <c r="E32" s="3412"/>
      <c r="F32" s="3459">
        <f>SUMIF(91:91,E32,92:92)-SUMIF(91:91,C32,92:92)+100</f>
        <v>100</v>
      </c>
      <c r="G32" s="3412"/>
      <c r="H32" s="3420">
        <f>SUMIF(91:91,G32,92:92)-SUMIF(91:91,C32,92:92)+100</f>
        <v>100</v>
      </c>
      <c r="I32" s="3412"/>
      <c r="J32" s="3420">
        <f>SUMIF(91:91,I32,92:92)-SUMIF(91:91,C32,92:92)+100</f>
        <v>100</v>
      </c>
      <c r="K32" s="3413"/>
      <c r="L32" s="3421"/>
      <c r="M32" s="3369"/>
      <c r="N32" s="3369"/>
      <c r="O32" s="3415"/>
      <c r="P32" s="4001" t="s">
        <v>3347</v>
      </c>
      <c r="Q32" s="3430">
        <f t="shared" si="11"/>
        <v>111</v>
      </c>
      <c r="R32" s="3431" t="s">
        <v>3331</v>
      </c>
      <c r="S32" s="3432">
        <f t="shared" si="12"/>
        <v>100</v>
      </c>
      <c r="T32" s="3431" t="s">
        <v>3331</v>
      </c>
      <c r="U32" s="3432">
        <f t="shared" si="13"/>
        <v>100</v>
      </c>
      <c r="V32" s="3431" t="s">
        <v>3331</v>
      </c>
      <c r="W32" s="3432">
        <f t="shared" si="14"/>
        <v>100</v>
      </c>
      <c r="X32" s="3370"/>
      <c r="Y32" s="4001" t="s">
        <v>3347</v>
      </c>
      <c r="Z32" s="3433">
        <f t="shared" si="15"/>
        <v>111</v>
      </c>
      <c r="AA32" s="3434">
        <f t="shared" si="3"/>
        <v>1</v>
      </c>
      <c r="AB32" s="3434">
        <f t="shared" si="4"/>
        <v>1</v>
      </c>
      <c r="AC32" s="3434">
        <f t="shared" si="5"/>
        <v>1</v>
      </c>
    </row>
    <row r="33" spans="1:29" ht="15">
      <c r="A33" s="3481"/>
      <c r="B33" s="3460">
        <v>111</v>
      </c>
      <c r="C33" s="3411"/>
      <c r="D33" s="3420">
        <v>100</v>
      </c>
      <c r="E33" s="3412"/>
      <c r="F33" s="3459">
        <f>SUMIF(93:93,E33,94:94)-SUMIF(93:93,C33,94:94)+100</f>
        <v>100</v>
      </c>
      <c r="G33" s="3412"/>
      <c r="H33" s="3420">
        <f>SUMIF(93:93,G33,94:94)-SUMIF(93:93,C33,94:94)+100</f>
        <v>100</v>
      </c>
      <c r="I33" s="3412"/>
      <c r="J33" s="3420">
        <f>SUMIF(93:93,I33,94:94)-SUMIF(93:93,C33,94:94)+100</f>
        <v>100</v>
      </c>
      <c r="K33" s="3413"/>
      <c r="L33" s="3421"/>
      <c r="M33" s="3369"/>
      <c r="N33" s="3369"/>
      <c r="O33" s="3415"/>
      <c r="P33" s="4001"/>
      <c r="Q33" s="3430">
        <f t="shared" si="11"/>
        <v>111</v>
      </c>
      <c r="R33" s="3431" t="s">
        <v>3331</v>
      </c>
      <c r="S33" s="3432">
        <f t="shared" si="12"/>
        <v>100</v>
      </c>
      <c r="T33" s="3431" t="s">
        <v>3331</v>
      </c>
      <c r="U33" s="3432">
        <f t="shared" si="13"/>
        <v>100</v>
      </c>
      <c r="V33" s="3431" t="s">
        <v>3331</v>
      </c>
      <c r="W33" s="3432">
        <f t="shared" si="14"/>
        <v>100</v>
      </c>
      <c r="X33" s="3370"/>
      <c r="Y33" s="4001"/>
      <c r="Z33" s="3433">
        <f t="shared" si="15"/>
        <v>111</v>
      </c>
      <c r="AA33" s="3434">
        <f t="shared" si="3"/>
        <v>1</v>
      </c>
      <c r="AB33" s="3434">
        <f t="shared" si="4"/>
        <v>1</v>
      </c>
      <c r="AC33" s="3434">
        <f t="shared" si="5"/>
        <v>1</v>
      </c>
    </row>
    <row r="34" spans="1:29" ht="15.75" thickBot="1">
      <c r="A34" s="3485"/>
      <c r="B34" s="3486">
        <v>111</v>
      </c>
      <c r="C34" s="3487"/>
      <c r="D34" s="3488">
        <v>100</v>
      </c>
      <c r="E34" s="3489"/>
      <c r="F34" s="3490">
        <f>SUMIF(95:95,E34,96:96)-SUMIF(95:95,C34,96:96)+100</f>
        <v>100</v>
      </c>
      <c r="G34" s="3489"/>
      <c r="H34" s="3488">
        <f>SUMIF(95:95,G34,96:96)-SUMIF(95:95,C34,96:96)+100</f>
        <v>100</v>
      </c>
      <c r="I34" s="3489"/>
      <c r="J34" s="3488">
        <f>SUMIF(95:95,I34,96:96)-SUMIF(95:95,C34,96:96)+100</f>
        <v>100</v>
      </c>
      <c r="K34" s="3413"/>
      <c r="L34" s="3421"/>
      <c r="M34" s="3369"/>
      <c r="N34" s="3369"/>
      <c r="O34" s="3415"/>
      <c r="P34" s="4001"/>
      <c r="Q34" s="3430">
        <f t="shared" si="11"/>
        <v>111</v>
      </c>
      <c r="R34" s="3431" t="s">
        <v>3331</v>
      </c>
      <c r="S34" s="3432">
        <f t="shared" si="12"/>
        <v>100</v>
      </c>
      <c r="T34" s="3431" t="s">
        <v>3331</v>
      </c>
      <c r="U34" s="3432">
        <f t="shared" si="13"/>
        <v>100</v>
      </c>
      <c r="V34" s="3431" t="s">
        <v>3331</v>
      </c>
      <c r="W34" s="3432">
        <f t="shared" si="14"/>
        <v>100</v>
      </c>
      <c r="X34" s="3370"/>
      <c r="Y34" s="4001"/>
      <c r="Z34" s="3433">
        <f t="shared" si="15"/>
        <v>111</v>
      </c>
      <c r="AA34" s="3434">
        <f t="shared" si="3"/>
        <v>1</v>
      </c>
      <c r="AB34" s="3434">
        <f t="shared" si="4"/>
        <v>1</v>
      </c>
      <c r="AC34" s="3434">
        <f t="shared" si="5"/>
        <v>1</v>
      </c>
    </row>
    <row r="35" spans="1:29" ht="15">
      <c r="A35" s="3491" t="s">
        <v>3353</v>
      </c>
      <c r="B35" s="3492"/>
      <c r="C35" s="3493" t="s">
        <v>3354</v>
      </c>
      <c r="D35" s="3494"/>
      <c r="E35" s="3495">
        <v>12900</v>
      </c>
      <c r="F35" s="3496"/>
      <c r="G35" s="3497">
        <v>13940</v>
      </c>
      <c r="H35" s="3498"/>
      <c r="I35" s="3495">
        <v>13307</v>
      </c>
      <c r="J35" s="3498"/>
      <c r="K35" s="3499"/>
      <c r="L35" s="3500"/>
      <c r="M35" s="3501"/>
      <c r="N35" s="3369"/>
      <c r="O35" s="3501"/>
      <c r="P35" s="3996" t="str">
        <f>A35</f>
        <v>成交单价（元/平方米）</v>
      </c>
      <c r="Q35" s="3996"/>
      <c r="R35" s="4002">
        <f>E35</f>
        <v>12900</v>
      </c>
      <c r="S35" s="4002"/>
      <c r="T35" s="4002">
        <f>G35</f>
        <v>13940</v>
      </c>
      <c r="U35" s="4002"/>
      <c r="V35" s="4002">
        <f>I35</f>
        <v>13307</v>
      </c>
      <c r="W35" s="4002"/>
      <c r="X35" s="3502"/>
      <c r="Y35" s="3503"/>
      <c r="Z35" s="3502"/>
      <c r="AA35" s="3502"/>
      <c r="AB35" s="3502"/>
      <c r="AC35" s="3502"/>
    </row>
    <row r="36" spans="1:29" ht="15.75" thickBot="1">
      <c r="A36" s="3504" t="s">
        <v>3355</v>
      </c>
      <c r="B36" s="3505"/>
      <c r="C36" s="3506">
        <f>R37</f>
        <v>13301</v>
      </c>
      <c r="D36" s="3507" t="s">
        <v>2945</v>
      </c>
      <c r="E36" s="3508">
        <f>R36</f>
        <v>12652</v>
      </c>
      <c r="F36" s="3509"/>
      <c r="G36" s="3506">
        <f>T36</f>
        <v>13672</v>
      </c>
      <c r="H36" s="3509"/>
      <c r="I36" s="3508">
        <f>V36</f>
        <v>13579</v>
      </c>
      <c r="J36" s="3509"/>
      <c r="K36" s="3510">
        <f>F36+H36+J36</f>
        <v>0</v>
      </c>
      <c r="L36" s="3500"/>
      <c r="M36" s="3501"/>
      <c r="N36" s="3369"/>
      <c r="O36" s="3501"/>
      <c r="P36" s="3996" t="str">
        <f>A36</f>
        <v>比较价格（元/平方米）</v>
      </c>
      <c r="Q36" s="3996"/>
      <c r="R36" s="4002">
        <f>IF(F1="售价",ROUND(PRODUCT(R35,AA7:AA34),0),ROUND(PRODUCT(R35,AA7:AA34),1))</f>
        <v>12652</v>
      </c>
      <c r="S36" s="4002"/>
      <c r="T36" s="4002">
        <f>IF(F1="售价",ROUND(PRODUCT(T35,AB7:AB34),0),ROUND(PRODUCT(T35,AB7:AB34),1))</f>
        <v>13672</v>
      </c>
      <c r="U36" s="4002"/>
      <c r="V36" s="4002">
        <f>IF(F1="售价",ROUND(PRODUCT(V35,AC7:AC34),0),ROUND(PRODUCT(V35,AC7:AC34),1))</f>
        <v>13579</v>
      </c>
      <c r="W36" s="4002"/>
      <c r="X36" s="3502"/>
      <c r="Y36" s="3502"/>
      <c r="Z36" s="3502"/>
      <c r="AA36" s="3502"/>
      <c r="AB36" s="3502"/>
      <c r="AC36" s="3502"/>
    </row>
    <row r="37" spans="1:29" ht="15.75" thickBot="1">
      <c r="A37" s="3511" t="s">
        <v>3356</v>
      </c>
      <c r="B37" s="3512"/>
      <c r="C37" s="3513">
        <f>R37</f>
        <v>13301</v>
      </c>
      <c r="D37" s="3513"/>
      <c r="E37" s="3513"/>
      <c r="F37" s="3513"/>
      <c r="G37" s="3513"/>
      <c r="H37" s="3513"/>
      <c r="I37" s="3513"/>
      <c r="J37" s="3513"/>
      <c r="K37" s="3514"/>
      <c r="L37" s="3500"/>
      <c r="M37" s="3501"/>
      <c r="N37" s="3501"/>
      <c r="O37" s="3501"/>
      <c r="P37" s="4003" t="str">
        <f>A37</f>
        <v>估价对象XX用房的比较价格（楼面单价，元/平方米）</v>
      </c>
      <c r="Q37" s="4004"/>
      <c r="R37" s="4005">
        <f>IF(F1="售价",ROUND(IF(D36="简单平均",AVERAGE(R36:W36),R36*F36+T36*H36+V36*J36),0),ROUND(IF(D36="简单平均",AVERAGE(R36:V36),R36*F36+T36*H36+V36*J36),1))</f>
        <v>13301</v>
      </c>
      <c r="S37" s="4005"/>
      <c r="T37" s="4005"/>
      <c r="U37" s="4005"/>
      <c r="V37" s="4005"/>
      <c r="W37" s="4005"/>
      <c r="X37" s="3502"/>
      <c r="Y37" s="3502"/>
      <c r="Z37" s="3502"/>
      <c r="AA37" s="3502"/>
      <c r="AB37" s="3502"/>
      <c r="AC37" s="3502"/>
    </row>
    <row r="38" spans="1:29">
      <c r="A38" s="3515"/>
      <c r="B38" s="3515"/>
      <c r="C38" s="3515"/>
      <c r="D38" s="3515"/>
      <c r="E38" s="3515"/>
      <c r="F38" s="3515"/>
      <c r="G38" s="3516"/>
      <c r="H38" s="3515"/>
      <c r="I38" s="3515"/>
      <c r="J38" s="3515"/>
      <c r="K38" s="3517"/>
      <c r="L38" s="3518"/>
      <c r="M38" s="3501"/>
      <c r="N38" s="3501"/>
      <c r="O38" s="3501"/>
      <c r="P38" s="3501"/>
      <c r="Q38" s="3501"/>
      <c r="R38" s="3501"/>
      <c r="S38" s="3501"/>
      <c r="T38" s="3501"/>
      <c r="U38" s="3501"/>
      <c r="V38" s="3501"/>
      <c r="W38" s="3501"/>
      <c r="X38" s="3501"/>
      <c r="Y38" s="3501"/>
      <c r="Z38" s="3501"/>
      <c r="AA38" s="3501"/>
      <c r="AB38" s="3501"/>
      <c r="AC38" s="3501"/>
    </row>
    <row r="39" spans="1:29">
      <c r="A39" s="3515"/>
      <c r="B39" s="3515"/>
      <c r="C39" s="3515"/>
      <c r="D39" s="3515"/>
      <c r="E39" s="3515"/>
      <c r="F39" s="3515"/>
      <c r="G39" s="3515"/>
      <c r="H39" s="3515"/>
      <c r="I39" s="3515"/>
      <c r="J39" s="3515"/>
      <c r="K39" s="3517"/>
      <c r="L39" s="3518"/>
      <c r="M39" s="3501"/>
      <c r="N39" s="3501"/>
      <c r="O39" s="3501"/>
      <c r="P39" s="3501"/>
      <c r="Q39" s="3501"/>
      <c r="R39" s="3501"/>
      <c r="S39" s="3501"/>
      <c r="T39" s="3501"/>
      <c r="U39" s="3501"/>
      <c r="V39" s="3501"/>
      <c r="W39" s="3501"/>
      <c r="X39" s="3501"/>
      <c r="Y39" s="3501"/>
      <c r="Z39" s="3501"/>
      <c r="AA39" s="3501"/>
      <c r="AB39" s="3501"/>
      <c r="AC39" s="3501"/>
    </row>
    <row r="40" spans="1:29" ht="13.5" customHeight="1">
      <c r="A40" s="3515"/>
      <c r="B40" s="3515"/>
      <c r="C40" s="3519" t="s">
        <v>3357</v>
      </c>
      <c r="D40" s="3520"/>
      <c r="E40" s="3521">
        <f>IF(E35&lt;E36,E36/E35-1,E35/E36-1)</f>
        <v>1.9601644008852448E-2</v>
      </c>
      <c r="F40" s="3522" t="str">
        <f>IF(OR(E40&gt;=0.3,E40&lt;=-0.3),"超过30%","")</f>
        <v/>
      </c>
      <c r="G40" s="3521">
        <f>IF(G35&lt;G36,G36/G35-1,G35/G36-1)</f>
        <v>1.960210649502625E-2</v>
      </c>
      <c r="H40" s="3522" t="str">
        <f>IF(OR(G40&gt;=0.3,G40&lt;=-0.3),"超过30%","")</f>
        <v/>
      </c>
      <c r="I40" s="3521">
        <f>IF(I35&lt;I36,I36/I35-1,I35/I36-1)</f>
        <v>2.0440369730217123E-2</v>
      </c>
      <c r="J40" s="3522" t="str">
        <f>IF(OR(I40&gt;=0.3,I40&lt;=-0.3),"超过30%","")</f>
        <v/>
      </c>
      <c r="K40" s="3517"/>
      <c r="L40" s="3518"/>
      <c r="M40" s="3501"/>
      <c r="N40" s="3501"/>
      <c r="O40" s="3501"/>
      <c r="P40" s="3501"/>
      <c r="Q40" s="3501"/>
      <c r="R40" s="3501"/>
      <c r="S40" s="3501"/>
      <c r="T40" s="3501"/>
      <c r="U40" s="3501"/>
      <c r="V40" s="3501"/>
      <c r="W40" s="3501"/>
      <c r="X40" s="3501"/>
      <c r="Y40" s="3501"/>
      <c r="Z40" s="3501"/>
      <c r="AA40" s="3501"/>
      <c r="AB40" s="3501"/>
      <c r="AC40" s="3501"/>
    </row>
    <row r="41" spans="1:29" ht="13.5" customHeight="1">
      <c r="A41" s="3515"/>
      <c r="B41" s="3515"/>
      <c r="C41" s="3519" t="s">
        <v>3358</v>
      </c>
      <c r="D41" s="3523"/>
      <c r="E41" s="3521">
        <f>IF(E36&lt;G36,G36/E36-1,E36/G36-1)</f>
        <v>8.0619664875118513E-2</v>
      </c>
      <c r="F41" s="3522" t="str">
        <f>IF(OR(E41&gt;=0.2,E41&lt;=-0.2),"超过20%","")</f>
        <v/>
      </c>
      <c r="G41" s="3521">
        <f>IF(G36&lt;I36,I36/G36-1,G36/I36-1)</f>
        <v>6.8488106635244961E-3</v>
      </c>
      <c r="H41" s="3522" t="str">
        <f>IF(OR(G41&gt;=0.2,G41&lt;=-0.2),"超过20%","")</f>
        <v/>
      </c>
      <c r="I41" s="3521">
        <f>IF(I36&lt;E36,E36/I36-1,I36/E36-1)</f>
        <v>7.3269048371798817E-2</v>
      </c>
      <c r="J41" s="3522" t="str">
        <f>IF(OR(I41&gt;=0.2,I41&lt;=-0.2),"超过20%","")</f>
        <v/>
      </c>
      <c r="K41" s="3517"/>
      <c r="L41" s="3518"/>
      <c r="M41" s="3501"/>
      <c r="N41" s="3501"/>
      <c r="O41" s="3501"/>
      <c r="P41" s="3501"/>
      <c r="Q41" s="3501"/>
      <c r="R41" s="3501"/>
      <c r="S41" s="3501"/>
      <c r="T41" s="3501"/>
      <c r="U41" s="3501"/>
      <c r="V41" s="3501"/>
      <c r="W41" s="3501"/>
      <c r="X41" s="3501"/>
      <c r="Y41" s="3501"/>
      <c r="Z41" s="3501"/>
      <c r="AA41" s="3501"/>
      <c r="AB41" s="3501"/>
      <c r="AC41" s="3501"/>
    </row>
    <row r="42" spans="1:29" s="3528" customFormat="1" ht="13.5" customHeight="1">
      <c r="A42" s="3524"/>
      <c r="B42" s="3524"/>
      <c r="C42" s="3519" t="s">
        <v>3359</v>
      </c>
      <c r="D42" s="3523"/>
      <c r="E42" s="3521">
        <f>IF(E35&lt;G35,G35/E35-1,E35/G35-1)</f>
        <v>8.0620155038759744E-2</v>
      </c>
      <c r="F42" s="3522" t="str">
        <f>IF(OR(E42&gt;=0.3,E42&lt;=-0.3),"超过30%","")</f>
        <v/>
      </c>
      <c r="G42" s="3521">
        <f>IF(G35&lt;I35,I35/G35-1,G35/I35-1)</f>
        <v>4.7568948673630373E-2</v>
      </c>
      <c r="H42" s="3522" t="str">
        <f>IF(OR(G42&gt;=0.3,G42&lt;=-0.3),"超过30%","")</f>
        <v/>
      </c>
      <c r="I42" s="3521">
        <f>IF(I35&lt;E35,E35/I35-1,I35/E35-1)</f>
        <v>3.155038759689921E-2</v>
      </c>
      <c r="J42" s="3522" t="str">
        <f>IF(OR(I42&gt;=0.3,I42&lt;=-0.3),"超过30%","")</f>
        <v/>
      </c>
      <c r="K42" s="3525"/>
      <c r="L42" s="3526"/>
      <c r="M42" s="3527"/>
      <c r="N42" s="3527"/>
      <c r="O42" s="3527"/>
      <c r="P42" s="3527"/>
      <c r="Q42" s="3527"/>
      <c r="R42" s="3527"/>
      <c r="S42" s="3527"/>
      <c r="T42" s="3527"/>
      <c r="U42" s="3527"/>
      <c r="V42" s="3527"/>
      <c r="W42" s="3527"/>
      <c r="X42" s="3527"/>
      <c r="Y42" s="3527"/>
      <c r="Z42" s="3527"/>
      <c r="AA42" s="3527"/>
      <c r="AB42" s="3527"/>
      <c r="AC42" s="3527"/>
    </row>
    <row r="43" spans="1:29" s="3528" customFormat="1">
      <c r="A43" s="3527"/>
      <c r="B43" s="3529"/>
      <c r="C43" s="3530"/>
      <c r="D43" s="3527"/>
      <c r="E43" s="3527"/>
      <c r="F43" s="3527"/>
      <c r="G43" s="3527"/>
      <c r="H43" s="3527"/>
      <c r="I43" s="3527"/>
      <c r="J43" s="3527"/>
      <c r="K43" s="3531"/>
      <c r="L43" s="3526"/>
      <c r="M43" s="3527"/>
      <c r="N43" s="3527"/>
      <c r="O43" s="3527"/>
      <c r="P43" s="3527"/>
      <c r="Q43" s="3527"/>
      <c r="R43" s="3527"/>
      <c r="S43" s="3527"/>
      <c r="T43" s="3527"/>
      <c r="U43" s="3527"/>
      <c r="V43" s="3527"/>
      <c r="W43" s="3527"/>
      <c r="X43" s="3527"/>
      <c r="Y43" s="3527"/>
      <c r="Z43" s="3527"/>
      <c r="AA43" s="3527"/>
      <c r="AB43" s="3527"/>
      <c r="AC43" s="3527"/>
    </row>
    <row r="44" spans="1:29">
      <c r="A44" s="3501"/>
      <c r="B44" s="3529"/>
      <c r="C44" s="3530"/>
      <c r="D44" s="3501"/>
      <c r="E44" s="3501"/>
      <c r="F44" s="3501"/>
      <c r="G44" s="3501"/>
      <c r="H44" s="3501"/>
      <c r="I44" s="3501"/>
      <c r="J44" s="3501"/>
      <c r="K44" s="3532"/>
      <c r="L44" s="3518"/>
      <c r="M44" s="3501"/>
      <c r="N44" s="3501"/>
      <c r="O44" s="3501"/>
      <c r="P44" s="3501"/>
      <c r="Q44" s="3501"/>
      <c r="R44" s="3501"/>
      <c r="S44" s="3501"/>
      <c r="T44" s="3501"/>
      <c r="U44" s="3501"/>
      <c r="V44" s="3501"/>
      <c r="W44" s="3501"/>
      <c r="X44" s="3501"/>
      <c r="Y44" s="3501"/>
      <c r="Z44" s="3501"/>
      <c r="AA44" s="3501"/>
      <c r="AB44" s="3501"/>
      <c r="AC44" s="3501"/>
    </row>
    <row r="45" spans="1:29" ht="21.75" thickBot="1">
      <c r="A45" s="3533" t="s">
        <v>3360</v>
      </c>
      <c r="B45" s="3502"/>
      <c r="C45" s="3534"/>
      <c r="D45" s="3534"/>
      <c r="E45" s="3534"/>
      <c r="F45" s="3535"/>
      <c r="G45" s="3535"/>
      <c r="H45" s="3534"/>
      <c r="I45" s="3534"/>
      <c r="J45" s="3534"/>
      <c r="K45" s="3536"/>
      <c r="L45" s="3537"/>
      <c r="M45" s="3534"/>
      <c r="N45" s="3538"/>
      <c r="O45" s="3538"/>
      <c r="P45" s="3538"/>
      <c r="Q45" s="3539"/>
      <c r="R45" s="3501"/>
      <c r="S45" s="3501"/>
      <c r="T45" s="3501"/>
      <c r="U45" s="3501"/>
      <c r="V45" s="3501"/>
      <c r="W45" s="3501"/>
      <c r="X45" s="3501"/>
      <c r="Y45" s="3501"/>
      <c r="Z45" s="3501"/>
      <c r="AA45" s="3501"/>
      <c r="AB45" s="3501"/>
      <c r="AC45" s="3501"/>
    </row>
    <row r="46" spans="1:29" s="3546" customFormat="1" ht="15">
      <c r="A46" s="3540" t="s">
        <v>3329</v>
      </c>
      <c r="B46" s="3541"/>
      <c r="C46" s="3542" t="str">
        <f>YEAR(C7)&amp;"-"&amp;MONTH(C7)</f>
        <v>2021-12</v>
      </c>
      <c r="D46" s="3543">
        <f>EDATE(C46,-1)</f>
        <v>44501</v>
      </c>
      <c r="E46" s="3543">
        <f t="shared" ref="E46:O46" si="16">EDATE(D46,-1)</f>
        <v>44470</v>
      </c>
      <c r="F46" s="3543">
        <f t="shared" si="16"/>
        <v>44440</v>
      </c>
      <c r="G46" s="3543">
        <f t="shared" si="16"/>
        <v>44409</v>
      </c>
      <c r="H46" s="3543">
        <f t="shared" si="16"/>
        <v>44378</v>
      </c>
      <c r="I46" s="3543">
        <f t="shared" si="16"/>
        <v>44348</v>
      </c>
      <c r="J46" s="3543">
        <f t="shared" si="16"/>
        <v>44317</v>
      </c>
      <c r="K46" s="3543">
        <f t="shared" si="16"/>
        <v>44287</v>
      </c>
      <c r="L46" s="3543">
        <f t="shared" si="16"/>
        <v>44256</v>
      </c>
      <c r="M46" s="3543">
        <f t="shared" si="16"/>
        <v>44228</v>
      </c>
      <c r="N46" s="3543">
        <f t="shared" si="16"/>
        <v>44197</v>
      </c>
      <c r="O46" s="3543">
        <f t="shared" si="16"/>
        <v>44166</v>
      </c>
      <c r="P46" s="3544"/>
      <c r="Q46" s="3545"/>
      <c r="R46" s="3545"/>
      <c r="S46" s="3545"/>
      <c r="T46" s="3545"/>
      <c r="U46" s="3545"/>
      <c r="V46" s="3545"/>
      <c r="W46" s="3545"/>
      <c r="X46" s="3545"/>
      <c r="Y46" s="3545"/>
      <c r="Z46" s="3545"/>
      <c r="AA46" s="3545"/>
      <c r="AB46" s="3545"/>
      <c r="AC46" s="3545"/>
    </row>
    <row r="47" spans="1:29" s="3389" customFormat="1" ht="15">
      <c r="A47" s="3547"/>
      <c r="B47" s="3548"/>
      <c r="C47" s="3549">
        <v>100</v>
      </c>
      <c r="D47" s="3550">
        <v>100</v>
      </c>
      <c r="E47" s="3550">
        <v>100</v>
      </c>
      <c r="F47" s="3550"/>
      <c r="G47" s="3550"/>
      <c r="H47" s="3550"/>
      <c r="I47" s="3550"/>
      <c r="J47" s="3550"/>
      <c r="K47" s="3550"/>
      <c r="L47" s="3550"/>
      <c r="M47" s="3551"/>
      <c r="N47" s="3550"/>
      <c r="O47" s="3552"/>
      <c r="P47" s="3539"/>
      <c r="Q47" s="3553"/>
      <c r="R47" s="3553"/>
      <c r="S47" s="3553"/>
      <c r="T47" s="3553"/>
      <c r="U47" s="3553"/>
      <c r="V47" s="3553"/>
      <c r="W47" s="3553"/>
      <c r="X47" s="3553"/>
      <c r="Y47" s="3553"/>
      <c r="Z47" s="3553"/>
      <c r="AA47" s="3553"/>
      <c r="AB47" s="3553"/>
      <c r="AC47" s="3553"/>
    </row>
    <row r="48" spans="1:29" s="3389" customFormat="1" ht="15.75" thickBot="1">
      <c r="A48" s="3554" t="s">
        <v>3361</v>
      </c>
      <c r="B48" s="3555"/>
      <c r="C48" s="3556"/>
      <c r="D48" s="3557"/>
      <c r="E48" s="3557"/>
      <c r="F48" s="3557"/>
      <c r="G48" s="3557"/>
      <c r="H48" s="3557"/>
      <c r="I48" s="3557"/>
      <c r="J48" s="3557"/>
      <c r="K48" s="3557"/>
      <c r="L48" s="3557"/>
      <c r="M48" s="3558"/>
      <c r="N48" s="3557"/>
      <c r="O48" s="3559"/>
      <c r="P48" s="3539"/>
      <c r="Q48" s="3539"/>
      <c r="R48" s="3553"/>
      <c r="S48" s="3553"/>
      <c r="T48" s="3553"/>
      <c r="U48" s="3553"/>
      <c r="V48" s="3553"/>
      <c r="W48" s="3553"/>
      <c r="X48" s="3553"/>
      <c r="Y48" s="3553"/>
      <c r="Z48" s="3553"/>
      <c r="AA48" s="3553"/>
      <c r="AB48" s="3553"/>
      <c r="AC48" s="3553"/>
    </row>
    <row r="49" spans="1:29" s="3389" customFormat="1" ht="15">
      <c r="A49" s="3560" t="s">
        <v>502</v>
      </c>
      <c r="B49" s="3548"/>
      <c r="C49" s="3561" t="s">
        <v>3362</v>
      </c>
      <c r="D49" s="3562"/>
      <c r="E49" s="3562"/>
      <c r="F49" s="3562"/>
      <c r="G49" s="3562"/>
      <c r="H49" s="3562"/>
      <c r="I49" s="3562"/>
      <c r="J49" s="3562"/>
      <c r="K49" s="3562"/>
      <c r="L49" s="3563"/>
      <c r="M49" s="3564"/>
      <c r="N49" s="3565"/>
      <c r="O49" s="3565"/>
      <c r="P49" s="3566"/>
      <c r="Q49" s="3539"/>
      <c r="R49" s="3553"/>
      <c r="S49" s="3553"/>
      <c r="T49" s="3553"/>
      <c r="U49" s="3553"/>
      <c r="V49" s="3553"/>
      <c r="W49" s="3553"/>
      <c r="X49" s="3553"/>
      <c r="Y49" s="3553"/>
      <c r="Z49" s="3553"/>
      <c r="AA49" s="3553"/>
      <c r="AB49" s="3553"/>
      <c r="AC49" s="3553"/>
    </row>
    <row r="50" spans="1:29" s="3389" customFormat="1" ht="15.75" thickBot="1">
      <c r="A50" s="3560"/>
      <c r="B50" s="3548"/>
      <c r="C50" s="3549">
        <v>100</v>
      </c>
      <c r="D50" s="3550"/>
      <c r="E50" s="3550"/>
      <c r="F50" s="3550"/>
      <c r="G50" s="3550"/>
      <c r="H50" s="3550"/>
      <c r="I50" s="3550"/>
      <c r="J50" s="3550"/>
      <c r="K50" s="3550"/>
      <c r="L50" s="3550"/>
      <c r="M50" s="3552"/>
      <c r="N50" s="3565"/>
      <c r="O50" s="3565"/>
      <c r="P50" s="3539"/>
      <c r="Q50" s="3539"/>
      <c r="R50" s="3553"/>
      <c r="S50" s="3553"/>
      <c r="T50" s="3553"/>
      <c r="U50" s="3553"/>
      <c r="V50" s="3553"/>
      <c r="W50" s="3553"/>
      <c r="X50" s="3553"/>
      <c r="Y50" s="3553"/>
      <c r="Z50" s="3553"/>
      <c r="AA50" s="3553"/>
      <c r="AB50" s="3553"/>
      <c r="AC50" s="3553"/>
    </row>
    <row r="51" spans="1:29">
      <c r="A51" s="3567" t="s">
        <v>548</v>
      </c>
      <c r="B51" s="3568" t="s">
        <v>505</v>
      </c>
      <c r="C51" s="3569" t="str">
        <f>C9</f>
        <v>仓储</v>
      </c>
      <c r="D51" s="3570"/>
      <c r="E51" s="3570"/>
      <c r="F51" s="3570"/>
      <c r="G51" s="3570"/>
      <c r="H51" s="3570"/>
      <c r="I51" s="3570"/>
      <c r="J51" s="3570"/>
      <c r="K51" s="3571"/>
      <c r="L51" s="3572"/>
      <c r="M51" s="3573"/>
      <c r="N51" s="3574"/>
      <c r="O51" s="3574"/>
      <c r="P51" s="3575"/>
      <c r="Q51" s="3539"/>
      <c r="R51" s="3501"/>
      <c r="S51" s="3501"/>
      <c r="T51" s="3501"/>
      <c r="U51" s="3501"/>
      <c r="V51" s="3501"/>
      <c r="W51" s="3501"/>
      <c r="X51" s="3501"/>
      <c r="Y51" s="3501"/>
      <c r="Z51" s="3501"/>
      <c r="AA51" s="3501"/>
      <c r="AB51" s="3501"/>
      <c r="AC51" s="3501"/>
    </row>
    <row r="52" spans="1:29" ht="15.75" thickBot="1">
      <c r="A52" s="3576"/>
      <c r="B52" s="3577"/>
      <c r="C52" s="3578">
        <v>100</v>
      </c>
      <c r="D52" s="3578"/>
      <c r="E52" s="3578"/>
      <c r="F52" s="3578"/>
      <c r="G52" s="3578"/>
      <c r="H52" s="3578"/>
      <c r="I52" s="3578"/>
      <c r="J52" s="3578"/>
      <c r="K52" s="3578"/>
      <c r="L52" s="3578"/>
      <c r="M52" s="3579"/>
      <c r="N52" s="3580"/>
      <c r="O52" s="3580"/>
      <c r="P52" s="3575"/>
      <c r="Q52" s="3539"/>
      <c r="R52" s="3501"/>
      <c r="S52" s="3501"/>
      <c r="T52" s="3501"/>
      <c r="U52" s="3501"/>
      <c r="V52" s="3501"/>
      <c r="W52" s="3501"/>
      <c r="X52" s="3501"/>
      <c r="Y52" s="3501"/>
      <c r="Z52" s="3501"/>
      <c r="AA52" s="3501"/>
      <c r="AB52" s="3501"/>
      <c r="AC52" s="3501"/>
    </row>
    <row r="53" spans="1:29" ht="27.75" thickTop="1">
      <c r="A53" s="3576"/>
      <c r="B53" s="3581" t="s">
        <v>3363</v>
      </c>
      <c r="C53" s="3582" t="s">
        <v>3364</v>
      </c>
      <c r="D53" s="3582" t="s">
        <v>3365</v>
      </c>
      <c r="E53" s="3582" t="s">
        <v>3366</v>
      </c>
      <c r="F53" s="3582" t="s">
        <v>3367</v>
      </c>
      <c r="G53" s="3582" t="s">
        <v>3368</v>
      </c>
      <c r="H53" s="3582" t="s">
        <v>3369</v>
      </c>
      <c r="I53" s="3582" t="s">
        <v>3370</v>
      </c>
      <c r="J53" s="3582"/>
      <c r="K53" s="3583"/>
      <c r="L53" s="3584"/>
      <c r="M53" s="3585"/>
      <c r="N53" s="3574"/>
      <c r="O53" s="3574"/>
      <c r="P53" s="3575"/>
      <c r="Q53" s="3539"/>
      <c r="R53" s="3501"/>
      <c r="S53" s="3501"/>
      <c r="T53" s="3501"/>
      <c r="U53" s="3501"/>
      <c r="V53" s="3501"/>
      <c r="W53" s="3501"/>
      <c r="X53" s="3501"/>
      <c r="Y53" s="3501"/>
      <c r="Z53" s="3501"/>
      <c r="AA53" s="3501"/>
      <c r="AB53" s="3501"/>
      <c r="AC53" s="3501"/>
    </row>
    <row r="54" spans="1:29" ht="15.75" thickBot="1">
      <c r="A54" s="3576"/>
      <c r="B54" s="3586"/>
      <c r="C54" s="3587" t="s">
        <v>3371</v>
      </c>
      <c r="D54" s="3587" t="s">
        <v>3371</v>
      </c>
      <c r="E54" s="3587">
        <v>100</v>
      </c>
      <c r="F54" s="3587">
        <f>E54-$K10</f>
        <v>99</v>
      </c>
      <c r="G54" s="3587">
        <f>F54-$K10</f>
        <v>98</v>
      </c>
      <c r="H54" s="3587">
        <f>G54-$K10</f>
        <v>97</v>
      </c>
      <c r="I54" s="3587">
        <f>H54-$K10</f>
        <v>96</v>
      </c>
      <c r="J54" s="3587"/>
      <c r="K54" s="3587"/>
      <c r="L54" s="3587"/>
      <c r="M54" s="3588"/>
      <c r="N54" s="3580"/>
      <c r="O54" s="3580"/>
      <c r="P54" s="3575"/>
      <c r="Q54" s="3539"/>
      <c r="R54" s="3501"/>
      <c r="S54" s="3501"/>
      <c r="T54" s="3501"/>
      <c r="U54" s="3501"/>
      <c r="V54" s="3501"/>
      <c r="W54" s="3501"/>
      <c r="X54" s="3501"/>
      <c r="Y54" s="3501"/>
      <c r="Z54" s="3501"/>
      <c r="AA54" s="3501"/>
      <c r="AB54" s="3501"/>
      <c r="AC54" s="3501"/>
    </row>
    <row r="55" spans="1:29" ht="15.75" thickTop="1">
      <c r="A55" s="3576"/>
      <c r="B55" s="3589">
        <f>B11</f>
        <v>111</v>
      </c>
      <c r="C55" s="3590"/>
      <c r="D55" s="3590"/>
      <c r="E55" s="3590"/>
      <c r="F55" s="3590"/>
      <c r="G55" s="3590"/>
      <c r="H55" s="3590"/>
      <c r="I55" s="3590"/>
      <c r="J55" s="3590"/>
      <c r="K55" s="3591"/>
      <c r="L55" s="3592"/>
      <c r="M55" s="3593"/>
      <c r="N55" s="3574"/>
      <c r="O55" s="3574"/>
      <c r="P55" s="3575"/>
      <c r="Q55" s="3539"/>
      <c r="R55" s="3501"/>
      <c r="S55" s="3501"/>
      <c r="T55" s="3501"/>
      <c r="U55" s="3501"/>
      <c r="V55" s="3501"/>
      <c r="W55" s="3501"/>
      <c r="X55" s="3501"/>
      <c r="Y55" s="3501"/>
      <c r="Z55" s="3501"/>
      <c r="AA55" s="3501"/>
      <c r="AB55" s="3501"/>
      <c r="AC55" s="3501"/>
    </row>
    <row r="56" spans="1:29" ht="15.75" thickBot="1">
      <c r="A56" s="3576"/>
      <c r="B56" s="3577"/>
      <c r="C56" s="3594"/>
      <c r="D56" s="3578"/>
      <c r="E56" s="3578"/>
      <c r="F56" s="3578"/>
      <c r="G56" s="3578"/>
      <c r="H56" s="3578"/>
      <c r="I56" s="3578"/>
      <c r="J56" s="3578"/>
      <c r="K56" s="3578"/>
      <c r="L56" s="3578"/>
      <c r="M56" s="3579"/>
      <c r="N56" s="3580"/>
      <c r="O56" s="3580"/>
      <c r="P56" s="3575"/>
      <c r="Q56" s="3539"/>
      <c r="R56" s="3501"/>
      <c r="S56" s="3501"/>
      <c r="T56" s="3501"/>
      <c r="U56" s="3501"/>
      <c r="V56" s="3501"/>
      <c r="W56" s="3501"/>
      <c r="X56" s="3501"/>
      <c r="Y56" s="3501"/>
      <c r="Z56" s="3501"/>
      <c r="AA56" s="3501"/>
      <c r="AB56" s="3501"/>
      <c r="AC56" s="3501"/>
    </row>
    <row r="57" spans="1:29" s="3480" customFormat="1" ht="15.75" thickTop="1">
      <c r="A57" s="3595"/>
      <c r="B57" s="3581">
        <f>B12</f>
        <v>111</v>
      </c>
      <c r="C57" s="3590"/>
      <c r="D57" s="3590"/>
      <c r="E57" s="3590"/>
      <c r="F57" s="3590"/>
      <c r="G57" s="3596"/>
      <c r="H57" s="3597"/>
      <c r="I57" s="3597"/>
      <c r="J57" s="3597"/>
      <c r="K57" s="3597"/>
      <c r="L57" s="3598"/>
      <c r="M57" s="3599"/>
      <c r="N57" s="3600"/>
      <c r="O57" s="3600"/>
      <c r="P57" s="3601"/>
      <c r="Q57" s="3602"/>
      <c r="R57" s="3603"/>
      <c r="S57" s="3603"/>
      <c r="T57" s="3603"/>
      <c r="U57" s="3603"/>
      <c r="V57" s="3603"/>
      <c r="W57" s="3603"/>
      <c r="X57" s="3603"/>
      <c r="Y57" s="3603"/>
      <c r="Z57" s="3603"/>
      <c r="AA57" s="3603"/>
      <c r="AB57" s="3603"/>
      <c r="AC57" s="3603"/>
    </row>
    <row r="58" spans="1:29" s="3480" customFormat="1" ht="15.75" thickBot="1">
      <c r="A58" s="3595"/>
      <c r="B58" s="3586"/>
      <c r="C58" s="3594"/>
      <c r="D58" s="3578"/>
      <c r="E58" s="3578"/>
      <c r="F58" s="3578"/>
      <c r="G58" s="3578"/>
      <c r="H58" s="3578"/>
      <c r="I58" s="3578"/>
      <c r="J58" s="3578"/>
      <c r="K58" s="3578"/>
      <c r="L58" s="3578"/>
      <c r="M58" s="3579"/>
      <c r="N58" s="3580"/>
      <c r="O58" s="3580"/>
      <c r="P58" s="3601"/>
      <c r="Q58" s="3602"/>
      <c r="R58" s="3603"/>
      <c r="S58" s="3603"/>
      <c r="T58" s="3603"/>
      <c r="U58" s="3603"/>
      <c r="V58" s="3603"/>
      <c r="W58" s="3603"/>
      <c r="X58" s="3603"/>
      <c r="Y58" s="3603"/>
      <c r="Z58" s="3603"/>
      <c r="AA58" s="3603"/>
      <c r="AB58" s="3603"/>
      <c r="AC58" s="3603"/>
    </row>
    <row r="59" spans="1:29" s="3480" customFormat="1" ht="15.75" thickTop="1">
      <c r="A59" s="3595"/>
      <c r="B59" s="3581">
        <f>B13</f>
        <v>111</v>
      </c>
      <c r="C59" s="3590"/>
      <c r="D59" s="3590"/>
      <c r="E59" s="3590"/>
      <c r="F59" s="3590"/>
      <c r="G59" s="3596"/>
      <c r="H59" s="3597"/>
      <c r="I59" s="3597"/>
      <c r="J59" s="3597"/>
      <c r="K59" s="3597"/>
      <c r="L59" s="3598"/>
      <c r="M59" s="3599"/>
      <c r="N59" s="3600"/>
      <c r="O59" s="3600"/>
      <c r="P59" s="3473"/>
      <c r="Q59" s="3604"/>
      <c r="R59" s="3603"/>
      <c r="S59" s="3603"/>
      <c r="T59" s="3603"/>
      <c r="U59" s="3603"/>
      <c r="V59" s="3603"/>
      <c r="W59" s="3603"/>
      <c r="X59" s="3603"/>
      <c r="Y59" s="3603"/>
      <c r="Z59" s="3603"/>
      <c r="AA59" s="3603"/>
      <c r="AB59" s="3603"/>
      <c r="AC59" s="3603"/>
    </row>
    <row r="60" spans="1:29" s="3480" customFormat="1" ht="15.75" thickBot="1">
      <c r="A60" s="3595"/>
      <c r="B60" s="3586"/>
      <c r="C60" s="3594"/>
      <c r="D60" s="3594"/>
      <c r="E60" s="3594"/>
      <c r="F60" s="3594"/>
      <c r="G60" s="3594"/>
      <c r="H60" s="3605"/>
      <c r="I60" s="3605"/>
      <c r="J60" s="3605"/>
      <c r="K60" s="3605"/>
      <c r="L60" s="3605"/>
      <c r="M60" s="3606"/>
      <c r="N60" s="3600"/>
      <c r="O60" s="3600"/>
      <c r="P60" s="3601"/>
      <c r="Q60" s="3602"/>
      <c r="R60" s="3603"/>
      <c r="S60" s="3603"/>
      <c r="T60" s="3603"/>
      <c r="U60" s="3603"/>
      <c r="V60" s="3603"/>
      <c r="W60" s="3603"/>
      <c r="X60" s="3603"/>
      <c r="Y60" s="3603"/>
      <c r="Z60" s="3603"/>
      <c r="AA60" s="3603"/>
      <c r="AB60" s="3603"/>
      <c r="AC60" s="3603"/>
    </row>
    <row r="61" spans="1:29" ht="15" thickTop="1">
      <c r="A61" s="3567" t="s">
        <v>3372</v>
      </c>
      <c r="B61" s="3568" t="s">
        <v>3373</v>
      </c>
      <c r="C61" s="3607" t="s">
        <v>3374</v>
      </c>
      <c r="D61" s="3607" t="s">
        <v>3375</v>
      </c>
      <c r="E61" s="3607" t="s">
        <v>3376</v>
      </c>
      <c r="F61" s="3607" t="s">
        <v>3377</v>
      </c>
      <c r="G61" s="3607" t="s">
        <v>3378</v>
      </c>
      <c r="H61" s="3569"/>
      <c r="I61" s="3569"/>
      <c r="J61" s="3569"/>
      <c r="K61" s="3608"/>
      <c r="L61" s="3609"/>
      <c r="M61" s="3610"/>
      <c r="N61" s="3574"/>
      <c r="O61" s="3574"/>
      <c r="P61" s="3611"/>
      <c r="Q61" s="3539"/>
      <c r="R61" s="3501"/>
      <c r="S61" s="3501"/>
      <c r="T61" s="3501"/>
      <c r="U61" s="3501"/>
      <c r="V61" s="3501"/>
      <c r="W61" s="3501"/>
      <c r="X61" s="3501"/>
      <c r="Y61" s="3501"/>
      <c r="Z61" s="3501"/>
      <c r="AA61" s="3501"/>
      <c r="AB61" s="3501"/>
      <c r="AC61" s="3501"/>
    </row>
    <row r="62" spans="1:29" ht="15.75" thickBot="1">
      <c r="A62" s="3576"/>
      <c r="B62" s="3586"/>
      <c r="C62" s="3587">
        <v>100</v>
      </c>
      <c r="D62" s="3587">
        <f>C62-$K14</f>
        <v>98</v>
      </c>
      <c r="E62" s="3587">
        <f>D62-$K14</f>
        <v>96</v>
      </c>
      <c r="F62" s="3587">
        <f>E62-$K14</f>
        <v>94</v>
      </c>
      <c r="G62" s="3587">
        <f>F62-$K14</f>
        <v>92</v>
      </c>
      <c r="H62" s="3587"/>
      <c r="I62" s="3587"/>
      <c r="J62" s="3587"/>
      <c r="K62" s="3587"/>
      <c r="L62" s="3587"/>
      <c r="M62" s="3588"/>
      <c r="N62" s="3580"/>
      <c r="O62" s="3580"/>
      <c r="P62" s="3575"/>
      <c r="Q62" s="3539"/>
      <c r="R62" s="3501"/>
      <c r="S62" s="3501"/>
      <c r="T62" s="3501"/>
      <c r="U62" s="3501"/>
      <c r="V62" s="3501"/>
      <c r="W62" s="3501"/>
      <c r="X62" s="3501"/>
      <c r="Y62" s="3501"/>
      <c r="Z62" s="3501"/>
      <c r="AA62" s="3501"/>
      <c r="AB62" s="3501"/>
      <c r="AC62" s="3501"/>
    </row>
    <row r="63" spans="1:29" ht="15.75" thickTop="1">
      <c r="A63" s="3576"/>
      <c r="B63" s="3612" t="s">
        <v>3341</v>
      </c>
      <c r="C63" s="3613" t="s">
        <v>3374</v>
      </c>
      <c r="D63" s="3613" t="s">
        <v>3375</v>
      </c>
      <c r="E63" s="3613" t="s">
        <v>3376</v>
      </c>
      <c r="F63" s="3613" t="s">
        <v>3377</v>
      </c>
      <c r="G63" s="3613" t="s">
        <v>3378</v>
      </c>
      <c r="H63" s="3582"/>
      <c r="I63" s="3582"/>
      <c r="J63" s="3582"/>
      <c r="K63" s="3583"/>
      <c r="L63" s="3584"/>
      <c r="M63" s="3585"/>
      <c r="N63" s="3574"/>
      <c r="O63" s="3574"/>
      <c r="P63" s="3575"/>
      <c r="Q63" s="3539"/>
      <c r="R63" s="3501"/>
      <c r="S63" s="3501"/>
      <c r="T63" s="3501"/>
      <c r="U63" s="3501"/>
      <c r="V63" s="3501"/>
      <c r="W63" s="3501"/>
      <c r="X63" s="3501"/>
      <c r="Y63" s="3501"/>
      <c r="Z63" s="3501"/>
      <c r="AA63" s="3501"/>
      <c r="AB63" s="3501"/>
      <c r="AC63" s="3501"/>
    </row>
    <row r="64" spans="1:29" ht="15.75" thickBot="1">
      <c r="A64" s="3576"/>
      <c r="B64" s="3586"/>
      <c r="C64" s="3587">
        <v>100</v>
      </c>
      <c r="D64" s="3587">
        <f>C64-$K16</f>
        <v>98</v>
      </c>
      <c r="E64" s="3587">
        <f>D64-$K16</f>
        <v>96</v>
      </c>
      <c r="F64" s="3587">
        <f>E64-$K16</f>
        <v>94</v>
      </c>
      <c r="G64" s="3587">
        <f>F64-$K16</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4" t="s">
        <v>3342</v>
      </c>
      <c r="C65" s="3615" t="s">
        <v>3379</v>
      </c>
      <c r="D65" s="3615" t="s">
        <v>3380</v>
      </c>
      <c r="E65" s="3615" t="s">
        <v>3381</v>
      </c>
      <c r="F65" s="3615" t="s">
        <v>3382</v>
      </c>
      <c r="G65" s="3615" t="s">
        <v>3383</v>
      </c>
      <c r="H65" s="3582"/>
      <c r="I65" s="3582"/>
      <c r="J65" s="3582"/>
      <c r="K65" s="3582"/>
      <c r="L65" s="3582"/>
      <c r="M65" s="3616"/>
      <c r="N65" s="3580"/>
      <c r="O65" s="3580"/>
      <c r="P65" s="3575"/>
      <c r="Q65" s="3539"/>
      <c r="R65" s="3501"/>
      <c r="S65" s="3501"/>
      <c r="T65" s="3501"/>
      <c r="U65" s="3501"/>
      <c r="V65" s="3501"/>
      <c r="W65" s="3501"/>
      <c r="X65" s="3501"/>
      <c r="Y65" s="3501"/>
      <c r="Z65" s="3501"/>
      <c r="AA65" s="3501"/>
      <c r="AB65" s="3501"/>
      <c r="AC65" s="3501"/>
    </row>
    <row r="66" spans="1:29" ht="15.75" thickBot="1">
      <c r="A66" s="3576"/>
      <c r="B66" s="3617"/>
      <c r="C66" s="3587">
        <v>100</v>
      </c>
      <c r="D66" s="3587">
        <f>C66-$K18</f>
        <v>99</v>
      </c>
      <c r="E66" s="3587">
        <f>D66-$K18</f>
        <v>98</v>
      </c>
      <c r="F66" s="3587">
        <f>E66-$K18</f>
        <v>97</v>
      </c>
      <c r="G66" s="3587">
        <f>F66-$K18</f>
        <v>96</v>
      </c>
      <c r="H66" s="3589"/>
      <c r="I66" s="3589"/>
      <c r="J66" s="3589"/>
      <c r="K66" s="3589"/>
      <c r="L66" s="3589"/>
      <c r="M66" s="3440"/>
      <c r="N66" s="3580"/>
      <c r="O66" s="3580"/>
      <c r="P66" s="3575"/>
      <c r="Q66" s="3539"/>
      <c r="R66" s="3501"/>
      <c r="S66" s="3501"/>
      <c r="T66" s="3501"/>
      <c r="U66" s="3501"/>
      <c r="V66" s="3501"/>
      <c r="W66" s="3501"/>
      <c r="X66" s="3501"/>
      <c r="Y66" s="3501"/>
      <c r="Z66" s="3501"/>
      <c r="AA66" s="3501"/>
      <c r="AB66" s="3501"/>
      <c r="AC66" s="3501"/>
    </row>
    <row r="67" spans="1:29" ht="15.75" thickTop="1">
      <c r="A67" s="3576"/>
      <c r="B67" s="3581" t="s">
        <v>3343</v>
      </c>
      <c r="C67" s="3613" t="s">
        <v>3374</v>
      </c>
      <c r="D67" s="3613" t="s">
        <v>3375</v>
      </c>
      <c r="E67" s="3613" t="s">
        <v>3376</v>
      </c>
      <c r="F67" s="3613" t="s">
        <v>3377</v>
      </c>
      <c r="G67" s="3613" t="s">
        <v>3378</v>
      </c>
      <c r="H67" s="3582"/>
      <c r="I67" s="3582"/>
      <c r="J67" s="3582"/>
      <c r="K67" s="3583"/>
      <c r="L67" s="3584"/>
      <c r="M67" s="3585"/>
      <c r="N67" s="3574"/>
      <c r="O67" s="3574"/>
      <c r="P67" s="3575"/>
      <c r="Q67" s="3539"/>
      <c r="R67" s="3501"/>
      <c r="S67" s="3501"/>
      <c r="T67" s="3501"/>
      <c r="U67" s="3501"/>
      <c r="V67" s="3501"/>
      <c r="W67" s="3501"/>
      <c r="X67" s="3501"/>
      <c r="Y67" s="3501"/>
      <c r="Z67" s="3501"/>
      <c r="AA67" s="3501"/>
      <c r="AB67" s="3501"/>
      <c r="AC67" s="3501"/>
    </row>
    <row r="68" spans="1:29" ht="15.75" thickBot="1">
      <c r="A68" s="3576"/>
      <c r="B68" s="3586"/>
      <c r="C68" s="3587">
        <v>100</v>
      </c>
      <c r="D68" s="3587">
        <f>C68-$K20</f>
        <v>98</v>
      </c>
      <c r="E68" s="3587">
        <f>D68-$K20</f>
        <v>96</v>
      </c>
      <c r="F68" s="3587">
        <f>E68-$K20</f>
        <v>94</v>
      </c>
      <c r="G68" s="3587">
        <f>F68-$K20</f>
        <v>92</v>
      </c>
      <c r="H68" s="3587"/>
      <c r="I68" s="3587"/>
      <c r="J68" s="3587"/>
      <c r="K68" s="3587"/>
      <c r="L68" s="3587"/>
      <c r="M68" s="3588"/>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3344</v>
      </c>
      <c r="C69" s="3596"/>
      <c r="D69" s="3596"/>
      <c r="E69" s="3596"/>
      <c r="F69" s="3596"/>
      <c r="G69" s="3596"/>
      <c r="H69" s="3618"/>
      <c r="I69" s="3618"/>
      <c r="J69" s="3618"/>
      <c r="K69" s="3619"/>
      <c r="L69" s="3620"/>
      <c r="M69" s="3621"/>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C70-$K22</f>
        <v>100</v>
      </c>
      <c r="E70" s="3587"/>
      <c r="F70" s="3587"/>
      <c r="G70" s="3587"/>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s="3389" customFormat="1" ht="15.75" thickTop="1">
      <c r="A71" s="3622"/>
      <c r="B71" s="3581">
        <f>B23</f>
        <v>111</v>
      </c>
      <c r="C71" s="3590"/>
      <c r="D71" s="3590"/>
      <c r="E71" s="3590"/>
      <c r="F71" s="3590"/>
      <c r="G71" s="3596"/>
      <c r="H71" s="3596"/>
      <c r="I71" s="3596"/>
      <c r="J71" s="3596"/>
      <c r="K71" s="3596"/>
      <c r="L71" s="3623"/>
      <c r="M71" s="3624"/>
      <c r="N71" s="3565"/>
      <c r="O71" s="3565"/>
      <c r="P71" s="3575"/>
      <c r="Q71" s="3539"/>
      <c r="R71" s="3553"/>
      <c r="S71" s="3553"/>
      <c r="T71" s="3553"/>
      <c r="U71" s="3553"/>
      <c r="V71" s="3553"/>
      <c r="W71" s="3553"/>
      <c r="X71" s="3553"/>
      <c r="Y71" s="3553"/>
      <c r="Z71" s="3553"/>
      <c r="AA71" s="3553"/>
      <c r="AB71" s="3553"/>
      <c r="AC71" s="3553"/>
    </row>
    <row r="72" spans="1:29" s="3389" customFormat="1" ht="15.75" thickBot="1">
      <c r="A72" s="3622"/>
      <c r="B72" s="3586"/>
      <c r="C72" s="3594"/>
      <c r="D72" s="3578"/>
      <c r="E72" s="3578"/>
      <c r="F72" s="3578"/>
      <c r="G72" s="3578"/>
      <c r="H72" s="3578"/>
      <c r="I72" s="3578"/>
      <c r="J72" s="3578"/>
      <c r="K72" s="3578"/>
      <c r="L72" s="3578"/>
      <c r="M72" s="3579"/>
      <c r="N72" s="3580"/>
      <c r="O72" s="3580"/>
      <c r="P72" s="3575"/>
      <c r="Q72" s="3539"/>
      <c r="R72" s="3553"/>
      <c r="S72" s="3553"/>
      <c r="T72" s="3553"/>
      <c r="U72" s="3553"/>
      <c r="V72" s="3553"/>
      <c r="W72" s="3553"/>
      <c r="X72" s="3553"/>
      <c r="Y72" s="3553"/>
      <c r="Z72" s="3553"/>
      <c r="AA72" s="3553"/>
      <c r="AB72" s="3553"/>
      <c r="AC72" s="3553"/>
    </row>
    <row r="73" spans="1:29" s="3389" customFormat="1" ht="15.75" thickTop="1">
      <c r="A73" s="3622"/>
      <c r="B73" s="3581">
        <f>B24</f>
        <v>111</v>
      </c>
      <c r="C73" s="3590"/>
      <c r="D73" s="3590"/>
      <c r="E73" s="3590"/>
      <c r="F73" s="3590"/>
      <c r="G73" s="3596"/>
      <c r="H73" s="3596"/>
      <c r="I73" s="3596"/>
      <c r="J73" s="3596"/>
      <c r="K73" s="3596"/>
      <c r="L73" s="3596"/>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480" customFormat="1" ht="15.75" thickTop="1">
      <c r="A75" s="3595"/>
      <c r="B75" s="3581">
        <f>B25</f>
        <v>111</v>
      </c>
      <c r="C75" s="3590"/>
      <c r="D75" s="3590"/>
      <c r="E75" s="3590"/>
      <c r="F75" s="3590"/>
      <c r="G75" s="3596"/>
      <c r="H75" s="3597"/>
      <c r="I75" s="3597"/>
      <c r="J75" s="3597"/>
      <c r="K75" s="3597"/>
      <c r="L75" s="3598"/>
      <c r="M75" s="3599"/>
      <c r="N75" s="3600"/>
      <c r="O75" s="3600"/>
      <c r="P75" s="3601"/>
      <c r="Q75" s="3602"/>
      <c r="R75" s="3603"/>
      <c r="S75" s="3603"/>
      <c r="T75" s="3603"/>
      <c r="U75" s="3603"/>
      <c r="V75" s="3603"/>
      <c r="W75" s="3603"/>
      <c r="X75" s="3603"/>
      <c r="Y75" s="3603"/>
      <c r="Z75" s="3603"/>
      <c r="AA75" s="3603"/>
      <c r="AB75" s="3603"/>
      <c r="AC75" s="3603"/>
    </row>
    <row r="76" spans="1:29" s="3480" customFormat="1" ht="15.75" thickBot="1">
      <c r="A76" s="3595"/>
      <c r="B76" s="3586"/>
      <c r="C76" s="3594"/>
      <c r="D76" s="3594"/>
      <c r="E76" s="3594"/>
      <c r="F76" s="3594"/>
      <c r="G76" s="3578"/>
      <c r="H76" s="3578"/>
      <c r="I76" s="3578"/>
      <c r="J76" s="3578"/>
      <c r="K76" s="3578"/>
      <c r="L76" s="3578"/>
      <c r="M76" s="3579"/>
      <c r="N76" s="3600"/>
      <c r="O76" s="3600"/>
      <c r="P76" s="3601"/>
      <c r="Q76" s="3602"/>
      <c r="R76" s="3603"/>
      <c r="S76" s="3603"/>
      <c r="T76" s="3603"/>
      <c r="U76" s="3603"/>
      <c r="V76" s="3603"/>
      <c r="W76" s="3603"/>
      <c r="X76" s="3603"/>
      <c r="Y76" s="3603"/>
      <c r="Z76" s="3603"/>
      <c r="AA76" s="3603"/>
      <c r="AB76" s="3603"/>
      <c r="AC76" s="3603"/>
    </row>
    <row r="77" spans="1:29" ht="15" thickTop="1">
      <c r="A77" s="3567" t="s">
        <v>3384</v>
      </c>
      <c r="B77" s="3568" t="s">
        <v>3346</v>
      </c>
      <c r="C77" s="3625" t="s">
        <v>3385</v>
      </c>
      <c r="D77" s="3625" t="s">
        <v>3386</v>
      </c>
      <c r="E77" s="3625" t="s">
        <v>3387</v>
      </c>
      <c r="F77" s="3626" t="s">
        <v>3388</v>
      </c>
      <c r="G77" s="3570"/>
      <c r="H77" s="3570"/>
      <c r="I77" s="3570"/>
      <c r="J77" s="3570"/>
      <c r="K77" s="3571"/>
      <c r="L77" s="3572"/>
      <c r="M77" s="3573"/>
      <c r="N77" s="3574"/>
      <c r="O77" s="3574"/>
      <c r="P77" s="3575"/>
      <c r="Q77" s="3539"/>
      <c r="R77" s="3501"/>
      <c r="S77" s="3501"/>
      <c r="T77" s="3501"/>
      <c r="U77" s="3501"/>
      <c r="V77" s="3501"/>
      <c r="W77" s="3501"/>
      <c r="X77" s="3501"/>
      <c r="Y77" s="3501"/>
      <c r="Z77" s="3501"/>
      <c r="AA77" s="3501"/>
      <c r="AB77" s="3501"/>
      <c r="AC77" s="3501"/>
    </row>
    <row r="78" spans="1:29" ht="15.75" thickBot="1">
      <c r="A78" s="3576"/>
      <c r="B78" s="3586"/>
      <c r="C78" s="3587">
        <v>100</v>
      </c>
      <c r="D78" s="3587">
        <f t="shared" ref="D78:M78" si="17">C78-$K26</f>
        <v>99</v>
      </c>
      <c r="E78" s="3587">
        <f t="shared" si="17"/>
        <v>98</v>
      </c>
      <c r="F78" s="3587">
        <f t="shared" si="17"/>
        <v>97</v>
      </c>
      <c r="G78" s="3587">
        <f t="shared" si="17"/>
        <v>96</v>
      </c>
      <c r="H78" s="3587">
        <f t="shared" si="17"/>
        <v>95</v>
      </c>
      <c r="I78" s="3587">
        <f t="shared" si="17"/>
        <v>94</v>
      </c>
      <c r="J78" s="3587">
        <f t="shared" si="17"/>
        <v>93</v>
      </c>
      <c r="K78" s="3587">
        <f t="shared" si="17"/>
        <v>92</v>
      </c>
      <c r="L78" s="3587">
        <f t="shared" si="17"/>
        <v>91</v>
      </c>
      <c r="M78" s="3588">
        <f t="shared" si="17"/>
        <v>90</v>
      </c>
      <c r="N78" s="3580"/>
      <c r="O78" s="3580"/>
      <c r="P78" s="3575"/>
      <c r="Q78" s="3539"/>
      <c r="R78" s="3501"/>
      <c r="S78" s="3501"/>
      <c r="T78" s="3501"/>
      <c r="U78" s="3501"/>
      <c r="V78" s="3501"/>
      <c r="W78" s="3501"/>
      <c r="X78" s="3501"/>
      <c r="Y78" s="3501"/>
      <c r="Z78" s="3501"/>
      <c r="AA78" s="3501"/>
      <c r="AB78" s="3501"/>
      <c r="AC78" s="3501"/>
    </row>
    <row r="79" spans="1:29" ht="15.75" thickTop="1">
      <c r="A79" s="3576"/>
      <c r="B79" s="3581" t="s">
        <v>3348</v>
      </c>
      <c r="C79" s="3613" t="str">
        <f>C80&amp;"(含)"&amp;"-"&amp;D80</f>
        <v>0.5(含)-0.6</v>
      </c>
      <c r="D79" s="3613" t="str">
        <f>D80&amp;"(含)"&amp;"-"&amp;E80</f>
        <v>0.6(含)-0.7</v>
      </c>
      <c r="E79" s="3613" t="str">
        <f>E80&amp;"(含)"&amp;"-"&amp;F80</f>
        <v>0.7(含)-0.8</v>
      </c>
      <c r="F79" s="3613" t="str">
        <f>F80&amp;"(含)"&amp;"-"&amp;G80</f>
        <v>0.8(含)-0.9</v>
      </c>
      <c r="G79" s="3613" t="str">
        <f>G80&amp;"(含)"&amp;"-"&amp;ROUND(H80,0)</f>
        <v>0.9(含)-1</v>
      </c>
      <c r="H79" s="3613"/>
      <c r="I79" s="3582"/>
      <c r="J79" s="3582"/>
      <c r="K79" s="3583"/>
      <c r="L79" s="3584"/>
      <c r="M79" s="3585"/>
      <c r="N79" s="3565"/>
      <c r="O79" s="3565"/>
      <c r="P79" s="3575"/>
      <c r="Q79" s="3539"/>
      <c r="R79" s="3501"/>
      <c r="S79" s="3501"/>
      <c r="T79" s="3501"/>
      <c r="U79" s="3501"/>
      <c r="V79" s="3501"/>
      <c r="W79" s="3501"/>
      <c r="X79" s="3501"/>
      <c r="Y79" s="3501"/>
      <c r="Z79" s="3501"/>
      <c r="AA79" s="3501"/>
      <c r="AB79" s="3501"/>
      <c r="AC79" s="3501"/>
    </row>
    <row r="80" spans="1:29" ht="15">
      <c r="A80" s="3576"/>
      <c r="B80" s="3617"/>
      <c r="C80" s="3627">
        <v>0.5</v>
      </c>
      <c r="D80" s="3627">
        <v>0.6</v>
      </c>
      <c r="E80" s="3627">
        <v>0.7</v>
      </c>
      <c r="F80" s="3627">
        <v>0.8</v>
      </c>
      <c r="G80" s="3627">
        <v>0.9</v>
      </c>
      <c r="H80" s="3627">
        <v>1.0001</v>
      </c>
      <c r="I80" s="3589"/>
      <c r="J80" s="3589"/>
      <c r="K80" s="3628"/>
      <c r="L80" s="3629"/>
      <c r="M80" s="3630"/>
      <c r="N80" s="3565"/>
      <c r="O80" s="3565"/>
      <c r="P80" s="3575"/>
      <c r="Q80" s="3539"/>
      <c r="R80" s="3501"/>
      <c r="S80" s="3501"/>
      <c r="T80" s="3501"/>
      <c r="U80" s="3501"/>
      <c r="V80" s="3501"/>
      <c r="W80" s="3501"/>
      <c r="X80" s="3501"/>
      <c r="Y80" s="3501"/>
      <c r="Z80" s="3501"/>
      <c r="AA80" s="3501"/>
      <c r="AB80" s="3501"/>
      <c r="AC80" s="3501"/>
    </row>
    <row r="81" spans="1:29" s="3480" customFormat="1" ht="15.75" thickBot="1">
      <c r="A81" s="3595"/>
      <c r="B81" s="3586"/>
      <c r="C81" s="3631">
        <v>100</v>
      </c>
      <c r="D81" s="3587">
        <f t="shared" ref="D81:M81" si="18">C81+$K27</f>
        <v>101</v>
      </c>
      <c r="E81" s="3587">
        <f t="shared" si="18"/>
        <v>102</v>
      </c>
      <c r="F81" s="3587">
        <f t="shared" si="18"/>
        <v>103</v>
      </c>
      <c r="G81" s="3587">
        <f t="shared" si="18"/>
        <v>104</v>
      </c>
      <c r="H81" s="3587">
        <f t="shared" si="18"/>
        <v>105</v>
      </c>
      <c r="I81" s="3587">
        <f t="shared" si="18"/>
        <v>106</v>
      </c>
      <c r="J81" s="3587">
        <f t="shared" si="18"/>
        <v>107</v>
      </c>
      <c r="K81" s="3587">
        <f t="shared" si="18"/>
        <v>108</v>
      </c>
      <c r="L81" s="3587">
        <f t="shared" si="18"/>
        <v>109</v>
      </c>
      <c r="M81" s="3587">
        <f t="shared" si="18"/>
        <v>110</v>
      </c>
      <c r="N81" s="3580"/>
      <c r="O81" s="3580"/>
      <c r="P81" s="3601"/>
      <c r="Q81" s="3602"/>
      <c r="R81" s="3603"/>
      <c r="S81" s="3603"/>
      <c r="T81" s="3603"/>
      <c r="U81" s="3603"/>
      <c r="V81" s="3603"/>
      <c r="W81" s="3603"/>
      <c r="X81" s="3603"/>
      <c r="Y81" s="3603"/>
      <c r="Z81" s="3603"/>
      <c r="AA81" s="3603"/>
      <c r="AB81" s="3603"/>
      <c r="AC81" s="3603"/>
    </row>
    <row r="82" spans="1:29" ht="15" thickTop="1">
      <c r="A82" s="3632"/>
      <c r="B82" s="3617" t="s">
        <v>3349</v>
      </c>
      <c r="C82" s="3625" t="s">
        <v>3389</v>
      </c>
      <c r="D82" s="3596"/>
      <c r="E82" s="3618"/>
      <c r="F82" s="3618"/>
      <c r="G82" s="3618"/>
      <c r="H82" s="3618"/>
      <c r="I82" s="3618"/>
      <c r="J82" s="3618"/>
      <c r="K82" s="3619"/>
      <c r="L82" s="3620"/>
      <c r="M82" s="3621"/>
      <c r="N82" s="3574"/>
      <c r="O82" s="3574"/>
      <c r="P82" s="3575"/>
      <c r="Q82" s="3539"/>
      <c r="R82" s="3501"/>
      <c r="S82" s="3501"/>
      <c r="T82" s="3501"/>
      <c r="U82" s="3501"/>
      <c r="V82" s="3501"/>
      <c r="W82" s="3501"/>
      <c r="X82" s="3501"/>
      <c r="Y82" s="3501"/>
      <c r="Z82" s="3501"/>
      <c r="AA82" s="3501"/>
      <c r="AB82" s="3501"/>
      <c r="AC82" s="3501"/>
    </row>
    <row r="83" spans="1:29" ht="15.75" thickBot="1">
      <c r="A83" s="3576"/>
      <c r="B83" s="3586"/>
      <c r="C83" s="3587">
        <v>100</v>
      </c>
      <c r="D83" s="3587">
        <f t="shared" ref="D83:M83" si="19">C83-$K28</f>
        <v>98</v>
      </c>
      <c r="E83" s="3587">
        <f t="shared" si="19"/>
        <v>96</v>
      </c>
      <c r="F83" s="3587">
        <f t="shared" si="19"/>
        <v>94</v>
      </c>
      <c r="G83" s="3587">
        <f t="shared" si="19"/>
        <v>92</v>
      </c>
      <c r="H83" s="3587">
        <f t="shared" si="19"/>
        <v>90</v>
      </c>
      <c r="I83" s="3587">
        <f t="shared" si="19"/>
        <v>88</v>
      </c>
      <c r="J83" s="3587">
        <f t="shared" si="19"/>
        <v>86</v>
      </c>
      <c r="K83" s="3587">
        <f t="shared" si="19"/>
        <v>84</v>
      </c>
      <c r="L83" s="3587">
        <f t="shared" si="19"/>
        <v>82</v>
      </c>
      <c r="M83" s="3588">
        <f t="shared" si="19"/>
        <v>80</v>
      </c>
      <c r="N83" s="3580"/>
      <c r="O83" s="3580"/>
      <c r="P83" s="3575"/>
      <c r="Q83" s="3539"/>
      <c r="R83" s="3501"/>
      <c r="S83" s="3501"/>
      <c r="T83" s="3501"/>
      <c r="U83" s="3501"/>
      <c r="V83" s="3501"/>
      <c r="W83" s="3501"/>
      <c r="X83" s="3501"/>
      <c r="Y83" s="3501"/>
      <c r="Z83" s="3501"/>
      <c r="AA83" s="3501"/>
      <c r="AB83" s="3501"/>
      <c r="AC83" s="3501"/>
    </row>
    <row r="84" spans="1:29" ht="15" thickTop="1">
      <c r="A84" s="3632"/>
      <c r="B84" s="3581" t="s">
        <v>3350</v>
      </c>
      <c r="C84" s="3596"/>
      <c r="D84" s="3596"/>
      <c r="E84" s="3596"/>
      <c r="F84" s="3596"/>
      <c r="G84" s="3596"/>
      <c r="H84" s="3596"/>
      <c r="I84" s="3618"/>
      <c r="J84" s="3618"/>
      <c r="K84" s="3619"/>
      <c r="L84" s="3620"/>
      <c r="M84" s="3621"/>
      <c r="N84" s="3574"/>
      <c r="O84" s="3574"/>
      <c r="P84" s="3575"/>
      <c r="Q84" s="3539"/>
      <c r="R84" s="3501"/>
      <c r="S84" s="3501"/>
      <c r="T84" s="3501"/>
      <c r="U84" s="3501"/>
      <c r="V84" s="3501"/>
      <c r="W84" s="3501"/>
      <c r="X84" s="3501"/>
      <c r="Y84" s="3501"/>
      <c r="Z84" s="3501"/>
      <c r="AA84" s="3501"/>
      <c r="AB84" s="3501"/>
      <c r="AC84" s="3501"/>
    </row>
    <row r="85" spans="1:29" ht="15.75" thickBot="1">
      <c r="A85" s="3576"/>
      <c r="B85" s="3586"/>
      <c r="C85" s="3631">
        <v>100</v>
      </c>
      <c r="D85" s="3587">
        <f t="shared" ref="D85:M85" si="20">C85+$K29</f>
        <v>100</v>
      </c>
      <c r="E85" s="3587">
        <f t="shared" si="20"/>
        <v>100</v>
      </c>
      <c r="F85" s="3587">
        <f t="shared" si="20"/>
        <v>100</v>
      </c>
      <c r="G85" s="3587">
        <f t="shared" si="20"/>
        <v>100</v>
      </c>
      <c r="H85" s="3587">
        <f t="shared" si="20"/>
        <v>100</v>
      </c>
      <c r="I85" s="3587">
        <f t="shared" si="20"/>
        <v>100</v>
      </c>
      <c r="J85" s="3587">
        <f t="shared" si="20"/>
        <v>100</v>
      </c>
      <c r="K85" s="3587">
        <f t="shared" si="20"/>
        <v>100</v>
      </c>
      <c r="L85" s="3587">
        <f t="shared" si="20"/>
        <v>100</v>
      </c>
      <c r="M85" s="3587">
        <f t="shared" si="20"/>
        <v>100</v>
      </c>
      <c r="N85" s="3580"/>
      <c r="O85" s="3580"/>
      <c r="P85" s="3575"/>
      <c r="Q85" s="3539"/>
      <c r="R85" s="3501"/>
      <c r="S85" s="3501"/>
      <c r="T85" s="3501"/>
      <c r="U85" s="3501"/>
      <c r="V85" s="3501"/>
      <c r="W85" s="3501"/>
      <c r="X85" s="3501"/>
      <c r="Y85" s="3501"/>
      <c r="Z85" s="3501"/>
      <c r="AA85" s="3501"/>
      <c r="AB85" s="3501"/>
      <c r="AC85" s="3501"/>
    </row>
    <row r="86" spans="1:29" ht="15" thickTop="1">
      <c r="A86" s="3632"/>
      <c r="B86" s="3617" t="s">
        <v>3351</v>
      </c>
      <c r="C86" s="3613" t="str">
        <f t="shared" ref="C86:L86" si="21">C87&amp;"(含)"&amp;"-"&amp;D87</f>
        <v>30(含)-</v>
      </c>
      <c r="D86" s="3613" t="str">
        <f t="shared" si="21"/>
        <v>(含)-</v>
      </c>
      <c r="E86" s="3613" t="str">
        <f t="shared" si="21"/>
        <v>(含)-</v>
      </c>
      <c r="F86" s="3613" t="str">
        <f t="shared" si="21"/>
        <v>(含)-</v>
      </c>
      <c r="G86" s="3613" t="str">
        <f t="shared" si="21"/>
        <v>(含)-</v>
      </c>
      <c r="H86" s="3613" t="str">
        <f t="shared" si="21"/>
        <v>(含)-</v>
      </c>
      <c r="I86" s="3613" t="str">
        <f t="shared" si="21"/>
        <v>(含)-</v>
      </c>
      <c r="J86" s="3613" t="str">
        <f t="shared" si="21"/>
        <v>(含)-</v>
      </c>
      <c r="K86" s="3613" t="str">
        <f t="shared" si="21"/>
        <v>(含)-</v>
      </c>
      <c r="L86" s="3613" t="str">
        <f t="shared" si="21"/>
        <v>(含)-</v>
      </c>
      <c r="M86" s="3633" t="str">
        <f>M87&amp;"(含)"&amp;"-"&amp;P87</f>
        <v>(含)-</v>
      </c>
      <c r="N86" s="3574"/>
      <c r="O86" s="3574"/>
      <c r="P86" s="3575"/>
      <c r="Q86" s="3539"/>
      <c r="R86" s="3501"/>
      <c r="S86" s="3501"/>
      <c r="T86" s="3501"/>
      <c r="U86" s="3501"/>
      <c r="V86" s="3501"/>
      <c r="W86" s="3501"/>
      <c r="X86" s="3501"/>
      <c r="Y86" s="3501"/>
      <c r="Z86" s="3501"/>
      <c r="AA86" s="3501"/>
      <c r="AB86" s="3501"/>
      <c r="AC86" s="3501"/>
    </row>
    <row r="87" spans="1:29">
      <c r="A87" s="3632"/>
      <c r="B87" s="3617"/>
      <c r="C87" s="3634">
        <v>30</v>
      </c>
      <c r="D87" s="3634"/>
      <c r="E87" s="3634"/>
      <c r="F87" s="3634"/>
      <c r="G87" s="3634"/>
      <c r="H87" s="3634"/>
      <c r="I87" s="3634"/>
      <c r="J87" s="3635"/>
      <c r="K87" s="3635"/>
      <c r="L87" s="3636"/>
      <c r="M87" s="3637"/>
      <c r="N87" s="3574"/>
      <c r="O87" s="3574"/>
      <c r="P87" s="3575"/>
      <c r="Q87" s="3539"/>
      <c r="R87" s="3501"/>
      <c r="S87" s="3501"/>
      <c r="T87" s="3501"/>
      <c r="U87" s="3501"/>
      <c r="V87" s="3501"/>
      <c r="W87" s="3501"/>
      <c r="X87" s="3501"/>
      <c r="Y87" s="3501"/>
      <c r="Z87" s="3501"/>
      <c r="AA87" s="3501"/>
      <c r="AB87" s="3501"/>
      <c r="AC87" s="3501"/>
    </row>
    <row r="88" spans="1:29" ht="15.75" thickBot="1">
      <c r="A88" s="3576"/>
      <c r="B88" s="3586"/>
      <c r="C88" s="3594">
        <v>100</v>
      </c>
      <c r="D88" s="3578"/>
      <c r="E88" s="3578"/>
      <c r="F88" s="3578"/>
      <c r="G88" s="3578"/>
      <c r="H88" s="3578"/>
      <c r="I88" s="3578"/>
      <c r="J88" s="3578"/>
      <c r="K88" s="3578"/>
      <c r="L88" s="3578"/>
      <c r="M88" s="3578"/>
      <c r="N88" s="3580"/>
      <c r="O88" s="3580"/>
      <c r="P88" s="3575"/>
      <c r="Q88" s="3539"/>
      <c r="R88" s="3501"/>
      <c r="S88" s="3501"/>
      <c r="T88" s="3501"/>
      <c r="U88" s="3501"/>
      <c r="V88" s="3501"/>
      <c r="W88" s="3501"/>
      <c r="X88" s="3501"/>
      <c r="Y88" s="3501"/>
      <c r="Z88" s="3501"/>
      <c r="AA88" s="3501"/>
      <c r="AB88" s="3501"/>
      <c r="AC88" s="3501"/>
    </row>
    <row r="89" spans="1:29" s="3480" customFormat="1" ht="15" thickTop="1">
      <c r="A89" s="3638"/>
      <c r="B89" s="3581" t="s">
        <v>3352</v>
      </c>
      <c r="C89" s="3596"/>
      <c r="D89" s="3596"/>
      <c r="E89" s="3596"/>
      <c r="F89" s="3596"/>
      <c r="G89" s="3596"/>
      <c r="H89" s="3596"/>
      <c r="I89" s="3596"/>
      <c r="J89" s="3596"/>
      <c r="K89" s="3596"/>
      <c r="L89" s="3596"/>
      <c r="M89" s="3624"/>
      <c r="N89" s="3600"/>
      <c r="O89" s="3600"/>
      <c r="P89" s="3601"/>
      <c r="Q89" s="3602"/>
      <c r="R89" s="3603"/>
      <c r="S89" s="3603"/>
      <c r="T89" s="3603"/>
      <c r="U89" s="3603"/>
      <c r="V89" s="3603"/>
      <c r="W89" s="3603"/>
      <c r="X89" s="3603"/>
      <c r="Y89" s="3603"/>
      <c r="Z89" s="3603"/>
      <c r="AA89" s="3603"/>
      <c r="AB89" s="3603"/>
      <c r="AC89" s="3603"/>
    </row>
    <row r="90" spans="1:29" s="3480" customFormat="1" ht="15.75" thickBot="1">
      <c r="A90" s="3595"/>
      <c r="B90" s="3586"/>
      <c r="C90" s="3594"/>
      <c r="D90" s="3578"/>
      <c r="E90" s="3578"/>
      <c r="F90" s="3578"/>
      <c r="G90" s="3578"/>
      <c r="H90" s="3578"/>
      <c r="I90" s="3578"/>
      <c r="J90" s="3578"/>
      <c r="K90" s="3578"/>
      <c r="L90" s="3578"/>
      <c r="M90" s="3579"/>
      <c r="N90" s="3600"/>
      <c r="O90" s="3600"/>
      <c r="P90" s="3601"/>
      <c r="Q90" s="3602"/>
      <c r="R90" s="3603"/>
      <c r="S90" s="3603"/>
      <c r="T90" s="3603"/>
      <c r="U90" s="3603"/>
      <c r="V90" s="3603"/>
      <c r="W90" s="3603"/>
      <c r="X90" s="3603"/>
      <c r="Y90" s="3603"/>
      <c r="Z90" s="3603"/>
      <c r="AA90" s="3603"/>
      <c r="AB90" s="3603"/>
      <c r="AC90" s="3603"/>
    </row>
    <row r="91" spans="1:29" ht="15" thickTop="1">
      <c r="A91" s="3632"/>
      <c r="B91" s="3581">
        <f>B32</f>
        <v>111</v>
      </c>
      <c r="C91" s="3590"/>
      <c r="D91" s="3590"/>
      <c r="E91" s="3590"/>
      <c r="F91" s="3590"/>
      <c r="G91" s="3596"/>
      <c r="H91" s="3597"/>
      <c r="I91" s="3597"/>
      <c r="J91" s="3597"/>
      <c r="K91" s="3597"/>
      <c r="L91" s="3598"/>
      <c r="M91" s="3599"/>
      <c r="N91" s="3574"/>
      <c r="O91" s="3574"/>
      <c r="P91" s="3575"/>
      <c r="Q91" s="3539"/>
      <c r="R91" s="3501"/>
      <c r="S91" s="3501"/>
      <c r="T91" s="3501"/>
      <c r="U91" s="3501"/>
      <c r="V91" s="3501"/>
      <c r="W91" s="3501"/>
      <c r="X91" s="3501"/>
      <c r="Y91" s="3501"/>
      <c r="Z91" s="3501"/>
      <c r="AA91" s="3501"/>
      <c r="AB91" s="3501"/>
      <c r="AC91" s="3501"/>
    </row>
    <row r="92" spans="1:29" ht="15.75" thickBot="1">
      <c r="A92" s="3576"/>
      <c r="B92" s="3586"/>
      <c r="C92" s="3594"/>
      <c r="D92" s="3578"/>
      <c r="E92" s="3578"/>
      <c r="F92" s="3578"/>
      <c r="G92" s="3594"/>
      <c r="H92" s="3605"/>
      <c r="I92" s="3605"/>
      <c r="J92" s="3605"/>
      <c r="K92" s="3605"/>
      <c r="L92" s="3605"/>
      <c r="M92" s="3606"/>
      <c r="N92" s="3580"/>
      <c r="O92" s="3580"/>
      <c r="P92" s="3575"/>
      <c r="Q92" s="3539"/>
      <c r="R92" s="3501"/>
      <c r="S92" s="3501"/>
      <c r="T92" s="3501"/>
      <c r="U92" s="3501"/>
      <c r="V92" s="3501"/>
      <c r="W92" s="3501"/>
      <c r="X92" s="3501"/>
      <c r="Y92" s="3501"/>
      <c r="Z92" s="3501"/>
      <c r="AA92" s="3501"/>
      <c r="AB92" s="3501"/>
      <c r="AC92" s="3501"/>
    </row>
    <row r="93" spans="1:29" ht="15" thickTop="1">
      <c r="A93" s="3632"/>
      <c r="B93" s="3581">
        <f>B33</f>
        <v>111</v>
      </c>
      <c r="C93" s="3590"/>
      <c r="D93" s="3590"/>
      <c r="E93" s="3590"/>
      <c r="F93" s="3590"/>
      <c r="G93" s="3596"/>
      <c r="H93" s="3597"/>
      <c r="I93" s="3597"/>
      <c r="J93" s="3597"/>
      <c r="K93" s="3597"/>
      <c r="L93" s="3598"/>
      <c r="M93" s="3599"/>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94"/>
      <c r="D94" s="3578"/>
      <c r="E94" s="3578"/>
      <c r="F94" s="3578"/>
      <c r="G94" s="3594"/>
      <c r="H94" s="3605"/>
      <c r="I94" s="3605"/>
      <c r="J94" s="3605"/>
      <c r="K94" s="3605"/>
      <c r="L94" s="3605"/>
      <c r="M94" s="3606"/>
      <c r="N94" s="3580"/>
      <c r="O94" s="3580"/>
      <c r="P94" s="3575"/>
      <c r="Q94" s="3539"/>
      <c r="R94" s="3501"/>
      <c r="S94" s="3501"/>
      <c r="T94" s="3501"/>
      <c r="U94" s="3501"/>
      <c r="V94" s="3501"/>
      <c r="W94" s="3501"/>
      <c r="X94" s="3501"/>
      <c r="Y94" s="3501"/>
      <c r="Z94" s="3501"/>
      <c r="AA94" s="3501"/>
      <c r="AB94" s="3501"/>
      <c r="AC94" s="3501"/>
    </row>
    <row r="95" spans="1:29" ht="15" thickTop="1">
      <c r="A95" s="3632"/>
      <c r="B95" s="3639">
        <f>B34</f>
        <v>111</v>
      </c>
      <c r="C95" s="3590"/>
      <c r="D95" s="3590"/>
      <c r="E95" s="3590"/>
      <c r="F95" s="3590"/>
      <c r="G95" s="3596"/>
      <c r="H95" s="3597"/>
      <c r="I95" s="3597"/>
      <c r="J95" s="3597"/>
      <c r="K95" s="3597"/>
      <c r="L95" s="3598"/>
      <c r="M95" s="3599"/>
      <c r="N95" s="3580"/>
      <c r="O95" s="3580"/>
      <c r="P95" s="3640"/>
      <c r="Q95" s="3641"/>
      <c r="R95" s="3501"/>
      <c r="S95" s="3501"/>
      <c r="T95" s="3501"/>
      <c r="U95" s="3501"/>
      <c r="V95" s="3501"/>
      <c r="W95" s="3501"/>
      <c r="X95" s="3501"/>
      <c r="Y95" s="3501"/>
      <c r="Z95" s="3501"/>
      <c r="AA95" s="3501"/>
      <c r="AB95" s="3501"/>
      <c r="AC95" s="3501"/>
    </row>
    <row r="96" spans="1:29" ht="15.75" thickBot="1">
      <c r="A96" s="3576"/>
      <c r="B96" s="3586"/>
      <c r="C96" s="3594"/>
      <c r="D96" s="3594"/>
      <c r="E96" s="3594"/>
      <c r="F96" s="3594"/>
      <c r="G96" s="3594"/>
      <c r="H96" s="3605"/>
      <c r="I96" s="3605"/>
      <c r="J96" s="3605"/>
      <c r="K96" s="3605"/>
      <c r="L96" s="3605"/>
      <c r="M96" s="3606"/>
      <c r="N96" s="3580"/>
      <c r="O96" s="3580"/>
      <c r="P96" s="3575"/>
      <c r="Q96" s="3539"/>
      <c r="R96" s="3501"/>
      <c r="S96" s="3501"/>
      <c r="T96" s="3501"/>
      <c r="U96" s="3501"/>
      <c r="V96" s="3501"/>
      <c r="W96" s="3501"/>
      <c r="X96" s="3501"/>
      <c r="Y96" s="3501"/>
      <c r="Z96" s="3501"/>
      <c r="AA96" s="3501"/>
      <c r="AB96" s="3501"/>
      <c r="AC96" s="3501"/>
    </row>
    <row r="97" spans="1:29" ht="15" thickTop="1">
      <c r="A97" s="3642"/>
      <c r="B97" s="3642"/>
      <c r="C97" s="3642"/>
      <c r="D97" s="3642"/>
      <c r="E97" s="3642"/>
      <c r="F97" s="3642"/>
      <c r="G97" s="3642"/>
      <c r="H97" s="3642"/>
      <c r="I97" s="3642"/>
      <c r="J97" s="3642"/>
      <c r="K97" s="3643"/>
      <c r="L97" s="3644"/>
      <c r="M97" s="3642"/>
      <c r="N97" s="3642"/>
      <c r="O97" s="3642"/>
      <c r="P97" s="3642"/>
      <c r="Q97" s="3642"/>
      <c r="R97" s="3642"/>
      <c r="S97" s="3642"/>
      <c r="T97" s="3642"/>
      <c r="U97" s="3642"/>
      <c r="V97" s="3642"/>
      <c r="W97" s="3642"/>
      <c r="X97" s="3642"/>
      <c r="Y97" s="3642"/>
      <c r="Z97" s="3642"/>
      <c r="AA97" s="3642"/>
      <c r="AB97" s="3642"/>
      <c r="AC97" s="3642"/>
    </row>
    <row r="98" spans="1:29">
      <c r="A98" s="3642"/>
      <c r="B98" s="3642"/>
      <c r="C98" s="3642"/>
      <c r="D98" s="3642"/>
      <c r="E98" s="3642"/>
      <c r="F98" s="3642"/>
      <c r="G98" s="3642"/>
      <c r="H98" s="3642"/>
      <c r="I98" s="3642"/>
      <c r="J98" s="3642"/>
      <c r="K98" s="3643"/>
      <c r="L98" s="3644"/>
      <c r="M98" s="3642"/>
      <c r="N98" s="3642"/>
      <c r="O98" s="3642"/>
      <c r="P98" s="3642"/>
      <c r="Q98" s="3642"/>
      <c r="R98" s="3642"/>
      <c r="S98" s="3642"/>
      <c r="T98" s="3642"/>
      <c r="U98" s="3642"/>
      <c r="V98" s="3642"/>
      <c r="W98" s="3642"/>
      <c r="X98" s="3642"/>
      <c r="Y98" s="3642"/>
      <c r="Z98" s="3642"/>
      <c r="AA98" s="3642"/>
      <c r="AB98" s="3642"/>
      <c r="AC98" s="3642"/>
    </row>
    <row r="99" spans="1:29">
      <c r="A99" s="3642"/>
      <c r="B99" s="3642"/>
      <c r="C99" s="3642"/>
      <c r="D99" s="3642"/>
      <c r="E99" s="3642"/>
      <c r="F99" s="3642"/>
      <c r="G99" s="3642"/>
      <c r="H99" s="3642"/>
      <c r="I99" s="3642"/>
      <c r="J99" s="3642"/>
      <c r="K99" s="3643"/>
      <c r="L99" s="3644"/>
      <c r="M99" s="3642"/>
      <c r="N99" s="3642"/>
      <c r="O99" s="3642"/>
      <c r="P99" s="3642"/>
      <c r="Q99" s="3642"/>
      <c r="R99" s="3642"/>
      <c r="S99" s="3642"/>
      <c r="T99" s="3642"/>
      <c r="U99" s="3642"/>
      <c r="V99" s="3642"/>
      <c r="W99" s="3642"/>
      <c r="X99" s="3642"/>
      <c r="Y99" s="3642"/>
      <c r="Z99" s="3642"/>
      <c r="AA99" s="3642"/>
      <c r="AB99" s="3642"/>
      <c r="AC99" s="3642"/>
    </row>
    <row r="100" spans="1:29">
      <c r="A100" s="3642"/>
      <c r="B100" s="3642"/>
      <c r="C100" s="3642"/>
      <c r="D100" s="3642"/>
      <c r="E100" s="3642"/>
      <c r="F100" s="3642"/>
      <c r="G100" s="3642"/>
      <c r="H100" s="3642"/>
      <c r="I100" s="3642"/>
      <c r="J100" s="3642"/>
      <c r="K100" s="3643"/>
      <c r="L100" s="3644"/>
      <c r="M100" s="3642"/>
      <c r="N100" s="3642"/>
      <c r="O100" s="3642"/>
      <c r="P100" s="3642"/>
      <c r="Q100" s="3642"/>
      <c r="R100" s="3642"/>
      <c r="S100" s="3642"/>
      <c r="T100" s="3642"/>
      <c r="U100" s="3642"/>
      <c r="V100" s="3642"/>
      <c r="W100" s="3642"/>
      <c r="X100" s="3642"/>
      <c r="Y100" s="3642"/>
      <c r="Z100" s="3642"/>
      <c r="AA100" s="3642"/>
      <c r="AB100" s="3642"/>
      <c r="AC100" s="3642"/>
    </row>
    <row r="101" spans="1:29">
      <c r="A101" s="3642"/>
      <c r="B101" s="3642"/>
      <c r="C101" s="3642"/>
      <c r="D101" s="3642"/>
      <c r="E101" s="3642"/>
      <c r="F101" s="3642"/>
      <c r="G101" s="3642"/>
      <c r="H101" s="3642"/>
      <c r="I101" s="3642"/>
      <c r="J101" s="3642"/>
      <c r="K101" s="3643"/>
      <c r="L101" s="3644"/>
      <c r="M101" s="3642"/>
      <c r="N101" s="3642"/>
      <c r="O101" s="3642"/>
      <c r="P101" s="3642"/>
      <c r="Q101" s="3642"/>
      <c r="R101" s="3642"/>
      <c r="S101" s="3642"/>
      <c r="T101" s="3642"/>
      <c r="U101" s="3642"/>
      <c r="V101" s="3642"/>
      <c r="W101" s="3642"/>
      <c r="X101" s="3642"/>
      <c r="Y101" s="3642"/>
      <c r="Z101" s="3642"/>
      <c r="AA101" s="3642"/>
      <c r="AB101" s="3642"/>
      <c r="AC101" s="3642"/>
    </row>
    <row r="102" spans="1:29">
      <c r="A102" s="3642"/>
      <c r="B102" s="3642"/>
      <c r="C102" s="3642"/>
      <c r="D102" s="3642"/>
      <c r="E102" s="3642"/>
      <c r="F102" s="3642"/>
      <c r="G102" s="3642"/>
      <c r="H102" s="3642"/>
      <c r="I102" s="3642"/>
      <c r="J102" s="3642"/>
      <c r="K102" s="3643"/>
      <c r="L102" s="3644"/>
      <c r="M102" s="3642"/>
      <c r="N102" s="3642"/>
      <c r="O102" s="3642"/>
      <c r="P102" s="3642"/>
      <c r="Q102" s="3642"/>
      <c r="R102" s="3642"/>
      <c r="S102" s="3642"/>
      <c r="T102" s="3642"/>
      <c r="U102" s="3642"/>
      <c r="V102" s="3642"/>
      <c r="W102" s="3642"/>
      <c r="X102" s="3642"/>
      <c r="Y102" s="3642"/>
      <c r="Z102" s="3642"/>
      <c r="AA102" s="3642"/>
      <c r="AB102" s="3642"/>
      <c r="AC102" s="3642"/>
    </row>
    <row r="103" spans="1:29">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AE52" sqref="AE52"/>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3228</v>
      </c>
      <c r="C1" s="3343" t="s">
        <v>3314</v>
      </c>
      <c r="D1" s="3344" t="s">
        <v>34</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IF(B37="元/平方米",ROUND(B3*D3/10000,0),ROUND(F3*C39/10000,0))</f>
        <v>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IF(B37="元/平方米",C39,ROUND(B2*10000/D3,0))</f>
        <v>6257</v>
      </c>
      <c r="C3" s="3361" t="s">
        <v>3318</v>
      </c>
      <c r="D3" s="3362">
        <f>SUMIF('[1]数据-汇总表'!$C19:$C33,D1,'[1]数据-汇总表'!$E19:$E33)</f>
        <v>0</v>
      </c>
      <c r="E3" s="3647" t="s">
        <v>3390</v>
      </c>
      <c r="F3" s="3362">
        <f>SUMIF('[1]数据-取费表'!A5:A15,D1,'[1]数据-取费表'!AH5:AH15)</f>
        <v>0</v>
      </c>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67" t="s">
        <v>3320</v>
      </c>
      <c r="D4" s="3968"/>
      <c r="E4" s="3967" t="s">
        <v>3321</v>
      </c>
      <c r="F4" s="3968"/>
      <c r="G4" s="3967" t="s">
        <v>3322</v>
      </c>
      <c r="H4" s="3968"/>
      <c r="I4" s="3967" t="s">
        <v>3323</v>
      </c>
      <c r="J4" s="3968"/>
      <c r="K4" s="3367" t="s">
        <v>3324</v>
      </c>
      <c r="L4" s="3368"/>
      <c r="M4" s="3369"/>
      <c r="N4" s="3369"/>
      <c r="O4" s="3369"/>
      <c r="P4" s="3971" t="s">
        <v>3325</v>
      </c>
      <c r="Q4" s="3972"/>
      <c r="R4" s="3977" t="s">
        <v>3321</v>
      </c>
      <c r="S4" s="3978"/>
      <c r="T4" s="3977" t="s">
        <v>3322</v>
      </c>
      <c r="U4" s="3978"/>
      <c r="V4" s="3992" t="s">
        <v>3323</v>
      </c>
      <c r="W4" s="3992"/>
      <c r="X4" s="3370"/>
      <c r="Y4" s="3977" t="s">
        <v>3325</v>
      </c>
      <c r="Z4" s="3978"/>
      <c r="AA4" s="3964" t="s">
        <v>3321</v>
      </c>
      <c r="AB4" s="3965" t="s">
        <v>3322</v>
      </c>
      <c r="AC4" s="3964" t="s">
        <v>3323</v>
      </c>
    </row>
    <row r="5" spans="1:29" ht="15">
      <c r="A5" s="3372"/>
      <c r="B5" s="3373"/>
      <c r="C5" s="3981" t="s">
        <v>3326</v>
      </c>
      <c r="D5" s="3982"/>
      <c r="E5" s="3985" t="s">
        <v>3440</v>
      </c>
      <c r="F5" s="3982"/>
      <c r="G5" s="3985" t="s">
        <v>3441</v>
      </c>
      <c r="H5" s="3982"/>
      <c r="I5" s="3985" t="s">
        <v>3442</v>
      </c>
      <c r="J5" s="3982"/>
      <c r="K5" s="3367"/>
      <c r="L5" s="3368"/>
      <c r="M5" s="3369"/>
      <c r="N5" s="3369"/>
      <c r="O5" s="3369"/>
      <c r="P5" s="3973"/>
      <c r="Q5" s="3974"/>
      <c r="R5" s="3979"/>
      <c r="S5" s="3980"/>
      <c r="T5" s="3979"/>
      <c r="U5" s="3980"/>
      <c r="V5" s="3992"/>
      <c r="W5" s="3992"/>
      <c r="X5" s="3370"/>
      <c r="Y5" s="3979"/>
      <c r="Z5" s="3980"/>
      <c r="AA5" s="3965"/>
      <c r="AB5" s="3965"/>
      <c r="AC5" s="3965"/>
    </row>
    <row r="6" spans="1:29" ht="15.75" thickBot="1">
      <c r="A6" s="3374"/>
      <c r="B6" s="3375"/>
      <c r="C6" s="3986" t="s">
        <v>3327</v>
      </c>
      <c r="D6" s="3987"/>
      <c r="E6" s="4006" t="s">
        <v>3327</v>
      </c>
      <c r="F6" s="4007"/>
      <c r="G6" s="3986" t="s">
        <v>3327</v>
      </c>
      <c r="H6" s="3987"/>
      <c r="I6" s="3986" t="s">
        <v>3327</v>
      </c>
      <c r="J6" s="3987"/>
      <c r="K6" s="3367" t="s">
        <v>3328</v>
      </c>
      <c r="L6" s="3368"/>
      <c r="M6" s="3369"/>
      <c r="N6" s="3369"/>
      <c r="O6" s="3369"/>
      <c r="P6" s="3975"/>
      <c r="Q6" s="3976"/>
      <c r="R6" s="3979"/>
      <c r="S6" s="3980"/>
      <c r="T6" s="3990"/>
      <c r="U6" s="3991"/>
      <c r="V6" s="3992"/>
      <c r="W6" s="3992"/>
      <c r="X6" s="3370"/>
      <c r="Y6" s="3990"/>
      <c r="Z6" s="3991"/>
      <c r="AA6" s="3966"/>
      <c r="AB6" s="3966"/>
      <c r="AC6" s="3966"/>
    </row>
    <row r="7" spans="1:29" s="3389" customFormat="1" ht="15.75" thickBot="1">
      <c r="A7" s="3376"/>
      <c r="B7" s="3377" t="s">
        <v>3329</v>
      </c>
      <c r="C7" s="3378">
        <f>'[1]数据-取费表'!B2</f>
        <v>44557</v>
      </c>
      <c r="D7" s="3379">
        <v>100</v>
      </c>
      <c r="E7" s="3380">
        <v>44531</v>
      </c>
      <c r="F7" s="3381">
        <f>SUMIF(48:48,YEAR(E7)&amp;"-"&amp;MONTH(E7),49:49)</f>
        <v>100</v>
      </c>
      <c r="G7" s="3380">
        <v>44531</v>
      </c>
      <c r="H7" s="3379">
        <f>SUMIF(48:48,YEAR(G7)&amp;"-"&amp;MONTH(G7),49:49)</f>
        <v>100</v>
      </c>
      <c r="I7" s="3648">
        <v>44501</v>
      </c>
      <c r="J7" s="3379">
        <f>SUMIF(48:48,YEAR(I7)&amp;"-"&amp;MONTH(I7),49:49)</f>
        <v>100</v>
      </c>
      <c r="K7" s="3382"/>
      <c r="L7" s="3383"/>
      <c r="M7" s="3384"/>
      <c r="N7" s="3384"/>
      <c r="O7" s="3384"/>
      <c r="P7" s="3993" t="s">
        <v>3330</v>
      </c>
      <c r="Q7" s="3994"/>
      <c r="R7" s="3385" t="s">
        <v>3331</v>
      </c>
      <c r="S7" s="3386">
        <f t="shared" ref="S7:S14" si="0">F7</f>
        <v>100</v>
      </c>
      <c r="T7" s="3385" t="s">
        <v>3331</v>
      </c>
      <c r="U7" s="3386">
        <f t="shared" ref="U7:U14" si="1">H7</f>
        <v>100</v>
      </c>
      <c r="V7" s="3385" t="s">
        <v>3331</v>
      </c>
      <c r="W7" s="3386">
        <f t="shared" ref="W7:W14" si="2">J7</f>
        <v>100</v>
      </c>
      <c r="X7" s="3387"/>
      <c r="Y7" s="3993" t="s">
        <v>3330</v>
      </c>
      <c r="Z7" s="3995"/>
      <c r="AA7" s="3388">
        <f>D7/F7</f>
        <v>1</v>
      </c>
      <c r="AB7" s="3388">
        <f>D7/H7</f>
        <v>1</v>
      </c>
      <c r="AC7" s="3388">
        <f>D7/J7</f>
        <v>1</v>
      </c>
    </row>
    <row r="8" spans="1:29" s="3389" customFormat="1" ht="15.75" thickBot="1">
      <c r="A8" s="3390"/>
      <c r="B8" s="3391" t="s">
        <v>3391</v>
      </c>
      <c r="C8" s="3392" t="s">
        <v>3392</v>
      </c>
      <c r="D8" s="3379">
        <v>100</v>
      </c>
      <c r="E8" s="3392" t="s">
        <v>3179</v>
      </c>
      <c r="F8" s="3381">
        <f>SUMIF(51:51,E8,52:52)-SUMIF(51:51,C8,52:52)+100</f>
        <v>100</v>
      </c>
      <c r="G8" s="3392" t="s">
        <v>3179</v>
      </c>
      <c r="H8" s="3379">
        <f>SUMIF(51:51,G8,52:52)-SUMIF(51:51,C8,52:52)+100</f>
        <v>100</v>
      </c>
      <c r="I8" s="3392" t="s">
        <v>3179</v>
      </c>
      <c r="J8" s="3379">
        <f>SUMIF(51:51,I8,52:52)-SUMIF(51:51,C8,52:52)+100</f>
        <v>100</v>
      </c>
      <c r="K8" s="3382"/>
      <c r="L8" s="3383"/>
      <c r="M8" s="3384"/>
      <c r="N8" s="3384"/>
      <c r="O8" s="3384"/>
      <c r="P8" s="3993" t="s">
        <v>3393</v>
      </c>
      <c r="Q8" s="3995"/>
      <c r="R8" s="3385" t="s">
        <v>3331</v>
      </c>
      <c r="S8" s="3386">
        <f t="shared" si="0"/>
        <v>100</v>
      </c>
      <c r="T8" s="3385" t="s">
        <v>3331</v>
      </c>
      <c r="U8" s="3386">
        <f t="shared" si="1"/>
        <v>100</v>
      </c>
      <c r="V8" s="3385" t="s">
        <v>3331</v>
      </c>
      <c r="W8" s="3386">
        <f t="shared" si="2"/>
        <v>100</v>
      </c>
      <c r="X8" s="3387"/>
      <c r="Y8" s="3993" t="s">
        <v>3393</v>
      </c>
      <c r="Z8" s="3995"/>
      <c r="AA8" s="3388">
        <f t="shared" ref="AA8:AA36" si="3">D8/F8</f>
        <v>1</v>
      </c>
      <c r="AB8" s="3388">
        <f t="shared" ref="AB8:AB36" si="4">D8/H8</f>
        <v>1</v>
      </c>
      <c r="AC8" s="3388">
        <f t="shared" ref="AC8:AC36" si="5">D8/J8</f>
        <v>1</v>
      </c>
    </row>
    <row r="9" spans="1:29" s="3389" customFormat="1" ht="15">
      <c r="A9" s="3393"/>
      <c r="B9" s="3394" t="s">
        <v>3394</v>
      </c>
      <c r="C9" s="3395" t="s">
        <v>3395</v>
      </c>
      <c r="D9" s="3396">
        <v>100</v>
      </c>
      <c r="E9" s="3397" t="s">
        <v>3228</v>
      </c>
      <c r="F9" s="3396">
        <f>SUMIF(53:53,E9,54:54)-SUMIF(53:53,C9,54:54)+100</f>
        <v>100</v>
      </c>
      <c r="G9" s="3397" t="s">
        <v>3228</v>
      </c>
      <c r="H9" s="3396">
        <f>SUMIF(53:53,G9,54:54)-SUMIF(53:53,C9,54:54)+100</f>
        <v>100</v>
      </c>
      <c r="I9" s="3397" t="s">
        <v>3228</v>
      </c>
      <c r="J9" s="3396">
        <f>SUMIF(53:53,I9,54:54)-SUMIF(53:53,C9,54:54)+100</f>
        <v>100</v>
      </c>
      <c r="K9" s="3382"/>
      <c r="L9" s="3383"/>
      <c r="M9" s="3384"/>
      <c r="N9" s="3384"/>
      <c r="O9" s="3398"/>
      <c r="P9" s="3996" t="s">
        <v>3396</v>
      </c>
      <c r="Q9" s="3399" t="str">
        <f t="shared" ref="Q9:Q14" si="6">B9</f>
        <v>用途</v>
      </c>
      <c r="R9" s="3385" t="s">
        <v>3331</v>
      </c>
      <c r="S9" s="3386">
        <f t="shared" si="0"/>
        <v>100</v>
      </c>
      <c r="T9" s="3385" t="s">
        <v>3331</v>
      </c>
      <c r="U9" s="3386">
        <f t="shared" si="1"/>
        <v>100</v>
      </c>
      <c r="V9" s="3385" t="s">
        <v>3331</v>
      </c>
      <c r="W9" s="3386">
        <f t="shared" si="2"/>
        <v>100</v>
      </c>
      <c r="X9" s="3387"/>
      <c r="Y9" s="3997" t="s">
        <v>3397</v>
      </c>
      <c r="Z9" s="3400" t="str">
        <f t="shared" ref="Z9:Z14" si="7">Q9</f>
        <v>用途</v>
      </c>
      <c r="AA9" s="3388">
        <f t="shared" si="3"/>
        <v>1</v>
      </c>
      <c r="AB9" s="3388">
        <f t="shared" si="4"/>
        <v>1</v>
      </c>
      <c r="AC9" s="3388">
        <f t="shared" si="5"/>
        <v>1</v>
      </c>
    </row>
    <row r="10" spans="1:29" s="3408" customFormat="1" ht="27">
      <c r="A10" s="3401"/>
      <c r="B10" s="3391" t="s">
        <v>3398</v>
      </c>
      <c r="C10" s="3402" t="s">
        <v>3338</v>
      </c>
      <c r="D10" s="3403">
        <v>100</v>
      </c>
      <c r="E10" s="3402" t="s">
        <v>3338</v>
      </c>
      <c r="F10" s="3403">
        <f>SUMIF(55:55,E10,56:56)-SUMIF(55:55,C10,56:56)+100</f>
        <v>100</v>
      </c>
      <c r="G10" s="3402" t="s">
        <v>3338</v>
      </c>
      <c r="H10" s="3403">
        <f>SUMIF(55:55,G10,56:56)-SUMIF(55:55,C10,56:56)+100</f>
        <v>100</v>
      </c>
      <c r="I10" s="3402" t="s">
        <v>3338</v>
      </c>
      <c r="J10" s="3403">
        <f>SUMIF(55:55,I10,56:56)-SUMIF(55:55,C10,56:56)+100</f>
        <v>100</v>
      </c>
      <c r="K10" s="3404">
        <f>'不动产比较法-仓储2'!K10</f>
        <v>1</v>
      </c>
      <c r="L10" s="3405"/>
      <c r="M10" s="3406"/>
      <c r="N10" s="3406"/>
      <c r="O10" s="3407"/>
      <c r="P10" s="3996"/>
      <c r="Q10" s="3399" t="str">
        <f t="shared" si="6"/>
        <v>土地使用年限（年）</v>
      </c>
      <c r="R10" s="3385" t="s">
        <v>3331</v>
      </c>
      <c r="S10" s="3386">
        <f t="shared" si="0"/>
        <v>100</v>
      </c>
      <c r="T10" s="3385" t="s">
        <v>3331</v>
      </c>
      <c r="U10" s="3386">
        <f t="shared" si="1"/>
        <v>100</v>
      </c>
      <c r="V10" s="3385" t="s">
        <v>3331</v>
      </c>
      <c r="W10" s="3386">
        <f t="shared" si="2"/>
        <v>100</v>
      </c>
      <c r="X10" s="3387"/>
      <c r="Y10" s="3997"/>
      <c r="Z10" s="3400" t="str">
        <f t="shared" si="7"/>
        <v>土地使用年限（年）</v>
      </c>
      <c r="AA10" s="3388">
        <f t="shared" si="3"/>
        <v>1</v>
      </c>
      <c r="AB10" s="3388">
        <f t="shared" si="4"/>
        <v>1</v>
      </c>
      <c r="AC10" s="3388">
        <f t="shared" si="5"/>
        <v>1</v>
      </c>
    </row>
    <row r="11" spans="1:29" ht="15">
      <c r="A11" s="3409"/>
      <c r="B11" s="3410">
        <v>111</v>
      </c>
      <c r="C11" s="3411"/>
      <c r="D11" s="3403">
        <v>100</v>
      </c>
      <c r="E11" s="3411"/>
      <c r="F11" s="3403">
        <f>SUMIF(57:57,E11,58:58)-SUMIF(57:57,C11,58:58)+100</f>
        <v>100</v>
      </c>
      <c r="G11" s="3411"/>
      <c r="H11" s="3403">
        <f>SUMIF(57:57,G11,58:58)-SUMIF(57:57,C11,58:58)+100</f>
        <v>100</v>
      </c>
      <c r="I11" s="3411"/>
      <c r="J11" s="3403">
        <f>SUMIF(57:57,I11,58:58)-SUMIF(57:57,C11,58:58)+100</f>
        <v>100</v>
      </c>
      <c r="K11" s="3413"/>
      <c r="L11" s="3414"/>
      <c r="M11" s="3369"/>
      <c r="N11" s="3369"/>
      <c r="O11" s="3415"/>
      <c r="P11" s="3996"/>
      <c r="Q11" s="3399">
        <f t="shared" si="6"/>
        <v>111</v>
      </c>
      <c r="R11" s="3385" t="s">
        <v>3331</v>
      </c>
      <c r="S11" s="3386">
        <f t="shared" si="0"/>
        <v>100</v>
      </c>
      <c r="T11" s="3385" t="s">
        <v>3331</v>
      </c>
      <c r="U11" s="3386">
        <f t="shared" si="1"/>
        <v>100</v>
      </c>
      <c r="V11" s="3385" t="s">
        <v>3331</v>
      </c>
      <c r="W11" s="3386">
        <f t="shared" si="2"/>
        <v>100</v>
      </c>
      <c r="X11" s="3387"/>
      <c r="Y11" s="3997"/>
      <c r="Z11" s="3400">
        <f t="shared" si="7"/>
        <v>111</v>
      </c>
      <c r="AA11" s="3388">
        <f t="shared" si="3"/>
        <v>1</v>
      </c>
      <c r="AB11" s="3388">
        <f t="shared" si="4"/>
        <v>1</v>
      </c>
      <c r="AC11" s="3388">
        <f t="shared" si="5"/>
        <v>1</v>
      </c>
    </row>
    <row r="12" spans="1:29" s="3389" customFormat="1" ht="15">
      <c r="A12" s="3409"/>
      <c r="B12" s="3410">
        <v>111</v>
      </c>
      <c r="C12" s="3411"/>
      <c r="D12" s="3416">
        <v>100</v>
      </c>
      <c r="E12" s="3411"/>
      <c r="F12" s="3403">
        <f>SUMIF(59:59,E12,60:60)-SUMIF(59:59,C12,60:60)+100</f>
        <v>100</v>
      </c>
      <c r="G12" s="3411"/>
      <c r="H12" s="3403">
        <f>SUMIF(59:59,G12,60:60)-SUMIF(59:59,C12,60:60)+100</f>
        <v>100</v>
      </c>
      <c r="I12" s="3411"/>
      <c r="J12" s="3403">
        <f>SUMIF(59:59,I12,60:60)-SUMIF(59:59,C12,60:60)+100</f>
        <v>100</v>
      </c>
      <c r="K12" s="3413"/>
      <c r="L12" s="3383"/>
      <c r="M12" s="3384"/>
      <c r="N12" s="3384"/>
      <c r="O12" s="3398"/>
      <c r="P12" s="3996"/>
      <c r="Q12" s="3399">
        <f t="shared" si="6"/>
        <v>111</v>
      </c>
      <c r="R12" s="3385" t="s">
        <v>3331</v>
      </c>
      <c r="S12" s="3386">
        <f t="shared" si="0"/>
        <v>100</v>
      </c>
      <c r="T12" s="3385" t="s">
        <v>3331</v>
      </c>
      <c r="U12" s="3386">
        <f t="shared" si="1"/>
        <v>100</v>
      </c>
      <c r="V12" s="3385" t="s">
        <v>3331</v>
      </c>
      <c r="W12" s="3386">
        <f t="shared" si="2"/>
        <v>100</v>
      </c>
      <c r="X12" s="3387"/>
      <c r="Y12" s="3997"/>
      <c r="Z12" s="3400">
        <f t="shared" si="7"/>
        <v>111</v>
      </c>
      <c r="AA12" s="3388">
        <f>D12/F12</f>
        <v>1</v>
      </c>
      <c r="AB12" s="3388">
        <f>D12/H12</f>
        <v>1</v>
      </c>
      <c r="AC12" s="3388">
        <f>D12/J12</f>
        <v>1</v>
      </c>
    </row>
    <row r="13" spans="1:29" ht="15.75" thickBot="1">
      <c r="A13" s="3417"/>
      <c r="B13" s="3418">
        <v>111</v>
      </c>
      <c r="C13" s="3419"/>
      <c r="D13" s="3420">
        <v>100</v>
      </c>
      <c r="E13" s="3411"/>
      <c r="F13" s="3403">
        <f>SUMIF(61:61,E13,62:62)-SUMIF(61:61,C13,62:62)+100</f>
        <v>100</v>
      </c>
      <c r="G13" s="3411"/>
      <c r="H13" s="3420">
        <f>SUMIF(61:61,G13,62:62)-SUMIF(61:61,C13,62:62)+100</f>
        <v>100</v>
      </c>
      <c r="I13" s="3411"/>
      <c r="J13" s="3420">
        <f>SUMIF(61:61,I13,62:62)-SUMIF(61:61,C13,62:62)+100</f>
        <v>100</v>
      </c>
      <c r="K13" s="3413"/>
      <c r="L13" s="3421"/>
      <c r="M13" s="3369"/>
      <c r="N13" s="3369"/>
      <c r="O13" s="3415"/>
      <c r="P13" s="3996"/>
      <c r="Q13" s="3399">
        <f t="shared" si="6"/>
        <v>111</v>
      </c>
      <c r="R13" s="3385" t="s">
        <v>3331</v>
      </c>
      <c r="S13" s="3386">
        <f t="shared" si="0"/>
        <v>100</v>
      </c>
      <c r="T13" s="3385" t="s">
        <v>3331</v>
      </c>
      <c r="U13" s="3386">
        <f t="shared" si="1"/>
        <v>100</v>
      </c>
      <c r="V13" s="3385" t="s">
        <v>3331</v>
      </c>
      <c r="W13" s="3386">
        <f t="shared" si="2"/>
        <v>100</v>
      </c>
      <c r="X13" s="3387"/>
      <c r="Y13" s="3997"/>
      <c r="Z13" s="3400">
        <f t="shared" si="7"/>
        <v>111</v>
      </c>
      <c r="AA13" s="3388">
        <f t="shared" si="3"/>
        <v>1</v>
      </c>
      <c r="AB13" s="3388">
        <f t="shared" si="4"/>
        <v>1</v>
      </c>
      <c r="AC13" s="3388">
        <f t="shared" si="5"/>
        <v>1</v>
      </c>
    </row>
    <row r="14" spans="1:29" ht="85.5">
      <c r="A14" s="3422" t="s">
        <v>3399</v>
      </c>
      <c r="B14" s="3649" t="s">
        <v>3373</v>
      </c>
      <c r="C14" s="3424" t="str">
        <f>IF(B1="工业",[1]估价对象房地状况!G4,[1]估价对象房地状况!C6)</f>
        <v>估价对象周边道路状况、公共交通通达情况、停车便捷程度，综合评价交通便捷度一般</v>
      </c>
      <c r="D14" s="3425">
        <v>100</v>
      </c>
      <c r="E14" s="3426"/>
      <c r="F14" s="3427">
        <f>SUMIF(63:63,E15,64:64)-SUMIF(63:63,C15,64:64)+100</f>
        <v>100</v>
      </c>
      <c r="G14" s="3428"/>
      <c r="H14" s="3425">
        <f>SUMIF(63:63,G15,64:64)-SUMIF(63:63,C15,64:64)+100</f>
        <v>98</v>
      </c>
      <c r="I14" s="3426"/>
      <c r="J14" s="3425">
        <f>SUMIF(63:63,I15,64:64)-SUMIF(63:63,C15,64:64)+100</f>
        <v>100</v>
      </c>
      <c r="K14" s="3429">
        <f>'不动产比较法-仓储2'!K14</f>
        <v>2</v>
      </c>
      <c r="L14" s="3421"/>
      <c r="M14" s="3369"/>
      <c r="N14" s="3369"/>
      <c r="O14" s="3415"/>
      <c r="P14" s="3998" t="s">
        <v>3340</v>
      </c>
      <c r="Q14" s="3430" t="str">
        <f t="shared" si="6"/>
        <v>交通便捷度</v>
      </c>
      <c r="R14" s="3431" t="s">
        <v>3331</v>
      </c>
      <c r="S14" s="3432">
        <f t="shared" si="0"/>
        <v>100</v>
      </c>
      <c r="T14" s="3431" t="s">
        <v>3331</v>
      </c>
      <c r="U14" s="3432">
        <f t="shared" si="1"/>
        <v>98</v>
      </c>
      <c r="V14" s="3431" t="s">
        <v>3331</v>
      </c>
      <c r="W14" s="3432">
        <f t="shared" si="2"/>
        <v>100</v>
      </c>
      <c r="X14" s="3370"/>
      <c r="Y14" s="3998" t="s">
        <v>3340</v>
      </c>
      <c r="Z14" s="3433" t="str">
        <f t="shared" si="7"/>
        <v>交通便捷度</v>
      </c>
      <c r="AA14" s="3434">
        <f t="shared" si="3"/>
        <v>1</v>
      </c>
      <c r="AB14" s="3434">
        <f t="shared" si="4"/>
        <v>1.0204081632653061</v>
      </c>
      <c r="AC14" s="3434">
        <f t="shared" si="5"/>
        <v>1</v>
      </c>
    </row>
    <row r="15" spans="1:29" ht="15">
      <c r="A15" s="3372"/>
      <c r="B15" s="3650"/>
      <c r="C15" s="3437" t="s">
        <v>3187</v>
      </c>
      <c r="D15" s="3438"/>
      <c r="E15" s="3437" t="s">
        <v>3187</v>
      </c>
      <c r="F15" s="3439"/>
      <c r="G15" s="3437" t="s">
        <v>3188</v>
      </c>
      <c r="H15" s="3440"/>
      <c r="I15" s="3437" t="s">
        <v>3187</v>
      </c>
      <c r="J15" s="3438"/>
      <c r="K15" s="3441"/>
      <c r="L15" s="3421"/>
      <c r="M15" s="3369"/>
      <c r="N15" s="3369"/>
      <c r="O15" s="3415"/>
      <c r="P15" s="3999"/>
      <c r="Q15" s="3430"/>
      <c r="R15" s="3431"/>
      <c r="S15" s="3432"/>
      <c r="T15" s="3431"/>
      <c r="U15" s="3432"/>
      <c r="V15" s="3431"/>
      <c r="W15" s="3432"/>
      <c r="X15" s="3370"/>
      <c r="Y15" s="3999"/>
      <c r="Z15" s="3433"/>
      <c r="AA15" s="3434">
        <v>1</v>
      </c>
      <c r="AB15" s="3434">
        <v>1</v>
      </c>
      <c r="AC15" s="3434">
        <v>1</v>
      </c>
    </row>
    <row r="16" spans="1:29" ht="42.75">
      <c r="A16" s="3372"/>
      <c r="B16" s="3442" t="s">
        <v>3341</v>
      </c>
      <c r="C16" s="3443" t="str">
        <f>IF(B1="工业",[1]估价对象房地状况!G5,[1]估价对象房地状况!C7)</f>
        <v>估价对象所在区域公共配套设施齐备情况一般</v>
      </c>
      <c r="D16" s="3444">
        <v>100</v>
      </c>
      <c r="E16" s="3447"/>
      <c r="F16" s="3446">
        <f>SUMIF(65:65,E17,66:66)-SUMIF(65:65,C17,66:66)+100</f>
        <v>100</v>
      </c>
      <c r="G16" s="3447"/>
      <c r="H16" s="3444">
        <f>SUMIF(65:65,G17,66:66)-SUMIF(65:65,C17,66:66)+100</f>
        <v>100</v>
      </c>
      <c r="I16" s="3447"/>
      <c r="J16" s="3444">
        <f>SUMIF(65:65,I17,66:66)-SUMIF(65:65,C17,66:66)+100</f>
        <v>100</v>
      </c>
      <c r="K16" s="3429">
        <f>'不动产比较法-仓储2'!K16</f>
        <v>2</v>
      </c>
      <c r="L16" s="3421"/>
      <c r="M16" s="3369"/>
      <c r="N16" s="3369"/>
      <c r="O16" s="3415"/>
      <c r="P16" s="3999"/>
      <c r="Q16" s="3430" t="str">
        <f>B16</f>
        <v>公共配套设施</v>
      </c>
      <c r="R16" s="3431" t="s">
        <v>3331</v>
      </c>
      <c r="S16" s="3432">
        <f>F16</f>
        <v>100</v>
      </c>
      <c r="T16" s="3431" t="s">
        <v>3331</v>
      </c>
      <c r="U16" s="3432">
        <f>H16</f>
        <v>100</v>
      </c>
      <c r="V16" s="3431" t="s">
        <v>3331</v>
      </c>
      <c r="W16" s="3432">
        <f>J16</f>
        <v>100</v>
      </c>
      <c r="X16" s="3370"/>
      <c r="Y16" s="3999"/>
      <c r="Z16" s="3433" t="str">
        <f>Q16</f>
        <v>公共配套设施</v>
      </c>
      <c r="AA16" s="3434">
        <f t="shared" si="3"/>
        <v>1</v>
      </c>
      <c r="AB16" s="3434">
        <f t="shared" si="4"/>
        <v>1</v>
      </c>
      <c r="AC16" s="3434">
        <f t="shared" si="5"/>
        <v>1</v>
      </c>
    </row>
    <row r="17" spans="1:29" ht="15">
      <c r="A17" s="3372"/>
      <c r="B17" s="3448"/>
      <c r="C17" s="3449" t="s">
        <v>3188</v>
      </c>
      <c r="D17" s="3438"/>
      <c r="E17" s="3449" t="s">
        <v>3188</v>
      </c>
      <c r="F17" s="3439"/>
      <c r="G17" s="3449" t="s">
        <v>3188</v>
      </c>
      <c r="H17" s="3438"/>
      <c r="I17" s="3449" t="s">
        <v>3188</v>
      </c>
      <c r="J17" s="3438"/>
      <c r="K17" s="3441"/>
      <c r="L17" s="3421"/>
      <c r="M17" s="3369"/>
      <c r="N17" s="3369"/>
      <c r="O17" s="3415"/>
      <c r="P17" s="3999"/>
      <c r="Q17" s="3430"/>
      <c r="R17" s="3431"/>
      <c r="S17" s="3432"/>
      <c r="T17" s="3431"/>
      <c r="U17" s="3432"/>
      <c r="V17" s="3431"/>
      <c r="W17" s="3432"/>
      <c r="X17" s="3370"/>
      <c r="Y17" s="3999"/>
      <c r="Z17" s="3433"/>
      <c r="AA17" s="3434">
        <v>1</v>
      </c>
      <c r="AB17" s="3434">
        <v>1</v>
      </c>
      <c r="AC17" s="3434">
        <v>1</v>
      </c>
    </row>
    <row r="18" spans="1:29" ht="28.5">
      <c r="A18" s="3372"/>
      <c r="B18" s="3450" t="s">
        <v>3342</v>
      </c>
      <c r="C18" s="3443" t="str">
        <f>IF(B1="工业",[1]估价对象房地状况!G6,[1]估价对象房地状况!C8)</f>
        <v>估价对象所在区域基础设施水平</v>
      </c>
      <c r="D18" s="3440">
        <v>100</v>
      </c>
      <c r="E18" s="3447"/>
      <c r="F18" s="3446">
        <f>SUMIF(67:67,E19,68:68)-SUMIF(67:67,C19,68:68)+100</f>
        <v>100</v>
      </c>
      <c r="G18" s="3447"/>
      <c r="H18" s="3444">
        <f>SUMIF(67:67,G19,68:68)-SUMIF(67:67,C19,68:68)+100</f>
        <v>100</v>
      </c>
      <c r="I18" s="3447"/>
      <c r="J18" s="3444">
        <f>SUMIF(67:67,I19,68:68)-SUMIF(67:67,C19,68:68)+100</f>
        <v>100</v>
      </c>
      <c r="K18" s="3429">
        <v>1</v>
      </c>
      <c r="L18" s="3421"/>
      <c r="M18" s="3369"/>
      <c r="N18" s="3369"/>
      <c r="O18" s="3415"/>
      <c r="P18" s="3999"/>
      <c r="Q18" s="3430" t="str">
        <f>B18</f>
        <v>基础设施水平</v>
      </c>
      <c r="R18" s="3431" t="s">
        <v>3331</v>
      </c>
      <c r="S18" s="3432">
        <f>F18</f>
        <v>100</v>
      </c>
      <c r="T18" s="3431" t="s">
        <v>3331</v>
      </c>
      <c r="U18" s="3432">
        <f>H18</f>
        <v>100</v>
      </c>
      <c r="V18" s="3431" t="s">
        <v>3331</v>
      </c>
      <c r="W18" s="3432">
        <f>J18</f>
        <v>100</v>
      </c>
      <c r="X18" s="3370"/>
      <c r="Y18" s="3999"/>
      <c r="Z18" s="3433" t="str">
        <f>Q18</f>
        <v>基础设施水平</v>
      </c>
      <c r="AA18" s="3434">
        <f t="shared" ref="AA18" si="8">D18/F18</f>
        <v>1</v>
      </c>
      <c r="AB18" s="3434">
        <f t="shared" ref="AB18" si="9">D18/H18</f>
        <v>1</v>
      </c>
      <c r="AC18" s="3434">
        <f t="shared" ref="AC18" si="10">D18/J18</f>
        <v>1</v>
      </c>
    </row>
    <row r="19" spans="1:29" ht="15">
      <c r="A19" s="3372"/>
      <c r="B19" s="3454"/>
      <c r="C19" s="3449" t="s">
        <v>3189</v>
      </c>
      <c r="D19" s="3440"/>
      <c r="E19" s="3449" t="s">
        <v>3189</v>
      </c>
      <c r="F19" s="3439"/>
      <c r="G19" s="3449" t="s">
        <v>3189</v>
      </c>
      <c r="H19" s="3438"/>
      <c r="I19" s="3449" t="s">
        <v>3189</v>
      </c>
      <c r="J19" s="3438"/>
      <c r="K19" s="3455"/>
      <c r="L19" s="3421"/>
      <c r="M19" s="3369"/>
      <c r="N19" s="3369"/>
      <c r="O19" s="3415"/>
      <c r="P19" s="3999"/>
      <c r="Q19" s="3430"/>
      <c r="R19" s="3431"/>
      <c r="S19" s="3432"/>
      <c r="T19" s="3431"/>
      <c r="U19" s="3432"/>
      <c r="V19" s="3431"/>
      <c r="W19" s="3432"/>
      <c r="X19" s="3370"/>
      <c r="Y19" s="3999"/>
      <c r="Z19" s="3433"/>
      <c r="AA19" s="3434">
        <v>1</v>
      </c>
      <c r="AB19" s="3434">
        <v>1</v>
      </c>
      <c r="AC19" s="3434">
        <v>1</v>
      </c>
    </row>
    <row r="20" spans="1:29" ht="57">
      <c r="A20" s="3372"/>
      <c r="B20" s="3651" t="s">
        <v>3343</v>
      </c>
      <c r="C20" s="3443" t="str">
        <f>IF(B1="工业",[1]估价对象房地状况!G7,[1]估价对象房地状况!C9)</f>
        <v>区域自然环境：；人文环境；综合评价环境状况一般</v>
      </c>
      <c r="D20" s="3444">
        <v>100</v>
      </c>
      <c r="E20" s="3451"/>
      <c r="F20" s="3452">
        <f>SUMIF(69:69,E21,70:70)-SUMIF(69:69,C21,70:70)+100</f>
        <v>100</v>
      </c>
      <c r="G20" s="3451"/>
      <c r="H20" s="3440">
        <f>SUMIF(69:69,G21,70:70)-SUMIF(69:69,C21,70:70)+100</f>
        <v>100</v>
      </c>
      <c r="I20" s="3451"/>
      <c r="J20" s="3440">
        <f>SUMIF(69:69,I21,70:70)-SUMIF(69:69,C21,70:70)+100</f>
        <v>100</v>
      </c>
      <c r="K20" s="3429">
        <f>'不动产比较法-仓储2'!K20</f>
        <v>2</v>
      </c>
      <c r="L20" s="3421"/>
      <c r="M20" s="3369"/>
      <c r="N20" s="3369"/>
      <c r="O20" s="3415"/>
      <c r="P20" s="3999"/>
      <c r="Q20" s="3430" t="str">
        <f>B20</f>
        <v>自然及人文环境</v>
      </c>
      <c r="R20" s="3431" t="s">
        <v>3331</v>
      </c>
      <c r="S20" s="3432">
        <f>F20</f>
        <v>100</v>
      </c>
      <c r="T20" s="3431" t="s">
        <v>3331</v>
      </c>
      <c r="U20" s="3432">
        <f>H20</f>
        <v>100</v>
      </c>
      <c r="V20" s="3431" t="s">
        <v>3331</v>
      </c>
      <c r="W20" s="3432">
        <f>J20</f>
        <v>100</v>
      </c>
      <c r="X20" s="3370"/>
      <c r="Y20" s="3999"/>
      <c r="Z20" s="3433" t="str">
        <f>Q20</f>
        <v>自然及人文环境</v>
      </c>
      <c r="AA20" s="3434">
        <f t="shared" si="3"/>
        <v>1</v>
      </c>
      <c r="AB20" s="3434">
        <f t="shared" si="4"/>
        <v>1</v>
      </c>
      <c r="AC20" s="3434">
        <f t="shared" si="5"/>
        <v>1</v>
      </c>
    </row>
    <row r="21" spans="1:29" ht="15">
      <c r="A21" s="3372"/>
      <c r="B21" s="3448"/>
      <c r="C21" s="3449" t="s">
        <v>3188</v>
      </c>
      <c r="D21" s="3438"/>
      <c r="E21" s="3449" t="s">
        <v>3188</v>
      </c>
      <c r="F21" s="3439"/>
      <c r="G21" s="3449" t="s">
        <v>3188</v>
      </c>
      <c r="H21" s="3438"/>
      <c r="I21" s="3449" t="s">
        <v>3188</v>
      </c>
      <c r="J21" s="3438"/>
      <c r="K21" s="3441"/>
      <c r="L21" s="3421"/>
      <c r="M21" s="3369"/>
      <c r="N21" s="3369"/>
      <c r="O21" s="3415"/>
      <c r="P21" s="3999"/>
      <c r="Q21" s="3430"/>
      <c r="R21" s="3431"/>
      <c r="S21" s="3432"/>
      <c r="T21" s="3431"/>
      <c r="U21" s="3432"/>
      <c r="V21" s="3431"/>
      <c r="W21" s="3432"/>
      <c r="X21" s="3370"/>
      <c r="Y21" s="3999"/>
      <c r="Z21" s="3433"/>
      <c r="AA21" s="3434">
        <v>1</v>
      </c>
      <c r="AB21" s="3434">
        <v>1</v>
      </c>
      <c r="AC21" s="3434">
        <v>1</v>
      </c>
    </row>
    <row r="22" spans="1:29" ht="15">
      <c r="A22" s="3372"/>
      <c r="B22" s="3651" t="s">
        <v>3344</v>
      </c>
      <c r="C22" s="3458"/>
      <c r="D22" s="3440">
        <v>100</v>
      </c>
      <c r="E22" s="3458"/>
      <c r="F22" s="3459">
        <f>SUMIF(71:71,E22,72:72)-SUMIF(71:71,C22,72:72)+100</f>
        <v>100</v>
      </c>
      <c r="G22" s="3458"/>
      <c r="H22" s="3420">
        <f>SUMIF(71:71,G22,72:72)-SUMIF(71:71,C22,72:72)+100</f>
        <v>100</v>
      </c>
      <c r="I22" s="3458"/>
      <c r="J22" s="3420">
        <f>SUMIF(71:71,I22,72:72)-SUMIF(71:71,C22,72:72)+100</f>
        <v>100</v>
      </c>
      <c r="K22" s="3404"/>
      <c r="L22" s="3421"/>
      <c r="M22" s="3369"/>
      <c r="N22" s="3369"/>
      <c r="O22" s="3415"/>
      <c r="P22" s="3999"/>
      <c r="Q22" s="3430" t="str">
        <f>B22</f>
        <v>楼层</v>
      </c>
      <c r="R22" s="3431" t="s">
        <v>3331</v>
      </c>
      <c r="S22" s="3432">
        <f>F22</f>
        <v>100</v>
      </c>
      <c r="T22" s="3431" t="s">
        <v>3331</v>
      </c>
      <c r="U22" s="3432">
        <f>H22</f>
        <v>100</v>
      </c>
      <c r="V22" s="3431" t="s">
        <v>3331</v>
      </c>
      <c r="W22" s="3432">
        <f>J22</f>
        <v>100</v>
      </c>
      <c r="X22" s="3370"/>
      <c r="Y22" s="3999"/>
      <c r="Z22" s="3433" t="str">
        <f>Q22</f>
        <v>楼层</v>
      </c>
      <c r="AA22" s="3434">
        <f t="shared" si="3"/>
        <v>1</v>
      </c>
      <c r="AB22" s="3434">
        <f t="shared" si="4"/>
        <v>1</v>
      </c>
      <c r="AC22" s="3434">
        <f t="shared" si="5"/>
        <v>1</v>
      </c>
    </row>
    <row r="23" spans="1:29" ht="15">
      <c r="A23" s="3372"/>
      <c r="B23" s="3652">
        <v>111</v>
      </c>
      <c r="C23" s="3411"/>
      <c r="D23" s="3420">
        <v>100</v>
      </c>
      <c r="E23" s="3411"/>
      <c r="F23" s="3459">
        <f>SUMIF(73:73,E23,74:74)-SUMIF(73:73,C23,74:74)+100</f>
        <v>100</v>
      </c>
      <c r="G23" s="3411"/>
      <c r="H23" s="3420">
        <f>SUMIF(73:73,G23,74:74)-SUMIF(73:73,C23,74:74)+100</f>
        <v>100</v>
      </c>
      <c r="I23" s="3411"/>
      <c r="J23" s="3420">
        <f>SUMIF(73:73,I23,74:74)-SUMIF(73:73,C23,74:74)+100</f>
        <v>100</v>
      </c>
      <c r="K23" s="3413"/>
      <c r="L23" s="3421"/>
      <c r="M23" s="3369"/>
      <c r="N23" s="3369"/>
      <c r="O23" s="3415"/>
      <c r="P23" s="3999"/>
      <c r="Q23" s="3430">
        <f>B23</f>
        <v>111</v>
      </c>
      <c r="R23" s="3431" t="s">
        <v>3331</v>
      </c>
      <c r="S23" s="3432">
        <f>F23</f>
        <v>100</v>
      </c>
      <c r="T23" s="3431" t="s">
        <v>3331</v>
      </c>
      <c r="U23" s="3432">
        <f>H23</f>
        <v>100</v>
      </c>
      <c r="V23" s="3431" t="s">
        <v>3331</v>
      </c>
      <c r="W23" s="3432">
        <f>J23</f>
        <v>100</v>
      </c>
      <c r="X23" s="3370"/>
      <c r="Y23" s="3999"/>
      <c r="Z23" s="3433">
        <f>Q23</f>
        <v>111</v>
      </c>
      <c r="AA23" s="3434">
        <f t="shared" si="3"/>
        <v>1</v>
      </c>
      <c r="AB23" s="3434">
        <f t="shared" si="4"/>
        <v>1</v>
      </c>
      <c r="AC23" s="3434">
        <f t="shared" si="5"/>
        <v>1</v>
      </c>
    </row>
    <row r="24" spans="1:29" ht="15">
      <c r="A24" s="3372"/>
      <c r="B24" s="3652">
        <v>111</v>
      </c>
      <c r="C24" s="3411"/>
      <c r="D24" s="3420">
        <v>100</v>
      </c>
      <c r="E24" s="3411"/>
      <c r="F24" s="3459">
        <f>SUMIF(75:75,E24,76:76)-SUMIF(75:75,C24,76:76)+100</f>
        <v>100</v>
      </c>
      <c r="G24" s="3411"/>
      <c r="H24" s="3420">
        <f>SUMIF(75:75,G24,76:76)-SUMIF(75:75,C24,76:76)+100</f>
        <v>100</v>
      </c>
      <c r="I24" s="3411"/>
      <c r="J24" s="3420">
        <f>SUMIF(75:75,I24,76:76)-SUMIF(75:75,C24,76:76)+100</f>
        <v>100</v>
      </c>
      <c r="K24" s="3413"/>
      <c r="L24" s="3421"/>
      <c r="M24" s="3369"/>
      <c r="N24" s="3369"/>
      <c r="O24" s="3415"/>
      <c r="P24" s="3999"/>
      <c r="Q24" s="3430">
        <f t="shared" ref="Q24:Q36" si="11">B24</f>
        <v>111</v>
      </c>
      <c r="R24" s="3431" t="s">
        <v>3331</v>
      </c>
      <c r="S24" s="3432">
        <f>F24</f>
        <v>100</v>
      </c>
      <c r="T24" s="3431" t="s">
        <v>3331</v>
      </c>
      <c r="U24" s="3432">
        <f>H24</f>
        <v>100</v>
      </c>
      <c r="V24" s="3431" t="s">
        <v>3331</v>
      </c>
      <c r="W24" s="3432">
        <f>J24</f>
        <v>100</v>
      </c>
      <c r="X24" s="3370"/>
      <c r="Y24" s="3999"/>
      <c r="Z24" s="3433">
        <f>Q24</f>
        <v>111</v>
      </c>
      <c r="AA24" s="3434">
        <f t="shared" si="3"/>
        <v>1</v>
      </c>
      <c r="AB24" s="3434">
        <f t="shared" si="4"/>
        <v>1</v>
      </c>
      <c r="AC24" s="3434">
        <f t="shared" si="5"/>
        <v>1</v>
      </c>
    </row>
    <row r="25" spans="1:29" s="3389" customFormat="1" ht="15.75" thickBot="1">
      <c r="A25" s="3653"/>
      <c r="B25" s="3654">
        <v>111</v>
      </c>
      <c r="C25" s="3487"/>
      <c r="D25" s="3655">
        <v>100</v>
      </c>
      <c r="E25" s="3656"/>
      <c r="F25" s="3657">
        <f>SUMIF(77:77,E25,78:78)-SUMIF(77:77,C25,78:78)+100</f>
        <v>100</v>
      </c>
      <c r="G25" s="3656"/>
      <c r="H25" s="3655">
        <f>SUMIF(77:77,G25,78:78)-SUMIF(77:77,C25,78:78)+100</f>
        <v>100</v>
      </c>
      <c r="I25" s="3656"/>
      <c r="J25" s="3655">
        <f>SUMIF(77:77,I25,78:78)-SUMIF(77:77,C25,78:78)+100</f>
        <v>100</v>
      </c>
      <c r="K25" s="3413"/>
      <c r="L25" s="3383"/>
      <c r="M25" s="3384"/>
      <c r="N25" s="3384"/>
      <c r="O25" s="3398"/>
      <c r="P25" s="3999"/>
      <c r="Q25" s="3399">
        <f t="shared" si="11"/>
        <v>111</v>
      </c>
      <c r="R25" s="3385" t="s">
        <v>3331</v>
      </c>
      <c r="S25" s="3386">
        <f>F25</f>
        <v>100</v>
      </c>
      <c r="T25" s="3385" t="s">
        <v>3331</v>
      </c>
      <c r="U25" s="3386">
        <f>H25</f>
        <v>100</v>
      </c>
      <c r="V25" s="3385" t="s">
        <v>3331</v>
      </c>
      <c r="W25" s="3386">
        <f>J25</f>
        <v>100</v>
      </c>
      <c r="X25" s="3387"/>
      <c r="Y25" s="3999"/>
      <c r="Z25" s="3400">
        <f>Q25</f>
        <v>111</v>
      </c>
      <c r="AA25" s="3434">
        <f>D25/F25</f>
        <v>1</v>
      </c>
      <c r="AB25" s="3434">
        <f>D25/H25</f>
        <v>1</v>
      </c>
      <c r="AC25" s="3434">
        <f>D25/J25</f>
        <v>1</v>
      </c>
    </row>
    <row r="26" spans="1:29" ht="15">
      <c r="A26" s="3465" t="s">
        <v>3345</v>
      </c>
      <c r="B26" s="3658" t="s">
        <v>3400</v>
      </c>
      <c r="C26" s="3659" t="str">
        <f>B1</f>
        <v>车库</v>
      </c>
      <c r="D26" s="3438">
        <v>100</v>
      </c>
      <c r="E26" s="3437" t="s">
        <v>3228</v>
      </c>
      <c r="F26" s="3439">
        <f>SUMIF(79:79,E26,80:80)-SUMIF(79:79,C26,80:80)+100</f>
        <v>100</v>
      </c>
      <c r="G26" s="3437" t="s">
        <v>3228</v>
      </c>
      <c r="H26" s="3438">
        <f>SUMIF(79:79,G26,80:80)-SUMIF(79:79,C26,80:80)+100</f>
        <v>100</v>
      </c>
      <c r="I26" s="3437" t="s">
        <v>3228</v>
      </c>
      <c r="J26" s="3438">
        <f>SUMIF(79:79,I26,80:80)-SUMIF(79:79,C26,80:80)+100</f>
        <v>100</v>
      </c>
      <c r="K26" s="3404"/>
      <c r="L26" s="3421"/>
      <c r="M26" s="3369"/>
      <c r="N26" s="3369"/>
      <c r="O26" s="3415"/>
      <c r="P26" s="4000" t="s">
        <v>3347</v>
      </c>
      <c r="Q26" s="3430" t="str">
        <f t="shared" si="11"/>
        <v>配套类型</v>
      </c>
      <c r="R26" s="3431" t="s">
        <v>3331</v>
      </c>
      <c r="S26" s="3432">
        <f t="shared" ref="S26:S36" si="12">F26</f>
        <v>100</v>
      </c>
      <c r="T26" s="3431" t="s">
        <v>3331</v>
      </c>
      <c r="U26" s="3432">
        <f t="shared" ref="U26:U36" si="13">H26</f>
        <v>100</v>
      </c>
      <c r="V26" s="3431" t="s">
        <v>3331</v>
      </c>
      <c r="W26" s="3432">
        <f t="shared" ref="W26:W36" si="14">J26</f>
        <v>100</v>
      </c>
      <c r="X26" s="3370"/>
      <c r="Y26" s="4001" t="s">
        <v>3347</v>
      </c>
      <c r="Z26" s="3433" t="str">
        <f t="shared" ref="Z26:Z36" si="15">Q26</f>
        <v>配套类型</v>
      </c>
      <c r="AA26" s="3434">
        <f t="shared" si="3"/>
        <v>1</v>
      </c>
      <c r="AB26" s="3434">
        <f t="shared" si="4"/>
        <v>1</v>
      </c>
      <c r="AC26" s="3434">
        <f t="shared" si="5"/>
        <v>1</v>
      </c>
    </row>
    <row r="27" spans="1:29" s="3480" customFormat="1" ht="15">
      <c r="A27" s="3660"/>
      <c r="B27" s="3661" t="s">
        <v>786</v>
      </c>
      <c r="C27" s="3662"/>
      <c r="D27" s="3403">
        <v>100</v>
      </c>
      <c r="E27" s="3662"/>
      <c r="F27" s="3459">
        <f>SUMIF(81:81,E27,82:82)-SUMIF(81:81,C27,82:82)+100</f>
        <v>100</v>
      </c>
      <c r="G27" s="3662"/>
      <c r="H27" s="3420">
        <f>SUMIF(81:81,G27,82:82)-SUMIF(81:81,C27,82:82)+100</f>
        <v>100</v>
      </c>
      <c r="I27" s="3662"/>
      <c r="J27" s="3420">
        <f>SUMIF(81:81,I27,82:82)-SUMIF(81:81,C27,82:82)+100</f>
        <v>100</v>
      </c>
      <c r="K27" s="3413"/>
      <c r="L27" s="3414"/>
      <c r="M27" s="3473"/>
      <c r="N27" s="3473"/>
      <c r="O27" s="3474"/>
      <c r="P27" s="4001"/>
      <c r="Q27" s="3475" t="str">
        <f t="shared" si="11"/>
        <v>项目停车位配比</v>
      </c>
      <c r="R27" s="3476" t="s">
        <v>3331</v>
      </c>
      <c r="S27" s="3477">
        <f t="shared" si="12"/>
        <v>100</v>
      </c>
      <c r="T27" s="3476" t="s">
        <v>3331</v>
      </c>
      <c r="U27" s="3477">
        <f t="shared" si="13"/>
        <v>100</v>
      </c>
      <c r="V27" s="3476" t="s">
        <v>3331</v>
      </c>
      <c r="W27" s="3477">
        <f t="shared" si="14"/>
        <v>100</v>
      </c>
      <c r="X27" s="3478"/>
      <c r="Y27" s="4001"/>
      <c r="Z27" s="3479" t="str">
        <f t="shared" si="15"/>
        <v>项目停车位配比</v>
      </c>
      <c r="AA27" s="3434">
        <f t="shared" si="3"/>
        <v>1</v>
      </c>
      <c r="AB27" s="3434">
        <f t="shared" si="4"/>
        <v>1</v>
      </c>
      <c r="AC27" s="3434">
        <f t="shared" si="5"/>
        <v>1</v>
      </c>
    </row>
    <row r="28" spans="1:29" ht="15">
      <c r="A28" s="3663"/>
      <c r="B28" s="3661" t="s">
        <v>3346</v>
      </c>
      <c r="C28" s="3482" t="s">
        <v>3209</v>
      </c>
      <c r="D28" s="3420">
        <v>100</v>
      </c>
      <c r="E28" s="3482" t="s">
        <v>3209</v>
      </c>
      <c r="F28" s="3459">
        <f>SUMIF(83:83,E28,84:84)-SUMIF(83:83,C28,84:84)+100</f>
        <v>100</v>
      </c>
      <c r="G28" s="3482" t="s">
        <v>3209</v>
      </c>
      <c r="H28" s="3420">
        <f>SUMIF(83:83,G28,84:84)-SUMIF(83:83,C28,84:84)+100</f>
        <v>100</v>
      </c>
      <c r="I28" s="3482" t="s">
        <v>3209</v>
      </c>
      <c r="J28" s="3420">
        <f>SUMIF(83:83,I28,84:84)-SUMIF(83:83,C28,84:84)+100</f>
        <v>100</v>
      </c>
      <c r="K28" s="3404">
        <f>'不动产比较法-仓储2'!K26</f>
        <v>1</v>
      </c>
      <c r="L28" s="3421"/>
      <c r="M28" s="3369"/>
      <c r="N28" s="3369"/>
      <c r="O28" s="3415"/>
      <c r="P28" s="4001"/>
      <c r="Q28" s="3430" t="str">
        <f t="shared" si="11"/>
        <v>公共部分装修</v>
      </c>
      <c r="R28" s="3431" t="s">
        <v>3331</v>
      </c>
      <c r="S28" s="3432">
        <f t="shared" si="12"/>
        <v>100</v>
      </c>
      <c r="T28" s="3431" t="s">
        <v>3331</v>
      </c>
      <c r="U28" s="3432">
        <f t="shared" si="13"/>
        <v>100</v>
      </c>
      <c r="V28" s="3431" t="s">
        <v>3331</v>
      </c>
      <c r="W28" s="3432">
        <f t="shared" si="14"/>
        <v>100</v>
      </c>
      <c r="X28" s="3370"/>
      <c r="Y28" s="4001"/>
      <c r="Z28" s="3433" t="str">
        <f t="shared" si="15"/>
        <v>公共部分装修</v>
      </c>
      <c r="AA28" s="3434">
        <f t="shared" si="3"/>
        <v>1</v>
      </c>
      <c r="AB28" s="3434">
        <f t="shared" si="4"/>
        <v>1</v>
      </c>
      <c r="AC28" s="3434">
        <f t="shared" si="5"/>
        <v>1</v>
      </c>
    </row>
    <row r="29" spans="1:29" ht="15">
      <c r="A29" s="3663"/>
      <c r="B29" s="3661" t="s">
        <v>3348</v>
      </c>
      <c r="C29" s="3472">
        <v>1</v>
      </c>
      <c r="D29" s="3420">
        <v>100</v>
      </c>
      <c r="E29" s="3472">
        <v>1</v>
      </c>
      <c r="F29" s="3459">
        <f>LOOKUP(E29,86:86,87:87)-LOOKUP(C29,86:86,87:87)+100</f>
        <v>100</v>
      </c>
      <c r="G29" s="3472">
        <v>1</v>
      </c>
      <c r="H29" s="3459">
        <f>LOOKUP(G29,86:86,87:87)-LOOKUP(C29,86:86,87:87)+100</f>
        <v>100</v>
      </c>
      <c r="I29" s="3472">
        <v>1</v>
      </c>
      <c r="J29" s="3420">
        <f>LOOKUP(I29,86:86,87:87)-LOOKUP(C29,86:86,87:87)+100</f>
        <v>100</v>
      </c>
      <c r="K29" s="3404">
        <v>1</v>
      </c>
      <c r="L29" s="3421"/>
      <c r="M29" s="3369"/>
      <c r="N29" s="3369"/>
      <c r="O29" s="3415"/>
      <c r="P29" s="4001"/>
      <c r="Q29" s="3430" t="str">
        <f t="shared" si="11"/>
        <v>成新率</v>
      </c>
      <c r="R29" s="3431" t="s">
        <v>3331</v>
      </c>
      <c r="S29" s="3432">
        <f t="shared" si="12"/>
        <v>100</v>
      </c>
      <c r="T29" s="3431" t="s">
        <v>3331</v>
      </c>
      <c r="U29" s="3432">
        <f t="shared" si="13"/>
        <v>100</v>
      </c>
      <c r="V29" s="3431" t="s">
        <v>3331</v>
      </c>
      <c r="W29" s="3432">
        <f t="shared" si="14"/>
        <v>100</v>
      </c>
      <c r="X29" s="3370"/>
      <c r="Y29" s="4001"/>
      <c r="Z29" s="3433" t="str">
        <f t="shared" si="15"/>
        <v>成新率</v>
      </c>
      <c r="AA29" s="3434">
        <f t="shared" si="3"/>
        <v>1</v>
      </c>
      <c r="AB29" s="3434">
        <f t="shared" si="4"/>
        <v>1</v>
      </c>
      <c r="AC29" s="3434">
        <f t="shared" si="5"/>
        <v>1</v>
      </c>
    </row>
    <row r="30" spans="1:29" ht="15">
      <c r="A30" s="3663"/>
      <c r="B30" s="3661" t="s">
        <v>3349</v>
      </c>
      <c r="C30" s="3483" t="s">
        <v>3211</v>
      </c>
      <c r="D30" s="3420">
        <v>100</v>
      </c>
      <c r="E30" s="3483" t="s">
        <v>3211</v>
      </c>
      <c r="F30" s="3459">
        <f>SUMIF(88:88,E30,89:89)-SUMIF(88:88,C30,89:89)+100</f>
        <v>100</v>
      </c>
      <c r="G30" s="3483" t="s">
        <v>3211</v>
      </c>
      <c r="H30" s="3420">
        <f>SUMIF(88:88,E30,89:89)-SUMIF(88:88,C30,89:89)+100</f>
        <v>100</v>
      </c>
      <c r="I30" s="3483" t="s">
        <v>3211</v>
      </c>
      <c r="J30" s="3420">
        <f>SUMIF(88:88,E30,89:89)-SUMIF(88:88,C30,89:89)+100</f>
        <v>100</v>
      </c>
      <c r="K30" s="3404">
        <f>'不动产比较法-仓储2'!K28</f>
        <v>2</v>
      </c>
      <c r="L30" s="3421"/>
      <c r="M30" s="3369"/>
      <c r="N30" s="3369"/>
      <c r="O30" s="3415"/>
      <c r="P30" s="4001"/>
      <c r="Q30" s="3430" t="str">
        <f t="shared" si="11"/>
        <v>物业等级</v>
      </c>
      <c r="R30" s="3431" t="s">
        <v>3331</v>
      </c>
      <c r="S30" s="3432">
        <f t="shared" si="12"/>
        <v>100</v>
      </c>
      <c r="T30" s="3431" t="s">
        <v>3331</v>
      </c>
      <c r="U30" s="3432">
        <f t="shared" si="13"/>
        <v>100</v>
      </c>
      <c r="V30" s="3431" t="s">
        <v>3331</v>
      </c>
      <c r="W30" s="3432">
        <f t="shared" si="14"/>
        <v>100</v>
      </c>
      <c r="X30" s="3370"/>
      <c r="Y30" s="4001"/>
      <c r="Z30" s="3433" t="str">
        <f t="shared" si="15"/>
        <v>物业等级</v>
      </c>
      <c r="AA30" s="3434">
        <f t="shared" si="3"/>
        <v>1</v>
      </c>
      <c r="AB30" s="3434">
        <f t="shared" si="4"/>
        <v>1</v>
      </c>
      <c r="AC30" s="3434">
        <f t="shared" si="5"/>
        <v>1</v>
      </c>
    </row>
    <row r="31" spans="1:29" s="3389" customFormat="1" ht="15">
      <c r="A31" s="3664"/>
      <c r="B31" s="3661" t="s">
        <v>3401</v>
      </c>
      <c r="C31" s="3412">
        <f>'数据-汇总表'!G21/783</f>
        <v>28.796947637292462</v>
      </c>
      <c r="D31" s="3403">
        <v>100</v>
      </c>
      <c r="E31" s="3412">
        <v>32.31</v>
      </c>
      <c r="F31" s="3459">
        <f>LOOKUP(E31,91:91,92:92)-LOOKUP(C31,91:91,92:92)+100</f>
        <v>101</v>
      </c>
      <c r="G31" s="3412">
        <v>28</v>
      </c>
      <c r="H31" s="3420">
        <f>LOOKUP(G31,91:91,92:92)-LOOKUP(C31,91:91,92:92)+100</f>
        <v>100</v>
      </c>
      <c r="I31" s="3412">
        <v>33</v>
      </c>
      <c r="J31" s="3420">
        <f>LOOKUP(I31,91:91,92:92)-LOOKUP(C31,91:91,92:92)+100</f>
        <v>101</v>
      </c>
      <c r="K31" s="3404"/>
      <c r="L31" s="3383"/>
      <c r="M31" s="3384"/>
      <c r="N31" s="3384"/>
      <c r="O31" s="3398"/>
      <c r="P31" s="4001"/>
      <c r="Q31" s="3399" t="str">
        <f t="shared" si="11"/>
        <v>停车位面积</v>
      </c>
      <c r="R31" s="3385" t="s">
        <v>3331</v>
      </c>
      <c r="S31" s="3386">
        <f t="shared" si="12"/>
        <v>101</v>
      </c>
      <c r="T31" s="3385" t="s">
        <v>3331</v>
      </c>
      <c r="U31" s="3386">
        <f t="shared" si="13"/>
        <v>100</v>
      </c>
      <c r="V31" s="3385" t="s">
        <v>3331</v>
      </c>
      <c r="W31" s="3386">
        <f t="shared" si="14"/>
        <v>101</v>
      </c>
      <c r="X31" s="3387"/>
      <c r="Y31" s="4001"/>
      <c r="Z31" s="3400" t="str">
        <f t="shared" si="15"/>
        <v>停车位面积</v>
      </c>
      <c r="AA31" s="3388">
        <f t="shared" si="3"/>
        <v>0.99009900990099009</v>
      </c>
      <c r="AB31" s="3388">
        <f t="shared" si="4"/>
        <v>1</v>
      </c>
      <c r="AC31" s="3388">
        <f t="shared" si="5"/>
        <v>0.99009900990099009</v>
      </c>
    </row>
    <row r="32" spans="1:29" ht="15">
      <c r="A32" s="3663"/>
      <c r="B32" s="3661" t="s">
        <v>3402</v>
      </c>
      <c r="C32" s="3482" t="s">
        <v>3403</v>
      </c>
      <c r="D32" s="3420">
        <v>100</v>
      </c>
      <c r="E32" s="3482" t="s">
        <v>3403</v>
      </c>
      <c r="F32" s="3459">
        <f>SUMIF(93:93,E32,94:94)-SUMIF(93:93,C32,94:94)+100</f>
        <v>100</v>
      </c>
      <c r="G32" s="3482" t="s">
        <v>3403</v>
      </c>
      <c r="H32" s="3420">
        <f>SUMIF(93:93,G32,94:94)-SUMIF(93:93,C32,94:94)+100</f>
        <v>100</v>
      </c>
      <c r="I32" s="3482" t="s">
        <v>3403</v>
      </c>
      <c r="J32" s="3420">
        <f>SUMIF(93:93,I32,94:94)-SUMIF(93:93,C32,94:94)+100</f>
        <v>100</v>
      </c>
      <c r="K32" s="3404">
        <v>2</v>
      </c>
      <c r="L32" s="3421"/>
      <c r="M32" s="3369"/>
      <c r="N32" s="3369"/>
      <c r="O32" s="3415"/>
      <c r="P32" s="4001" t="s">
        <v>3347</v>
      </c>
      <c r="Q32" s="3430" t="str">
        <f t="shared" si="11"/>
        <v>车位类型</v>
      </c>
      <c r="R32" s="3431" t="s">
        <v>3331</v>
      </c>
      <c r="S32" s="3432">
        <f t="shared" si="12"/>
        <v>100</v>
      </c>
      <c r="T32" s="3431" t="s">
        <v>3331</v>
      </c>
      <c r="U32" s="3432">
        <f t="shared" si="13"/>
        <v>100</v>
      </c>
      <c r="V32" s="3431" t="s">
        <v>3331</v>
      </c>
      <c r="W32" s="3432">
        <f t="shared" si="14"/>
        <v>100</v>
      </c>
      <c r="X32" s="3370"/>
      <c r="Y32" s="4001" t="s">
        <v>3347</v>
      </c>
      <c r="Z32" s="3433" t="str">
        <f t="shared" si="15"/>
        <v>车位类型</v>
      </c>
      <c r="AA32" s="3434">
        <f t="shared" si="3"/>
        <v>1</v>
      </c>
      <c r="AB32" s="3434">
        <f t="shared" si="4"/>
        <v>1</v>
      </c>
      <c r="AC32" s="3434">
        <f t="shared" si="5"/>
        <v>1</v>
      </c>
    </row>
    <row r="33" spans="1:29" ht="15">
      <c r="A33" s="3663"/>
      <c r="B33" s="3661" t="s">
        <v>3404</v>
      </c>
      <c r="C33" s="3482"/>
      <c r="D33" s="3420">
        <v>100</v>
      </c>
      <c r="E33" s="3482"/>
      <c r="F33" s="3459">
        <f>SUMIF(95:95,E33,96:96)-SUMIF(95:95,C33,96:96)+100</f>
        <v>100</v>
      </c>
      <c r="G33" s="3482"/>
      <c r="H33" s="3420">
        <f>SUMIF(95:95,G33,96:96)-SUMIF(95:95,C33,96:96)+100</f>
        <v>100</v>
      </c>
      <c r="I33" s="3482"/>
      <c r="J33" s="3420">
        <f>SUMIF(95:95,I33,96:96)-SUMIF(95:95,C33,96:96)+100</f>
        <v>100</v>
      </c>
      <c r="K33" s="3404"/>
      <c r="L33" s="3421"/>
      <c r="M33" s="3369"/>
      <c r="N33" s="3369"/>
      <c r="O33" s="3415"/>
      <c r="P33" s="4001"/>
      <c r="Q33" s="3430" t="str">
        <f t="shared" si="11"/>
        <v>是否直接入户</v>
      </c>
      <c r="R33" s="3431" t="s">
        <v>3331</v>
      </c>
      <c r="S33" s="3432">
        <f t="shared" si="12"/>
        <v>100</v>
      </c>
      <c r="T33" s="3431" t="s">
        <v>3331</v>
      </c>
      <c r="U33" s="3432">
        <f t="shared" si="13"/>
        <v>100</v>
      </c>
      <c r="V33" s="3431" t="s">
        <v>3331</v>
      </c>
      <c r="W33" s="3432">
        <f t="shared" si="14"/>
        <v>100</v>
      </c>
      <c r="X33" s="3370"/>
      <c r="Y33" s="4001"/>
      <c r="Z33" s="3433" t="str">
        <f t="shared" si="15"/>
        <v>是否直接入户</v>
      </c>
      <c r="AA33" s="3434">
        <f t="shared" si="3"/>
        <v>1</v>
      </c>
      <c r="AB33" s="3434">
        <f t="shared" si="4"/>
        <v>1</v>
      </c>
      <c r="AC33" s="3434">
        <f t="shared" si="5"/>
        <v>1</v>
      </c>
    </row>
    <row r="34" spans="1:29" ht="15">
      <c r="A34" s="3663"/>
      <c r="B34" s="3652">
        <v>111</v>
      </c>
      <c r="C34" s="3411"/>
      <c r="D34" s="3420">
        <v>100</v>
      </c>
      <c r="E34" s="3411"/>
      <c r="F34" s="3459">
        <f>SUMIF(97:97,E34,98:98)-SUMIF(97:97,C34,98:98)+100</f>
        <v>100</v>
      </c>
      <c r="G34" s="3411"/>
      <c r="H34" s="3420">
        <f>SUMIF(97:97,G34,98:98)-SUMIF(97:97,C34,98:98)+100</f>
        <v>100</v>
      </c>
      <c r="I34" s="3411"/>
      <c r="J34" s="3420">
        <f>SUMIF(97:97,I34,98:98)-SUMIF(97:97,C34,98:98)+100</f>
        <v>100</v>
      </c>
      <c r="K34" s="3413"/>
      <c r="L34" s="3421"/>
      <c r="M34" s="3369"/>
      <c r="N34" s="3369"/>
      <c r="O34" s="3415"/>
      <c r="P34" s="4001"/>
      <c r="Q34" s="3430">
        <f t="shared" si="11"/>
        <v>111</v>
      </c>
      <c r="R34" s="3431" t="s">
        <v>3331</v>
      </c>
      <c r="S34" s="3432">
        <f t="shared" si="12"/>
        <v>100</v>
      </c>
      <c r="T34" s="3431" t="s">
        <v>3331</v>
      </c>
      <c r="U34" s="3432">
        <f t="shared" si="13"/>
        <v>100</v>
      </c>
      <c r="V34" s="3431" t="s">
        <v>3331</v>
      </c>
      <c r="W34" s="3432">
        <f t="shared" si="14"/>
        <v>100</v>
      </c>
      <c r="X34" s="3370"/>
      <c r="Y34" s="4001"/>
      <c r="Z34" s="3433">
        <f t="shared" si="15"/>
        <v>111</v>
      </c>
      <c r="AA34" s="3434">
        <f t="shared" si="3"/>
        <v>1</v>
      </c>
      <c r="AB34" s="3434">
        <f t="shared" si="4"/>
        <v>1</v>
      </c>
      <c r="AC34" s="3434">
        <f t="shared" si="5"/>
        <v>1</v>
      </c>
    </row>
    <row r="35" spans="1:29" s="3480" customFormat="1" ht="15">
      <c r="A35" s="3660"/>
      <c r="B35" s="3652">
        <v>111</v>
      </c>
      <c r="C35" s="3411"/>
      <c r="D35" s="3420">
        <v>100</v>
      </c>
      <c r="E35" s="3411"/>
      <c r="F35" s="3459">
        <f>SUMIF(99:99,E35,100:100)-SUMIF(99:99,C35,100:100)+100</f>
        <v>100</v>
      </c>
      <c r="G35" s="3411"/>
      <c r="H35" s="3420">
        <f>SUMIF(99:99,G35,100:100)-SUMIF(99:99,C35,100:100)+100</f>
        <v>100</v>
      </c>
      <c r="I35" s="3411"/>
      <c r="J35" s="3420">
        <f>SUMIF(99:99,I35,100:100)-SUMIF(99:99,C35,100:100)+100</f>
        <v>100</v>
      </c>
      <c r="K35" s="3413"/>
      <c r="L35" s="3414"/>
      <c r="M35" s="3473"/>
      <c r="N35" s="3473"/>
      <c r="O35" s="3474"/>
      <c r="P35" s="4001"/>
      <c r="Q35" s="3475">
        <f t="shared" si="11"/>
        <v>111</v>
      </c>
      <c r="R35" s="3476" t="s">
        <v>3331</v>
      </c>
      <c r="S35" s="3477">
        <f t="shared" si="12"/>
        <v>100</v>
      </c>
      <c r="T35" s="3476" t="s">
        <v>3331</v>
      </c>
      <c r="U35" s="3477">
        <f t="shared" si="13"/>
        <v>100</v>
      </c>
      <c r="V35" s="3476" t="s">
        <v>3331</v>
      </c>
      <c r="W35" s="3477">
        <f t="shared" si="14"/>
        <v>100</v>
      </c>
      <c r="X35" s="3478"/>
      <c r="Y35" s="4001"/>
      <c r="Z35" s="3479">
        <f t="shared" si="15"/>
        <v>111</v>
      </c>
      <c r="AA35" s="3434">
        <f t="shared" si="3"/>
        <v>1</v>
      </c>
      <c r="AB35" s="3434">
        <f t="shared" si="4"/>
        <v>1</v>
      </c>
      <c r="AC35" s="3434">
        <f t="shared" si="5"/>
        <v>1</v>
      </c>
    </row>
    <row r="36" spans="1:29" ht="15.75" thickBot="1">
      <c r="A36" s="3665"/>
      <c r="B36" s="3654">
        <v>111</v>
      </c>
      <c r="C36" s="3419"/>
      <c r="D36" s="3420">
        <v>100</v>
      </c>
      <c r="E36" s="3411"/>
      <c r="F36" s="3459">
        <f>SUMIF(101:101,E36,102:102)-SUMIF(101:101,C36,102:102)+100</f>
        <v>100</v>
      </c>
      <c r="G36" s="3411"/>
      <c r="H36" s="3420">
        <f>SUMIF(101:101,G36,102:102)-SUMIF(101:101,C36,102:102)+100</f>
        <v>100</v>
      </c>
      <c r="I36" s="3411"/>
      <c r="J36" s="3420">
        <f>SUMIF(101:101,I36,102:102)-SUMIF(101:101,C36,102:102)+100</f>
        <v>100</v>
      </c>
      <c r="K36" s="3413"/>
      <c r="L36" s="3421"/>
      <c r="M36" s="3369"/>
      <c r="N36" s="3369"/>
      <c r="O36" s="3415"/>
      <c r="P36" s="4001"/>
      <c r="Q36" s="3430">
        <f t="shared" si="11"/>
        <v>111</v>
      </c>
      <c r="R36" s="3431" t="s">
        <v>3331</v>
      </c>
      <c r="S36" s="3432">
        <f t="shared" si="12"/>
        <v>100</v>
      </c>
      <c r="T36" s="3431" t="s">
        <v>3331</v>
      </c>
      <c r="U36" s="3432">
        <f t="shared" si="13"/>
        <v>100</v>
      </c>
      <c r="V36" s="3431" t="s">
        <v>3331</v>
      </c>
      <c r="W36" s="3432">
        <f t="shared" si="14"/>
        <v>100</v>
      </c>
      <c r="X36" s="3370"/>
      <c r="Y36" s="4001"/>
      <c r="Z36" s="3433">
        <f t="shared" si="15"/>
        <v>111</v>
      </c>
      <c r="AA36" s="3434">
        <f t="shared" si="3"/>
        <v>1</v>
      </c>
      <c r="AB36" s="3434">
        <f t="shared" si="4"/>
        <v>1</v>
      </c>
      <c r="AC36" s="3434">
        <f t="shared" si="5"/>
        <v>1</v>
      </c>
    </row>
    <row r="37" spans="1:29" ht="15">
      <c r="A37" s="3666" t="s">
        <v>3405</v>
      </c>
      <c r="B37" s="3667" t="s">
        <v>2043</v>
      </c>
      <c r="C37" s="3493" t="s">
        <v>3354</v>
      </c>
      <c r="D37" s="3494"/>
      <c r="E37" s="3495">
        <v>6184</v>
      </c>
      <c r="F37" s="3496"/>
      <c r="G37" s="3497">
        <v>6478</v>
      </c>
      <c r="H37" s="3498"/>
      <c r="I37" s="3495">
        <v>6099</v>
      </c>
      <c r="J37" s="3498"/>
      <c r="K37" s="3499"/>
      <c r="L37" s="3500"/>
      <c r="M37" s="3501"/>
      <c r="N37" s="3369"/>
      <c r="O37" s="3501"/>
      <c r="P37" s="3996" t="str">
        <f>A37</f>
        <v>成交单价</v>
      </c>
      <c r="Q37" s="3996"/>
      <c r="R37" s="4002">
        <f>E37</f>
        <v>6184</v>
      </c>
      <c r="S37" s="4002"/>
      <c r="T37" s="4002">
        <f>G37</f>
        <v>6478</v>
      </c>
      <c r="U37" s="4002"/>
      <c r="V37" s="4002">
        <f>I37</f>
        <v>6099</v>
      </c>
      <c r="W37" s="4002"/>
      <c r="X37" s="3502"/>
      <c r="Y37" s="3503"/>
      <c r="Z37" s="3502"/>
      <c r="AA37" s="3502"/>
      <c r="AB37" s="3502"/>
      <c r="AC37" s="3502"/>
    </row>
    <row r="38" spans="1:29" ht="15.75" thickBot="1">
      <c r="A38" s="3504" t="s">
        <v>3355</v>
      </c>
      <c r="B38" s="3505"/>
      <c r="C38" s="3506">
        <f>R39</f>
        <v>6257</v>
      </c>
      <c r="D38" s="3507" t="s">
        <v>2945</v>
      </c>
      <c r="E38" s="3508">
        <f>R38</f>
        <v>6123</v>
      </c>
      <c r="F38" s="3509"/>
      <c r="G38" s="3506">
        <f>T38</f>
        <v>6610</v>
      </c>
      <c r="H38" s="3509"/>
      <c r="I38" s="3508">
        <f>V38</f>
        <v>6039</v>
      </c>
      <c r="J38" s="3509"/>
      <c r="K38" s="3510">
        <f>F38+H38+J38</f>
        <v>0</v>
      </c>
      <c r="L38" s="3500"/>
      <c r="M38" s="3501"/>
      <c r="N38" s="3501"/>
      <c r="O38" s="3501"/>
      <c r="P38" s="3996" t="str">
        <f>A38</f>
        <v>比较价格（元/平方米）</v>
      </c>
      <c r="Q38" s="3996"/>
      <c r="R38" s="4002">
        <f>IF(F1="售价",ROUND(PRODUCT(R37,AA7:AA36),0),ROUND(PRODUCT(R37,AA7:AA36),1))</f>
        <v>6123</v>
      </c>
      <c r="S38" s="4002"/>
      <c r="T38" s="4002">
        <f>IF(F1="售价",ROUND(PRODUCT(T37,AB7:AB36),0),ROUND(PRODUCT(T37,AB7:AB36),1))</f>
        <v>6610</v>
      </c>
      <c r="U38" s="4002"/>
      <c r="V38" s="4002">
        <f>IF(F1="售价",ROUND(PRODUCT(V37,AC7:AC36),0),ROUND(PRODUCT(V37,AC7:AC36),1))</f>
        <v>6039</v>
      </c>
      <c r="W38" s="4002"/>
      <c r="X38" s="3502"/>
      <c r="Y38" s="3502"/>
      <c r="Z38" s="3502"/>
      <c r="AA38" s="3502"/>
      <c r="AB38" s="3502"/>
      <c r="AC38" s="3502"/>
    </row>
    <row r="39" spans="1:29" ht="15.75" thickBot="1">
      <c r="A39" s="3511" t="s">
        <v>3356</v>
      </c>
      <c r="B39" s="3512"/>
      <c r="C39" s="3513">
        <f>R39</f>
        <v>6257</v>
      </c>
      <c r="D39" s="3513"/>
      <c r="E39" s="3513"/>
      <c r="F39" s="3513"/>
      <c r="G39" s="3513"/>
      <c r="H39" s="3513"/>
      <c r="I39" s="3513"/>
      <c r="J39" s="3513"/>
      <c r="K39" s="3514"/>
      <c r="L39" s="3500"/>
      <c r="M39" s="3501"/>
      <c r="N39" s="3501"/>
      <c r="O39" s="3501"/>
      <c r="P39" s="4003" t="str">
        <f>A39</f>
        <v>估价对象XX用房的比较价格（楼面单价，元/平方米）</v>
      </c>
      <c r="Q39" s="4004"/>
      <c r="R39" s="4005">
        <f>IF(F1="售价",ROUND(IF(D38="简单平均",AVERAGE(R38:W38),R38*F38+T38*H38+V38*J38),0),ROUND(IF(D38="简单平均",AVERAGE(R38:V38),R38*F38+T38*H38+V38*J38),1))</f>
        <v>6257</v>
      </c>
      <c r="S39" s="4005"/>
      <c r="T39" s="4005"/>
      <c r="U39" s="4005"/>
      <c r="V39" s="4005"/>
      <c r="W39" s="4005"/>
      <c r="X39" s="3502"/>
      <c r="Y39" s="3502"/>
      <c r="Z39" s="3502"/>
      <c r="AA39" s="3502"/>
      <c r="AB39" s="3502"/>
      <c r="AC39" s="3502"/>
    </row>
    <row r="40" spans="1:29">
      <c r="A40" s="3515"/>
      <c r="B40" s="3515"/>
      <c r="C40" s="3515"/>
      <c r="D40" s="3515"/>
      <c r="E40" s="3515"/>
      <c r="F40" s="3515"/>
      <c r="G40" s="3516"/>
      <c r="H40" s="3515"/>
      <c r="I40" s="3515"/>
      <c r="J40" s="3515"/>
      <c r="K40" s="3517"/>
      <c r="L40" s="3518"/>
      <c r="M40" s="3501"/>
      <c r="N40" s="3501"/>
      <c r="O40" s="3501"/>
      <c r="P40" s="3501"/>
      <c r="Q40" s="3501"/>
      <c r="R40" s="3501"/>
      <c r="S40" s="3501"/>
      <c r="T40" s="3501"/>
      <c r="U40" s="3501"/>
      <c r="V40" s="3501"/>
      <c r="W40" s="3501"/>
      <c r="X40" s="3501"/>
      <c r="Y40" s="3501"/>
      <c r="Z40" s="3501"/>
      <c r="AA40" s="3501"/>
      <c r="AB40" s="3501"/>
      <c r="AC40" s="3501"/>
    </row>
    <row r="41" spans="1:29">
      <c r="A41" s="3515"/>
      <c r="B41" s="3515"/>
      <c r="C41" s="3515"/>
      <c r="D41" s="3515"/>
      <c r="E41" s="3515"/>
      <c r="F41" s="3515"/>
      <c r="G41" s="3515"/>
      <c r="H41" s="3515"/>
      <c r="I41" s="3515"/>
      <c r="J41" s="3515"/>
      <c r="K41" s="3517"/>
      <c r="L41" s="3518"/>
      <c r="M41" s="3501"/>
      <c r="N41" s="3501"/>
      <c r="O41" s="3501"/>
      <c r="P41" s="3501"/>
      <c r="Q41" s="3501"/>
      <c r="R41" s="3501"/>
      <c r="S41" s="3501"/>
      <c r="T41" s="3501"/>
      <c r="U41" s="3501"/>
      <c r="V41" s="3501"/>
      <c r="W41" s="3501"/>
      <c r="X41" s="3501"/>
      <c r="Y41" s="3501"/>
      <c r="Z41" s="3501"/>
      <c r="AA41" s="3501"/>
      <c r="AB41" s="3501"/>
      <c r="AC41" s="3501"/>
    </row>
    <row r="42" spans="1:29" ht="13.5" customHeight="1">
      <c r="A42" s="3515"/>
      <c r="B42" s="3515"/>
      <c r="C42" s="3519" t="s">
        <v>3406</v>
      </c>
      <c r="D42" s="3520"/>
      <c r="E42" s="3521">
        <f>IF(E37&lt;E38,E38/E37-1,E37/E38-1)</f>
        <v>9.962436714028966E-3</v>
      </c>
      <c r="F42" s="3522" t="str">
        <f>IF(OR(E42&gt;=0.3,E42&lt;=-0.3),"超过30%","")</f>
        <v/>
      </c>
      <c r="G42" s="3521">
        <f>IF(G37&lt;G38,G38/G37-1,G37/G38-1)</f>
        <v>2.0376659462797209E-2</v>
      </c>
      <c r="H42" s="3522" t="str">
        <f>IF(OR(G42&gt;=0.3,G42&lt;=-0.3),"超过30%","")</f>
        <v/>
      </c>
      <c r="I42" s="3521">
        <f>IF(I37&lt;I38,I38/I37-1,I37/I38-1)</f>
        <v>9.9354197714853765E-3</v>
      </c>
      <c r="J42" s="3522" t="str">
        <f>IF(OR(I42&gt;=0.3,I42&lt;=-0.3),"超过30%","")</f>
        <v/>
      </c>
      <c r="K42" s="3517"/>
      <c r="L42" s="3518"/>
      <c r="M42" s="3501"/>
      <c r="N42" s="3501"/>
      <c r="O42" s="3501"/>
      <c r="P42" s="3501"/>
      <c r="Q42" s="3501"/>
      <c r="R42" s="3501"/>
      <c r="S42" s="3501"/>
      <c r="T42" s="3501"/>
      <c r="U42" s="3501"/>
      <c r="V42" s="3501"/>
      <c r="W42" s="3501"/>
      <c r="X42" s="3501"/>
      <c r="Y42" s="3501"/>
      <c r="Z42" s="3501"/>
      <c r="AA42" s="3501"/>
      <c r="AB42" s="3501"/>
      <c r="AC42" s="3501"/>
    </row>
    <row r="43" spans="1:29" ht="13.5" customHeight="1">
      <c r="A43" s="3515"/>
      <c r="B43" s="3515"/>
      <c r="C43" s="3519" t="s">
        <v>3407</v>
      </c>
      <c r="D43" s="3523"/>
      <c r="E43" s="3521">
        <f>IF(E38&lt;G38,G38/E38-1,E38/G38-1)</f>
        <v>7.9536175077576265E-2</v>
      </c>
      <c r="F43" s="3522" t="str">
        <f>IF(OR(E43&gt;=0.2,E43&lt;=-0.2),"超过20%","")</f>
        <v/>
      </c>
      <c r="G43" s="3521">
        <f>IF(G38&lt;I38,I38/G38-1,G38/I38-1)</f>
        <v>9.4552078158635533E-2</v>
      </c>
      <c r="H43" s="3522" t="str">
        <f>IF(OR(G43&gt;=0.2,G43&lt;=-0.2),"超过20%","")</f>
        <v/>
      </c>
      <c r="I43" s="3521">
        <f>IF(I38&lt;E38,E38/I38-1,I38/E38-1)</f>
        <v>1.3909587680079438E-2</v>
      </c>
      <c r="J43" s="3522" t="str">
        <f>IF(OR(I43&gt;=0.2,I43&lt;=-0.2),"超过20%","")</f>
        <v/>
      </c>
      <c r="K43" s="3517"/>
      <c r="L43" s="3518"/>
      <c r="M43" s="3501"/>
      <c r="N43" s="3501"/>
      <c r="O43" s="3501"/>
      <c r="P43" s="3501"/>
      <c r="Q43" s="3501"/>
      <c r="R43" s="3501"/>
      <c r="S43" s="3501"/>
      <c r="T43" s="3501"/>
      <c r="U43" s="3501"/>
      <c r="V43" s="3501"/>
      <c r="W43" s="3501"/>
      <c r="X43" s="3501"/>
      <c r="Y43" s="3501"/>
      <c r="Z43" s="3501"/>
      <c r="AA43" s="3501"/>
      <c r="AB43" s="3501"/>
      <c r="AC43" s="3501"/>
    </row>
    <row r="44" spans="1:29" s="3528" customFormat="1" ht="13.5" customHeight="1">
      <c r="A44" s="3524"/>
      <c r="B44" s="3524"/>
      <c r="C44" s="3519" t="s">
        <v>3408</v>
      </c>
      <c r="D44" s="3523"/>
      <c r="E44" s="3521">
        <f>IF(E37&lt;G37,G37/E37-1,E37/G37-1)</f>
        <v>4.7542043984476035E-2</v>
      </c>
      <c r="F44" s="3522" t="str">
        <f>IF(OR(E44&gt;=0.3,E44&lt;=-0.3),"超过30%","")</f>
        <v/>
      </c>
      <c r="G44" s="3521">
        <f>IF(G37&lt;I37,I37/G37-1,G37/I37-1)</f>
        <v>6.2141334645023694E-2</v>
      </c>
      <c r="H44" s="3522" t="str">
        <f>IF(OR(G44&gt;=0.3,G44&lt;=-0.3),"超过30%","")</f>
        <v/>
      </c>
      <c r="I44" s="3521">
        <f>IF(I37&lt;E37,E37/I37-1,I37/E37-1)</f>
        <v>1.3936710936218955E-2</v>
      </c>
      <c r="J44" s="3522" t="str">
        <f>IF(OR(I44&gt;=0.3,I44&lt;=-0.3),"超过30%","")</f>
        <v/>
      </c>
      <c r="K44" s="3525"/>
      <c r="L44" s="3526"/>
      <c r="M44" s="3527"/>
      <c r="N44" s="3527"/>
      <c r="O44" s="3527"/>
      <c r="P44" s="3527"/>
      <c r="Q44" s="3527"/>
      <c r="R44" s="3527"/>
      <c r="S44" s="3527"/>
      <c r="T44" s="3527"/>
      <c r="U44" s="3527"/>
      <c r="V44" s="3527"/>
      <c r="W44" s="3527"/>
      <c r="X44" s="3527"/>
      <c r="Y44" s="3527"/>
      <c r="Z44" s="3527"/>
      <c r="AA44" s="3527"/>
      <c r="AB44" s="3527"/>
      <c r="AC44" s="3527"/>
    </row>
    <row r="45" spans="1:29" s="3528" customFormat="1">
      <c r="A45" s="3527"/>
      <c r="B45" s="3529"/>
      <c r="C45" s="3530"/>
      <c r="D45" s="3527"/>
      <c r="E45" s="3527"/>
      <c r="F45" s="3527"/>
      <c r="G45" s="3527"/>
      <c r="H45" s="3527"/>
      <c r="I45" s="3527"/>
      <c r="J45" s="3527"/>
      <c r="K45" s="3531"/>
      <c r="L45" s="3526"/>
      <c r="M45" s="3527"/>
      <c r="N45" s="3527"/>
      <c r="O45" s="3527"/>
      <c r="P45" s="3527"/>
      <c r="Q45" s="3527"/>
      <c r="R45" s="3527"/>
      <c r="S45" s="3527"/>
      <c r="T45" s="3527"/>
      <c r="U45" s="3527"/>
      <c r="V45" s="3527"/>
      <c r="W45" s="3527"/>
      <c r="X45" s="3527"/>
      <c r="Y45" s="3527"/>
      <c r="Z45" s="3527"/>
      <c r="AA45" s="3527"/>
      <c r="AB45" s="3527"/>
      <c r="AC45" s="3527"/>
    </row>
    <row r="46" spans="1:29">
      <c r="A46" s="3501"/>
      <c r="B46" s="3529"/>
      <c r="C46" s="3530"/>
      <c r="D46" s="3501"/>
      <c r="E46" s="3501"/>
      <c r="F46" s="3501"/>
      <c r="G46" s="3501"/>
      <c r="H46" s="3501"/>
      <c r="I46" s="3501"/>
      <c r="J46" s="3501"/>
      <c r="K46" s="3532"/>
      <c r="L46" s="3518"/>
      <c r="M46" s="3501"/>
      <c r="N46" s="3501"/>
      <c r="O46" s="3501"/>
      <c r="P46" s="3501"/>
      <c r="Q46" s="3501"/>
      <c r="R46" s="3501"/>
      <c r="S46" s="3501"/>
      <c r="T46" s="3501"/>
      <c r="U46" s="3501"/>
      <c r="V46" s="3501"/>
      <c r="W46" s="3501"/>
      <c r="X46" s="3501"/>
      <c r="Y46" s="3501"/>
      <c r="Z46" s="3501"/>
      <c r="AA46" s="3501"/>
      <c r="AB46" s="3501"/>
      <c r="AC46" s="3501"/>
    </row>
    <row r="47" spans="1:29" ht="21.75" thickBot="1">
      <c r="A47" s="3533" t="s">
        <v>3409</v>
      </c>
      <c r="B47" s="3502"/>
      <c r="C47" s="3538"/>
      <c r="D47" s="3538"/>
      <c r="E47" s="3538"/>
      <c r="F47" s="3668"/>
      <c r="G47" s="3668"/>
      <c r="H47" s="3538"/>
      <c r="I47" s="3538"/>
      <c r="J47" s="3538"/>
      <c r="K47" s="3669"/>
      <c r="L47" s="3670"/>
      <c r="M47" s="3538"/>
      <c r="N47" s="3538"/>
      <c r="O47" s="3538"/>
      <c r="P47" s="3538"/>
      <c r="Q47" s="3539"/>
      <c r="R47" s="3501"/>
      <c r="S47" s="3501"/>
      <c r="T47" s="3501"/>
      <c r="U47" s="3501"/>
      <c r="V47" s="3501"/>
      <c r="W47" s="3501"/>
      <c r="X47" s="3501"/>
      <c r="Y47" s="3501"/>
      <c r="Z47" s="3501"/>
      <c r="AA47" s="3501"/>
      <c r="AB47" s="3501"/>
      <c r="AC47" s="3501"/>
    </row>
    <row r="48" spans="1:29" s="3546" customFormat="1" ht="15">
      <c r="A48" s="3540" t="s">
        <v>3410</v>
      </c>
      <c r="B48" s="3541"/>
      <c r="C48" s="3542" t="str">
        <f>YEAR(C7)&amp;"-"&amp;MONTH(C7)</f>
        <v>2021-12</v>
      </c>
      <c r="D48" s="3543">
        <f>EDATE(C48,-1)</f>
        <v>44501</v>
      </c>
      <c r="E48" s="3543">
        <f t="shared" ref="E48:O48" si="16">EDATE(D48,-1)</f>
        <v>44470</v>
      </c>
      <c r="F48" s="3543">
        <f t="shared" si="16"/>
        <v>44440</v>
      </c>
      <c r="G48" s="3543">
        <f t="shared" si="16"/>
        <v>44409</v>
      </c>
      <c r="H48" s="3543">
        <f t="shared" si="16"/>
        <v>44378</v>
      </c>
      <c r="I48" s="3543">
        <f t="shared" si="16"/>
        <v>44348</v>
      </c>
      <c r="J48" s="3543">
        <f t="shared" si="16"/>
        <v>44317</v>
      </c>
      <c r="K48" s="3543">
        <f t="shared" si="16"/>
        <v>44287</v>
      </c>
      <c r="L48" s="3543">
        <f t="shared" si="16"/>
        <v>44256</v>
      </c>
      <c r="M48" s="3543">
        <f t="shared" si="16"/>
        <v>44228</v>
      </c>
      <c r="N48" s="3543">
        <f t="shared" si="16"/>
        <v>44197</v>
      </c>
      <c r="O48" s="3543">
        <f t="shared" si="16"/>
        <v>44166</v>
      </c>
      <c r="P48" s="3544"/>
      <c r="Q48" s="3545"/>
      <c r="R48" s="3545"/>
      <c r="S48" s="3545"/>
      <c r="T48" s="3545"/>
      <c r="U48" s="3545"/>
      <c r="V48" s="3545"/>
      <c r="W48" s="3545"/>
      <c r="X48" s="3545"/>
      <c r="Y48" s="3545"/>
      <c r="Z48" s="3545"/>
      <c r="AA48" s="3545"/>
      <c r="AB48" s="3545"/>
      <c r="AC48" s="3545"/>
    </row>
    <row r="49" spans="1:29" s="3389" customFormat="1" ht="15">
      <c r="A49" s="3547"/>
      <c r="B49" s="3548"/>
      <c r="C49" s="3671">
        <v>100</v>
      </c>
      <c r="D49" s="3550">
        <v>100</v>
      </c>
      <c r="E49" s="3550">
        <v>100</v>
      </c>
      <c r="F49" s="3550"/>
      <c r="G49" s="3550"/>
      <c r="H49" s="3550"/>
      <c r="I49" s="3550"/>
      <c r="J49" s="3550"/>
      <c r="K49" s="3550"/>
      <c r="L49" s="3550"/>
      <c r="M49" s="3551"/>
      <c r="N49" s="3550"/>
      <c r="O49" s="3552"/>
      <c r="P49" s="3539"/>
      <c r="Q49" s="3553"/>
      <c r="R49" s="3553"/>
      <c r="S49" s="3553"/>
      <c r="T49" s="3553"/>
      <c r="U49" s="3553"/>
      <c r="V49" s="3553"/>
      <c r="W49" s="3553"/>
      <c r="X49" s="3553"/>
      <c r="Y49" s="3553"/>
      <c r="Z49" s="3553"/>
      <c r="AA49" s="3553"/>
      <c r="AB49" s="3553"/>
      <c r="AC49" s="3553"/>
    </row>
    <row r="50" spans="1:29" s="3389" customFormat="1" ht="15.75" thickBot="1">
      <c r="A50" s="3554" t="s">
        <v>3411</v>
      </c>
      <c r="B50" s="3555"/>
      <c r="C50" s="3556"/>
      <c r="D50" s="3557"/>
      <c r="E50" s="3557"/>
      <c r="F50" s="3557"/>
      <c r="G50" s="3557"/>
      <c r="H50" s="3557"/>
      <c r="I50" s="3557"/>
      <c r="J50" s="3557"/>
      <c r="K50" s="3557"/>
      <c r="L50" s="3557"/>
      <c r="M50" s="3558"/>
      <c r="N50" s="3557"/>
      <c r="O50" s="3559"/>
      <c r="P50" s="3539"/>
      <c r="Q50" s="3539"/>
      <c r="R50" s="3553"/>
      <c r="S50" s="3553"/>
      <c r="T50" s="3553"/>
      <c r="U50" s="3553"/>
      <c r="V50" s="3553"/>
      <c r="W50" s="3553"/>
      <c r="X50" s="3553"/>
      <c r="Y50" s="3553"/>
      <c r="Z50" s="3553"/>
      <c r="AA50" s="3553"/>
      <c r="AB50" s="3553"/>
      <c r="AC50" s="3553"/>
    </row>
    <row r="51" spans="1:29" s="3389" customFormat="1" ht="15">
      <c r="A51" s="3560" t="s">
        <v>3391</v>
      </c>
      <c r="B51" s="3548"/>
      <c r="C51" s="3561" t="s">
        <v>3392</v>
      </c>
      <c r="D51" s="3562"/>
      <c r="E51" s="3562"/>
      <c r="F51" s="3562"/>
      <c r="G51" s="3562"/>
      <c r="H51" s="3562"/>
      <c r="I51" s="3562"/>
      <c r="J51" s="3562"/>
      <c r="K51" s="3562"/>
      <c r="L51" s="3563"/>
      <c r="M51" s="3564"/>
      <c r="N51" s="3565"/>
      <c r="O51" s="3565"/>
      <c r="P51" s="3566"/>
      <c r="Q51" s="3539"/>
      <c r="R51" s="3553"/>
      <c r="S51" s="3553"/>
      <c r="T51" s="3553"/>
      <c r="U51" s="3553"/>
      <c r="V51" s="3553"/>
      <c r="W51" s="3553"/>
      <c r="X51" s="3553"/>
      <c r="Y51" s="3553"/>
      <c r="Z51" s="3553"/>
      <c r="AA51" s="3553"/>
      <c r="AB51" s="3553"/>
      <c r="AC51" s="3553"/>
    </row>
    <row r="52" spans="1:29" s="3389" customFormat="1" ht="15.75" thickBot="1">
      <c r="A52" s="3560"/>
      <c r="B52" s="3548"/>
      <c r="C52" s="3549">
        <v>100</v>
      </c>
      <c r="D52" s="3550"/>
      <c r="E52" s="3550"/>
      <c r="F52" s="3550"/>
      <c r="G52" s="3550"/>
      <c r="H52" s="3550"/>
      <c r="I52" s="3550"/>
      <c r="J52" s="3550"/>
      <c r="K52" s="3550"/>
      <c r="L52" s="3550"/>
      <c r="M52" s="3552"/>
      <c r="N52" s="3565"/>
      <c r="O52" s="3565"/>
      <c r="P52" s="3539"/>
      <c r="Q52" s="3539"/>
      <c r="R52" s="3553"/>
      <c r="S52" s="3553"/>
      <c r="T52" s="3553"/>
      <c r="U52" s="3553"/>
      <c r="V52" s="3553"/>
      <c r="W52" s="3553"/>
      <c r="X52" s="3553"/>
      <c r="Y52" s="3553"/>
      <c r="Z52" s="3553"/>
      <c r="AA52" s="3553"/>
      <c r="AB52" s="3553"/>
      <c r="AC52" s="3553"/>
    </row>
    <row r="53" spans="1:29">
      <c r="A53" s="3567" t="s">
        <v>3412</v>
      </c>
      <c r="B53" s="3568" t="s">
        <v>3413</v>
      </c>
      <c r="C53" s="3569" t="str">
        <f>C9</f>
        <v>车库</v>
      </c>
      <c r="D53" s="3570"/>
      <c r="E53" s="3570"/>
      <c r="F53" s="3570"/>
      <c r="G53" s="3570"/>
      <c r="H53" s="3570"/>
      <c r="I53" s="3570"/>
      <c r="J53" s="3570"/>
      <c r="K53" s="3571"/>
      <c r="L53" s="3572"/>
      <c r="M53" s="3573"/>
      <c r="N53" s="3574"/>
      <c r="O53" s="3574"/>
      <c r="P53" s="3575"/>
      <c r="Q53" s="3539"/>
      <c r="R53" s="3501"/>
      <c r="S53" s="3501"/>
      <c r="T53" s="3501"/>
      <c r="U53" s="3501"/>
      <c r="V53" s="3501"/>
      <c r="W53" s="3501"/>
      <c r="X53" s="3501"/>
      <c r="Y53" s="3501"/>
      <c r="Z53" s="3501"/>
      <c r="AA53" s="3501"/>
      <c r="AB53" s="3501"/>
      <c r="AC53" s="3501"/>
    </row>
    <row r="54" spans="1:29" ht="15.75" thickBot="1">
      <c r="A54" s="3576"/>
      <c r="B54" s="3577"/>
      <c r="C54" s="3578"/>
      <c r="D54" s="3578"/>
      <c r="E54" s="3578"/>
      <c r="F54" s="3578"/>
      <c r="G54" s="3578"/>
      <c r="H54" s="3578"/>
      <c r="I54" s="3578"/>
      <c r="J54" s="3578"/>
      <c r="K54" s="3578"/>
      <c r="L54" s="3578"/>
      <c r="M54" s="3579"/>
      <c r="N54" s="3580"/>
      <c r="O54" s="3580"/>
      <c r="P54" s="3575"/>
      <c r="Q54" s="3539"/>
      <c r="R54" s="3501"/>
      <c r="S54" s="3501"/>
      <c r="T54" s="3501"/>
      <c r="U54" s="3501"/>
      <c r="V54" s="3501"/>
      <c r="W54" s="3501"/>
      <c r="X54" s="3501"/>
      <c r="Y54" s="3501"/>
      <c r="Z54" s="3501"/>
      <c r="AA54" s="3501"/>
      <c r="AB54" s="3501"/>
      <c r="AC54" s="3501"/>
    </row>
    <row r="55" spans="1:29" ht="27.75" thickTop="1">
      <c r="A55" s="3576"/>
      <c r="B55" s="3581" t="s">
        <v>3363</v>
      </c>
      <c r="C55" s="3582" t="s">
        <v>3414</v>
      </c>
      <c r="D55" s="3582" t="s">
        <v>3415</v>
      </c>
      <c r="E55" s="3582" t="s">
        <v>3416</v>
      </c>
      <c r="F55" s="3582" t="s">
        <v>3417</v>
      </c>
      <c r="G55" s="3582" t="s">
        <v>3418</v>
      </c>
      <c r="H55" s="3582" t="s">
        <v>3419</v>
      </c>
      <c r="I55" s="3582" t="s">
        <v>3420</v>
      </c>
      <c r="J55" s="3582"/>
      <c r="K55" s="3583"/>
      <c r="L55" s="3584"/>
      <c r="M55" s="3585"/>
      <c r="N55" s="3574"/>
      <c r="O55" s="3574"/>
      <c r="P55" s="3575"/>
      <c r="Q55" s="3539"/>
      <c r="R55" s="3501"/>
      <c r="S55" s="3501"/>
      <c r="T55" s="3501"/>
      <c r="U55" s="3501"/>
      <c r="V55" s="3501"/>
      <c r="W55" s="3501"/>
      <c r="X55" s="3501"/>
      <c r="Y55" s="3501"/>
      <c r="Z55" s="3501"/>
      <c r="AA55" s="3501"/>
      <c r="AB55" s="3501"/>
      <c r="AC55" s="3501"/>
    </row>
    <row r="56" spans="1:29" ht="15.75" thickBot="1">
      <c r="A56" s="3576"/>
      <c r="B56" s="3586"/>
      <c r="C56" s="3587" t="s">
        <v>3421</v>
      </c>
      <c r="D56" s="3587" t="s">
        <v>3421</v>
      </c>
      <c r="E56" s="3587">
        <v>100</v>
      </c>
      <c r="F56" s="3587">
        <f>E56-$K10</f>
        <v>99</v>
      </c>
      <c r="G56" s="3587">
        <f>F56-$K10</f>
        <v>98</v>
      </c>
      <c r="H56" s="3587">
        <f>G56-$K10</f>
        <v>97</v>
      </c>
      <c r="I56" s="3587">
        <f>H56-$K10</f>
        <v>96</v>
      </c>
      <c r="J56" s="3587"/>
      <c r="K56" s="3587"/>
      <c r="L56" s="3587"/>
      <c r="M56" s="3588"/>
      <c r="N56" s="3580"/>
      <c r="O56" s="3580"/>
      <c r="P56" s="3575"/>
      <c r="Q56" s="3539"/>
      <c r="R56" s="3501"/>
      <c r="S56" s="3501"/>
      <c r="T56" s="3501"/>
      <c r="U56" s="3501"/>
      <c r="V56" s="3501"/>
      <c r="W56" s="3501"/>
      <c r="X56" s="3501"/>
      <c r="Y56" s="3501"/>
      <c r="Z56" s="3501"/>
      <c r="AA56" s="3501"/>
      <c r="AB56" s="3501"/>
      <c r="AC56" s="3501"/>
    </row>
    <row r="57" spans="1:29" ht="15.75" thickTop="1">
      <c r="A57" s="3576"/>
      <c r="B57" s="3589">
        <f>B11</f>
        <v>111</v>
      </c>
      <c r="C57" s="3590"/>
      <c r="D57" s="3590"/>
      <c r="E57" s="3590"/>
      <c r="F57" s="3590"/>
      <c r="G57" s="3590"/>
      <c r="H57" s="3590"/>
      <c r="I57" s="3590"/>
      <c r="J57" s="3590"/>
      <c r="K57" s="3591"/>
      <c r="L57" s="3592"/>
      <c r="M57" s="3593"/>
      <c r="N57" s="3574"/>
      <c r="O57" s="3574"/>
      <c r="P57" s="3575"/>
      <c r="Q57" s="3539"/>
      <c r="R57" s="3501"/>
      <c r="S57" s="3501"/>
      <c r="T57" s="3501"/>
      <c r="U57" s="3501"/>
      <c r="V57" s="3501"/>
      <c r="W57" s="3501"/>
      <c r="X57" s="3501"/>
      <c r="Y57" s="3501"/>
      <c r="Z57" s="3501"/>
      <c r="AA57" s="3501"/>
      <c r="AB57" s="3501"/>
      <c r="AC57" s="3501"/>
    </row>
    <row r="58" spans="1:29" ht="15.75" thickBot="1">
      <c r="A58" s="3576"/>
      <c r="B58" s="3577"/>
      <c r="C58" s="3594"/>
      <c r="D58" s="3578"/>
      <c r="E58" s="3578"/>
      <c r="F58" s="3578"/>
      <c r="G58" s="3578"/>
      <c r="H58" s="3578"/>
      <c r="I58" s="3578"/>
      <c r="J58" s="3578"/>
      <c r="K58" s="3578"/>
      <c r="L58" s="3578"/>
      <c r="M58" s="3579"/>
      <c r="N58" s="3580"/>
      <c r="O58" s="3580"/>
      <c r="P58" s="3575"/>
      <c r="Q58" s="3539"/>
      <c r="R58" s="3501"/>
      <c r="S58" s="3501"/>
      <c r="T58" s="3501"/>
      <c r="U58" s="3501"/>
      <c r="V58" s="3501"/>
      <c r="W58" s="3501"/>
      <c r="X58" s="3501"/>
      <c r="Y58" s="3501"/>
      <c r="Z58" s="3501"/>
      <c r="AA58" s="3501"/>
      <c r="AB58" s="3501"/>
      <c r="AC58" s="3501"/>
    </row>
    <row r="59" spans="1:29" s="3480" customFormat="1" ht="15.75" thickTop="1">
      <c r="A59" s="3595"/>
      <c r="B59" s="3581">
        <f>B12</f>
        <v>111</v>
      </c>
      <c r="C59" s="3590"/>
      <c r="D59" s="3590"/>
      <c r="E59" s="3590"/>
      <c r="F59" s="3590"/>
      <c r="G59" s="3596"/>
      <c r="H59" s="3597"/>
      <c r="I59" s="3597"/>
      <c r="J59" s="3597"/>
      <c r="K59" s="3597"/>
      <c r="L59" s="3598"/>
      <c r="M59" s="3599"/>
      <c r="N59" s="3600"/>
      <c r="O59" s="3600"/>
      <c r="P59" s="3601"/>
      <c r="Q59" s="3602"/>
      <c r="R59" s="3603"/>
      <c r="S59" s="3603"/>
      <c r="T59" s="3603"/>
      <c r="U59" s="3603"/>
      <c r="V59" s="3603"/>
      <c r="W59" s="3603"/>
      <c r="X59" s="3603"/>
      <c r="Y59" s="3603"/>
      <c r="Z59" s="3603"/>
      <c r="AA59" s="3603"/>
      <c r="AB59" s="3603"/>
      <c r="AC59" s="3603"/>
    </row>
    <row r="60" spans="1:29" s="3480" customFormat="1" ht="15.75" thickBot="1">
      <c r="A60" s="3595"/>
      <c r="B60" s="3586"/>
      <c r="C60" s="3594"/>
      <c r="D60" s="3578"/>
      <c r="E60" s="3578"/>
      <c r="F60" s="3578"/>
      <c r="G60" s="3578"/>
      <c r="H60" s="3578"/>
      <c r="I60" s="3578"/>
      <c r="J60" s="3578"/>
      <c r="K60" s="3578"/>
      <c r="L60" s="3578"/>
      <c r="M60" s="3579"/>
      <c r="N60" s="3580"/>
      <c r="O60" s="3580"/>
      <c r="P60" s="3601"/>
      <c r="Q60" s="3602"/>
      <c r="R60" s="3603"/>
      <c r="S60" s="3603"/>
      <c r="T60" s="3603"/>
      <c r="U60" s="3603"/>
      <c r="V60" s="3603"/>
      <c r="W60" s="3603"/>
      <c r="X60" s="3603"/>
      <c r="Y60" s="3603"/>
      <c r="Z60" s="3603"/>
      <c r="AA60" s="3603"/>
      <c r="AB60" s="3603"/>
      <c r="AC60" s="3603"/>
    </row>
    <row r="61" spans="1:29" s="3480" customFormat="1" ht="15.75" thickTop="1">
      <c r="A61" s="3595"/>
      <c r="B61" s="3581">
        <f>B13</f>
        <v>111</v>
      </c>
      <c r="C61" s="3596"/>
      <c r="D61" s="3596"/>
      <c r="E61" s="3596"/>
      <c r="F61" s="3596"/>
      <c r="G61" s="3596"/>
      <c r="H61" s="3597"/>
      <c r="I61" s="3597"/>
      <c r="J61" s="3597"/>
      <c r="K61" s="3597"/>
      <c r="L61" s="3598"/>
      <c r="M61" s="3599"/>
      <c r="N61" s="3600"/>
      <c r="O61" s="3600"/>
      <c r="P61" s="3473"/>
      <c r="Q61" s="3604"/>
      <c r="R61" s="3603"/>
      <c r="S61" s="3603"/>
      <c r="T61" s="3603"/>
      <c r="U61" s="3603"/>
      <c r="V61" s="3603"/>
      <c r="W61" s="3603"/>
      <c r="X61" s="3603"/>
      <c r="Y61" s="3603"/>
      <c r="Z61" s="3603"/>
      <c r="AA61" s="3603"/>
      <c r="AB61" s="3603"/>
      <c r="AC61" s="3603"/>
    </row>
    <row r="62" spans="1:29" s="3480" customFormat="1" ht="15.75" thickBot="1">
      <c r="A62" s="3595"/>
      <c r="B62" s="3586"/>
      <c r="C62" s="3594"/>
      <c r="D62" s="3594"/>
      <c r="E62" s="3594"/>
      <c r="F62" s="3594"/>
      <c r="G62" s="3594"/>
      <c r="H62" s="3605"/>
      <c r="I62" s="3605"/>
      <c r="J62" s="3605"/>
      <c r="K62" s="3605"/>
      <c r="L62" s="3605"/>
      <c r="M62" s="3606"/>
      <c r="N62" s="3600"/>
      <c r="O62" s="3600"/>
      <c r="P62" s="3601"/>
      <c r="Q62" s="3602"/>
      <c r="R62" s="3603"/>
      <c r="S62" s="3603"/>
      <c r="T62" s="3603"/>
      <c r="U62" s="3603"/>
      <c r="V62" s="3603"/>
      <c r="W62" s="3603"/>
      <c r="X62" s="3603"/>
      <c r="Y62" s="3603"/>
      <c r="Z62" s="3603"/>
      <c r="AA62" s="3603"/>
      <c r="AB62" s="3603"/>
      <c r="AC62" s="3603"/>
    </row>
    <row r="63" spans="1:29" ht="15" thickTop="1">
      <c r="A63" s="3567" t="s">
        <v>3372</v>
      </c>
      <c r="B63" s="3568" t="s">
        <v>3373</v>
      </c>
      <c r="C63" s="3607" t="s">
        <v>3374</v>
      </c>
      <c r="D63" s="3607" t="s">
        <v>3375</v>
      </c>
      <c r="E63" s="3607" t="s">
        <v>3376</v>
      </c>
      <c r="F63" s="3607" t="s">
        <v>3377</v>
      </c>
      <c r="G63" s="3607" t="s">
        <v>3378</v>
      </c>
      <c r="H63" s="3569"/>
      <c r="I63" s="3569"/>
      <c r="J63" s="3569"/>
      <c r="K63" s="3608"/>
      <c r="L63" s="3609"/>
      <c r="M63" s="3610"/>
      <c r="N63" s="3574"/>
      <c r="O63" s="3574"/>
      <c r="P63" s="3611"/>
      <c r="Q63" s="3539"/>
      <c r="R63" s="3501"/>
      <c r="S63" s="3501"/>
      <c r="T63" s="3501"/>
      <c r="U63" s="3501"/>
      <c r="V63" s="3501"/>
      <c r="W63" s="3501"/>
      <c r="X63" s="3501"/>
      <c r="Y63" s="3501"/>
      <c r="Z63" s="3501"/>
      <c r="AA63" s="3501"/>
      <c r="AB63" s="3501"/>
      <c r="AC63" s="3501"/>
    </row>
    <row r="64" spans="1:29" ht="15.75" thickBot="1">
      <c r="A64" s="3576"/>
      <c r="B64" s="3586"/>
      <c r="C64" s="3587">
        <v>100</v>
      </c>
      <c r="D64" s="3587">
        <f>C64-$K14</f>
        <v>98</v>
      </c>
      <c r="E64" s="3587">
        <f>D64-$K14</f>
        <v>96</v>
      </c>
      <c r="F64" s="3587">
        <f>E64-$K14</f>
        <v>94</v>
      </c>
      <c r="G64" s="3587">
        <f>F64-$K14</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2" t="s">
        <v>3341</v>
      </c>
      <c r="C65" s="3613" t="s">
        <v>3374</v>
      </c>
      <c r="D65" s="3613" t="s">
        <v>3375</v>
      </c>
      <c r="E65" s="3613" t="s">
        <v>3376</v>
      </c>
      <c r="F65" s="3613" t="s">
        <v>3377</v>
      </c>
      <c r="G65" s="3613" t="s">
        <v>3378</v>
      </c>
      <c r="H65" s="3582"/>
      <c r="I65" s="3582"/>
      <c r="J65" s="3582"/>
      <c r="K65" s="3583"/>
      <c r="L65" s="3584"/>
      <c r="M65" s="3585"/>
      <c r="N65" s="3574"/>
      <c r="O65" s="3574"/>
      <c r="P65" s="3575"/>
      <c r="Q65" s="3539"/>
      <c r="R65" s="3501"/>
      <c r="S65" s="3501"/>
      <c r="T65" s="3501"/>
      <c r="U65" s="3501"/>
      <c r="V65" s="3501"/>
      <c r="W65" s="3501"/>
      <c r="X65" s="3501"/>
      <c r="Y65" s="3501"/>
      <c r="Z65" s="3501"/>
      <c r="AA65" s="3501"/>
      <c r="AB65" s="3501"/>
      <c r="AC65" s="3501"/>
    </row>
    <row r="66" spans="1:29" ht="15.75" thickBot="1">
      <c r="A66" s="3576"/>
      <c r="B66" s="3586"/>
      <c r="C66" s="3587">
        <v>100</v>
      </c>
      <c r="D66" s="3587">
        <f>C66-$K16</f>
        <v>98</v>
      </c>
      <c r="E66" s="3587">
        <f>D66-$K16</f>
        <v>96</v>
      </c>
      <c r="F66" s="3587">
        <f>E66-$K16</f>
        <v>94</v>
      </c>
      <c r="G66" s="3587">
        <f>F66-$K16</f>
        <v>92</v>
      </c>
      <c r="H66" s="3587"/>
      <c r="I66" s="3587"/>
      <c r="J66" s="3587"/>
      <c r="K66" s="3587"/>
      <c r="L66" s="3587"/>
      <c r="M66" s="3588"/>
      <c r="N66" s="3580"/>
      <c r="O66" s="3580"/>
      <c r="P66" s="3575"/>
      <c r="Q66" s="3539"/>
      <c r="R66" s="3501"/>
      <c r="S66" s="3501"/>
      <c r="T66" s="3501"/>
      <c r="U66" s="3501"/>
      <c r="V66" s="3501"/>
      <c r="W66" s="3501"/>
      <c r="X66" s="3501"/>
      <c r="Y66" s="3501"/>
      <c r="Z66" s="3501"/>
      <c r="AA66" s="3501"/>
      <c r="AB66" s="3501"/>
      <c r="AC66" s="3501"/>
    </row>
    <row r="67" spans="1:29" ht="15.75" thickTop="1">
      <c r="A67" s="3576"/>
      <c r="B67" s="3614" t="s">
        <v>3342</v>
      </c>
      <c r="C67" s="3615" t="s">
        <v>3379</v>
      </c>
      <c r="D67" s="3615" t="s">
        <v>3380</v>
      </c>
      <c r="E67" s="3615" t="s">
        <v>3381</v>
      </c>
      <c r="F67" s="3615" t="s">
        <v>3382</v>
      </c>
      <c r="G67" s="3615" t="s">
        <v>3383</v>
      </c>
      <c r="H67" s="3582"/>
      <c r="I67" s="3582"/>
      <c r="J67" s="3582"/>
      <c r="K67" s="3582"/>
      <c r="L67" s="3582"/>
      <c r="M67" s="3616"/>
      <c r="N67" s="3580"/>
      <c r="O67" s="3580"/>
      <c r="P67" s="3575"/>
      <c r="Q67" s="3539"/>
      <c r="R67" s="3501"/>
      <c r="S67" s="3501"/>
      <c r="T67" s="3501"/>
      <c r="U67" s="3501"/>
      <c r="V67" s="3501"/>
      <c r="W67" s="3501"/>
      <c r="X67" s="3501"/>
      <c r="Y67" s="3501"/>
      <c r="Z67" s="3501"/>
      <c r="AA67" s="3501"/>
      <c r="AB67" s="3501"/>
      <c r="AC67" s="3501"/>
    </row>
    <row r="68" spans="1:29" ht="15.75" thickBot="1">
      <c r="A68" s="3576"/>
      <c r="B68" s="3617"/>
      <c r="C68" s="3587">
        <v>100</v>
      </c>
      <c r="D68" s="3587">
        <f>C68-$K18</f>
        <v>99</v>
      </c>
      <c r="E68" s="3587">
        <f>D68-$K18</f>
        <v>98</v>
      </c>
      <c r="F68" s="3587">
        <f>E68-$K18</f>
        <v>97</v>
      </c>
      <c r="G68" s="3587">
        <f>F68-$K18</f>
        <v>96</v>
      </c>
      <c r="H68" s="3589"/>
      <c r="I68" s="3589"/>
      <c r="J68" s="3589"/>
      <c r="K68" s="3589"/>
      <c r="L68" s="3589"/>
      <c r="M68" s="3440"/>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3343</v>
      </c>
      <c r="C69" s="3613" t="s">
        <v>3374</v>
      </c>
      <c r="D69" s="3613" t="s">
        <v>3375</v>
      </c>
      <c r="E69" s="3613" t="s">
        <v>3376</v>
      </c>
      <c r="F69" s="3613" t="s">
        <v>3377</v>
      </c>
      <c r="G69" s="3613" t="s">
        <v>3378</v>
      </c>
      <c r="H69" s="3582"/>
      <c r="I69" s="3582"/>
      <c r="J69" s="3582"/>
      <c r="K69" s="3583"/>
      <c r="L69" s="3584"/>
      <c r="M69" s="3585"/>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C70-$K20</f>
        <v>98</v>
      </c>
      <c r="E70" s="3587">
        <f>D70-$K20</f>
        <v>96</v>
      </c>
      <c r="F70" s="3587">
        <f>E70-$K20</f>
        <v>94</v>
      </c>
      <c r="G70" s="3587">
        <f>F70-$K20</f>
        <v>92</v>
      </c>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ht="15.75" thickTop="1">
      <c r="A71" s="3576"/>
      <c r="B71" s="3581" t="s">
        <v>3344</v>
      </c>
      <c r="C71" s="3596"/>
      <c r="D71" s="3596"/>
      <c r="E71" s="3596"/>
      <c r="F71" s="3596"/>
      <c r="G71" s="3596"/>
      <c r="H71" s="3618"/>
      <c r="I71" s="3618"/>
      <c r="J71" s="3618"/>
      <c r="K71" s="3619"/>
      <c r="L71" s="3620"/>
      <c r="M71" s="3621"/>
      <c r="N71" s="3574"/>
      <c r="O71" s="3574"/>
      <c r="P71" s="3575"/>
      <c r="Q71" s="3539"/>
      <c r="R71" s="3501"/>
      <c r="S71" s="3501"/>
      <c r="T71" s="3501"/>
      <c r="U71" s="3501"/>
      <c r="V71" s="3501"/>
      <c r="W71" s="3501"/>
      <c r="X71" s="3501"/>
      <c r="Y71" s="3501"/>
      <c r="Z71" s="3501"/>
      <c r="AA71" s="3501"/>
      <c r="AB71" s="3501"/>
      <c r="AC71" s="3501"/>
    </row>
    <row r="72" spans="1:29" ht="15.75" thickBot="1">
      <c r="A72" s="3576"/>
      <c r="B72" s="3586"/>
      <c r="C72" s="3587">
        <v>100</v>
      </c>
      <c r="D72" s="3587">
        <f>C72-$K22</f>
        <v>100</v>
      </c>
      <c r="E72" s="3587">
        <f>D72-$K22</f>
        <v>100</v>
      </c>
      <c r="F72" s="3587">
        <f>E72-$K22</f>
        <v>100</v>
      </c>
      <c r="G72" s="3587">
        <f>F72-$K22</f>
        <v>100</v>
      </c>
      <c r="H72" s="3587"/>
      <c r="I72" s="3587"/>
      <c r="J72" s="3587"/>
      <c r="K72" s="3587"/>
      <c r="L72" s="3587"/>
      <c r="M72" s="3588"/>
      <c r="N72" s="3580"/>
      <c r="O72" s="3580"/>
      <c r="P72" s="3575"/>
      <c r="Q72" s="3539"/>
      <c r="R72" s="3501"/>
      <c r="S72" s="3501"/>
      <c r="T72" s="3501"/>
      <c r="U72" s="3501"/>
      <c r="V72" s="3501"/>
      <c r="W72" s="3501"/>
      <c r="X72" s="3501"/>
      <c r="Y72" s="3501"/>
      <c r="Z72" s="3501"/>
      <c r="AA72" s="3501"/>
      <c r="AB72" s="3501"/>
      <c r="AC72" s="3501"/>
    </row>
    <row r="73" spans="1:29" s="3389" customFormat="1" ht="15.75" thickTop="1">
      <c r="A73" s="3622"/>
      <c r="B73" s="3581">
        <f>B23</f>
        <v>111</v>
      </c>
      <c r="C73" s="3590"/>
      <c r="D73" s="3590"/>
      <c r="E73" s="3590"/>
      <c r="F73" s="3590"/>
      <c r="G73" s="3596"/>
      <c r="H73" s="3596"/>
      <c r="I73" s="3596"/>
      <c r="J73" s="3596"/>
      <c r="K73" s="3596"/>
      <c r="L73" s="3623"/>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389" customFormat="1" ht="15.75" thickTop="1">
      <c r="A75" s="3622"/>
      <c r="B75" s="3581">
        <f>B24</f>
        <v>111</v>
      </c>
      <c r="C75" s="3590"/>
      <c r="D75" s="3590"/>
      <c r="E75" s="3590"/>
      <c r="F75" s="3590"/>
      <c r="G75" s="3596"/>
      <c r="H75" s="3596"/>
      <c r="I75" s="3596"/>
      <c r="J75" s="3596"/>
      <c r="K75" s="3596"/>
      <c r="L75" s="3596"/>
      <c r="M75" s="3624"/>
      <c r="N75" s="3565"/>
      <c r="O75" s="3565"/>
      <c r="P75" s="3575"/>
      <c r="Q75" s="3539"/>
      <c r="R75" s="3553"/>
      <c r="S75" s="3553"/>
      <c r="T75" s="3553"/>
      <c r="U75" s="3553"/>
      <c r="V75" s="3553"/>
      <c r="W75" s="3553"/>
      <c r="X75" s="3553"/>
      <c r="Y75" s="3553"/>
      <c r="Z75" s="3553"/>
      <c r="AA75" s="3553"/>
      <c r="AB75" s="3553"/>
      <c r="AC75" s="3553"/>
    </row>
    <row r="76" spans="1:29" s="3389" customFormat="1" ht="15.75" thickBot="1">
      <c r="A76" s="3622"/>
      <c r="B76" s="3586"/>
      <c r="C76" s="3594"/>
      <c r="D76" s="3578"/>
      <c r="E76" s="3578"/>
      <c r="F76" s="3578"/>
      <c r="G76" s="3578"/>
      <c r="H76" s="3578"/>
      <c r="I76" s="3578"/>
      <c r="J76" s="3578"/>
      <c r="K76" s="3578"/>
      <c r="L76" s="3578"/>
      <c r="M76" s="3579"/>
      <c r="N76" s="3580"/>
      <c r="O76" s="3580"/>
      <c r="P76" s="3575"/>
      <c r="Q76" s="3539"/>
      <c r="R76" s="3553"/>
      <c r="S76" s="3553"/>
      <c r="T76" s="3553"/>
      <c r="U76" s="3553"/>
      <c r="V76" s="3553"/>
      <c r="W76" s="3553"/>
      <c r="X76" s="3553"/>
      <c r="Y76" s="3553"/>
      <c r="Z76" s="3553"/>
      <c r="AA76" s="3553"/>
      <c r="AB76" s="3553"/>
      <c r="AC76" s="3553"/>
    </row>
    <row r="77" spans="1:29" s="3480" customFormat="1" ht="15.75" thickTop="1">
      <c r="A77" s="3595"/>
      <c r="B77" s="3581">
        <f>B25</f>
        <v>111</v>
      </c>
      <c r="C77" s="3596"/>
      <c r="D77" s="3596"/>
      <c r="E77" s="3596"/>
      <c r="F77" s="3596"/>
      <c r="G77" s="3596"/>
      <c r="H77" s="3597"/>
      <c r="I77" s="3597"/>
      <c r="J77" s="3597"/>
      <c r="K77" s="3597"/>
      <c r="L77" s="3598"/>
      <c r="M77" s="3599"/>
      <c r="N77" s="3600"/>
      <c r="O77" s="3600"/>
      <c r="P77" s="3601"/>
      <c r="Q77" s="3602"/>
      <c r="R77" s="3603"/>
      <c r="S77" s="3603"/>
      <c r="T77" s="3603"/>
      <c r="U77" s="3603"/>
      <c r="V77" s="3603"/>
      <c r="W77" s="3603"/>
      <c r="X77" s="3603"/>
      <c r="Y77" s="3603"/>
      <c r="Z77" s="3603"/>
      <c r="AA77" s="3603"/>
      <c r="AB77" s="3603"/>
      <c r="AC77" s="3603"/>
    </row>
    <row r="78" spans="1:29" s="3480" customFormat="1" ht="15.75" thickBot="1">
      <c r="A78" s="3595"/>
      <c r="B78" s="3586"/>
      <c r="C78" s="3594"/>
      <c r="D78" s="3594"/>
      <c r="E78" s="3594"/>
      <c r="F78" s="3594"/>
      <c r="G78" s="3578"/>
      <c r="H78" s="3578"/>
      <c r="I78" s="3578"/>
      <c r="J78" s="3578"/>
      <c r="K78" s="3578"/>
      <c r="L78" s="3578"/>
      <c r="M78" s="3579"/>
      <c r="N78" s="3600"/>
      <c r="O78" s="3600"/>
      <c r="P78" s="3601"/>
      <c r="Q78" s="3602"/>
      <c r="R78" s="3603"/>
      <c r="S78" s="3603"/>
      <c r="T78" s="3603"/>
      <c r="U78" s="3603"/>
      <c r="V78" s="3603"/>
      <c r="W78" s="3603"/>
      <c r="X78" s="3603"/>
      <c r="Y78" s="3603"/>
      <c r="Z78" s="3603"/>
      <c r="AA78" s="3603"/>
      <c r="AB78" s="3603"/>
      <c r="AC78" s="3603"/>
    </row>
    <row r="79" spans="1:29" ht="27.75" thickTop="1">
      <c r="A79" s="3567" t="s">
        <v>3384</v>
      </c>
      <c r="B79" s="3568" t="s">
        <v>3422</v>
      </c>
      <c r="C79" s="3569" t="str">
        <f>C26</f>
        <v>车库</v>
      </c>
      <c r="D79" s="3570"/>
      <c r="E79" s="3570"/>
      <c r="F79" s="3570"/>
      <c r="G79" s="3570"/>
      <c r="H79" s="3570"/>
      <c r="I79" s="3570"/>
      <c r="J79" s="3570"/>
      <c r="K79" s="3571"/>
      <c r="L79" s="3572"/>
      <c r="M79" s="3573"/>
      <c r="N79" s="3574"/>
      <c r="O79" s="3574"/>
      <c r="P79" s="3575"/>
      <c r="Q79" s="3539"/>
      <c r="R79" s="3501"/>
      <c r="S79" s="3501"/>
      <c r="T79" s="3501"/>
      <c r="U79" s="3501"/>
      <c r="V79" s="3501"/>
      <c r="W79" s="3501"/>
      <c r="X79" s="3501"/>
      <c r="Y79" s="3501"/>
      <c r="Z79" s="3501"/>
      <c r="AA79" s="3501"/>
      <c r="AB79" s="3501"/>
      <c r="AC79" s="3501"/>
    </row>
    <row r="80" spans="1:29" ht="15.75" thickBot="1">
      <c r="A80" s="3576"/>
      <c r="B80" s="3586"/>
      <c r="C80" s="3587">
        <v>100</v>
      </c>
      <c r="D80" s="3587">
        <f t="shared" ref="D80:M80" si="17">C80-$K26</f>
        <v>100</v>
      </c>
      <c r="E80" s="3587">
        <f t="shared" si="17"/>
        <v>100</v>
      </c>
      <c r="F80" s="3587">
        <f t="shared" si="17"/>
        <v>100</v>
      </c>
      <c r="G80" s="3587">
        <f t="shared" si="17"/>
        <v>100</v>
      </c>
      <c r="H80" s="3587">
        <f t="shared" si="17"/>
        <v>100</v>
      </c>
      <c r="I80" s="3587">
        <f t="shared" si="17"/>
        <v>100</v>
      </c>
      <c r="J80" s="3587">
        <f t="shared" si="17"/>
        <v>100</v>
      </c>
      <c r="K80" s="3587">
        <f t="shared" si="17"/>
        <v>100</v>
      </c>
      <c r="L80" s="3587">
        <f t="shared" si="17"/>
        <v>100</v>
      </c>
      <c r="M80" s="3588">
        <f t="shared" si="17"/>
        <v>100</v>
      </c>
      <c r="N80" s="3580"/>
      <c r="O80" s="3580"/>
      <c r="P80" s="3575"/>
      <c r="Q80" s="3539"/>
      <c r="R80" s="3501"/>
      <c r="S80" s="3501"/>
      <c r="T80" s="3501"/>
      <c r="U80" s="3501"/>
      <c r="V80" s="3501"/>
      <c r="W80" s="3501"/>
      <c r="X80" s="3501"/>
      <c r="Y80" s="3501"/>
      <c r="Z80" s="3501"/>
      <c r="AA80" s="3501"/>
      <c r="AB80" s="3501"/>
      <c r="AC80" s="3501"/>
    </row>
    <row r="81" spans="1:29" ht="15.75" thickTop="1">
      <c r="A81" s="3576"/>
      <c r="B81" s="3581" t="s">
        <v>3423</v>
      </c>
      <c r="C81" s="3672"/>
      <c r="D81" s="3672"/>
      <c r="E81" s="3672"/>
      <c r="F81" s="3672"/>
      <c r="G81" s="3672"/>
      <c r="H81" s="3672"/>
      <c r="I81" s="3672"/>
      <c r="J81" s="3672"/>
      <c r="K81" s="3673"/>
      <c r="L81" s="3674"/>
      <c r="M81" s="3675"/>
      <c r="N81" s="3565"/>
      <c r="O81" s="3565"/>
      <c r="P81" s="3575"/>
      <c r="Q81" s="3539"/>
      <c r="R81" s="3501"/>
      <c r="S81" s="3501"/>
      <c r="T81" s="3501"/>
      <c r="U81" s="3501"/>
      <c r="V81" s="3501"/>
      <c r="W81" s="3501"/>
      <c r="X81" s="3501"/>
      <c r="Y81" s="3501"/>
      <c r="Z81" s="3501"/>
      <c r="AA81" s="3501"/>
      <c r="AB81" s="3501"/>
      <c r="AC81" s="3501"/>
    </row>
    <row r="82" spans="1:29" s="3480" customFormat="1" ht="15.75" thickBot="1">
      <c r="A82" s="3595"/>
      <c r="B82" s="3586"/>
      <c r="C82" s="3594"/>
      <c r="D82" s="3578"/>
      <c r="E82" s="3578"/>
      <c r="F82" s="3578"/>
      <c r="G82" s="3578"/>
      <c r="H82" s="3578"/>
      <c r="I82" s="3578"/>
      <c r="J82" s="3578"/>
      <c r="K82" s="3578"/>
      <c r="L82" s="3578"/>
      <c r="M82" s="3579"/>
      <c r="N82" s="3580"/>
      <c r="O82" s="3580"/>
      <c r="P82" s="3601"/>
      <c r="Q82" s="3602"/>
      <c r="R82" s="3603"/>
      <c r="S82" s="3603"/>
      <c r="T82" s="3603"/>
      <c r="U82" s="3603"/>
      <c r="V82" s="3603"/>
      <c r="W82" s="3603"/>
      <c r="X82" s="3603"/>
      <c r="Y82" s="3603"/>
      <c r="Z82" s="3603"/>
      <c r="AA82" s="3603"/>
      <c r="AB82" s="3603"/>
      <c r="AC82" s="3603"/>
    </row>
    <row r="83" spans="1:29" ht="15" thickTop="1">
      <c r="A83" s="3632"/>
      <c r="B83" s="3581" t="s">
        <v>3346</v>
      </c>
      <c r="C83" s="3625" t="s">
        <v>3385</v>
      </c>
      <c r="D83" s="3625" t="s">
        <v>3386</v>
      </c>
      <c r="E83" s="3625" t="s">
        <v>3387</v>
      </c>
      <c r="F83" s="3626" t="s">
        <v>3388</v>
      </c>
      <c r="G83" s="3618"/>
      <c r="H83" s="3618"/>
      <c r="I83" s="3618"/>
      <c r="J83" s="3618"/>
      <c r="K83" s="3619"/>
      <c r="L83" s="3620"/>
      <c r="M83" s="3621"/>
      <c r="N83" s="3574"/>
      <c r="O83" s="3574"/>
      <c r="P83" s="3575"/>
      <c r="Q83" s="3539"/>
      <c r="R83" s="3501"/>
      <c r="S83" s="3501"/>
      <c r="T83" s="3501"/>
      <c r="U83" s="3501"/>
      <c r="V83" s="3501"/>
      <c r="W83" s="3501"/>
      <c r="X83" s="3501"/>
      <c r="Y83" s="3501"/>
      <c r="Z83" s="3501"/>
      <c r="AA83" s="3501"/>
      <c r="AB83" s="3501"/>
      <c r="AC83" s="3501"/>
    </row>
    <row r="84" spans="1:29" ht="15.75" thickBot="1">
      <c r="A84" s="3576"/>
      <c r="B84" s="3586"/>
      <c r="C84" s="3587">
        <v>100</v>
      </c>
      <c r="D84" s="3587">
        <f t="shared" ref="D84:M84" si="18">C84-$K28</f>
        <v>99</v>
      </c>
      <c r="E84" s="3587">
        <f t="shared" si="18"/>
        <v>98</v>
      </c>
      <c r="F84" s="3587">
        <f t="shared" si="18"/>
        <v>97</v>
      </c>
      <c r="G84" s="3587">
        <f t="shared" si="18"/>
        <v>96</v>
      </c>
      <c r="H84" s="3587">
        <f t="shared" si="18"/>
        <v>95</v>
      </c>
      <c r="I84" s="3587">
        <f t="shared" si="18"/>
        <v>94</v>
      </c>
      <c r="J84" s="3587">
        <f t="shared" si="18"/>
        <v>93</v>
      </c>
      <c r="K84" s="3587">
        <f t="shared" si="18"/>
        <v>92</v>
      </c>
      <c r="L84" s="3587">
        <f t="shared" si="18"/>
        <v>91</v>
      </c>
      <c r="M84" s="3588">
        <f t="shared" si="18"/>
        <v>90</v>
      </c>
      <c r="N84" s="3580"/>
      <c r="O84" s="3580"/>
      <c r="P84" s="3575"/>
      <c r="Q84" s="3539"/>
      <c r="R84" s="3501"/>
      <c r="S84" s="3501"/>
      <c r="T84" s="3501"/>
      <c r="U84" s="3501"/>
      <c r="V84" s="3501"/>
      <c r="W84" s="3501"/>
      <c r="X84" s="3501"/>
      <c r="Y84" s="3501"/>
      <c r="Z84" s="3501"/>
      <c r="AA84" s="3501"/>
      <c r="AB84" s="3501"/>
      <c r="AC84" s="3501"/>
    </row>
    <row r="85" spans="1:29" ht="15" thickTop="1">
      <c r="A85" s="3632"/>
      <c r="B85" s="3581" t="s">
        <v>3348</v>
      </c>
      <c r="C85" s="3613" t="str">
        <f>C86&amp;"(含)"&amp;"-"&amp;D86</f>
        <v>0.5(含)-0.6</v>
      </c>
      <c r="D85" s="3613" t="str">
        <f>D86&amp;"(含)"&amp;"-"&amp;E86</f>
        <v>0.6(含)-0.7</v>
      </c>
      <c r="E85" s="3613" t="str">
        <f>E86&amp;"(含)"&amp;"-"&amp;F86</f>
        <v>0.7(含)-0.8</v>
      </c>
      <c r="F85" s="3613" t="str">
        <f>F86&amp;"(含)"&amp;"-"&amp;G86</f>
        <v>0.8(含)-0.9</v>
      </c>
      <c r="G85" s="3613" t="str">
        <f>G86&amp;"(含)"&amp;"-"&amp;ROUND(H86,0)</f>
        <v>0.9(含)-1</v>
      </c>
      <c r="H85" s="3613"/>
      <c r="I85" s="3618"/>
      <c r="J85" s="3618"/>
      <c r="K85" s="3619"/>
      <c r="L85" s="3620"/>
      <c r="M85" s="3621"/>
      <c r="N85" s="3574"/>
      <c r="O85" s="3574"/>
      <c r="P85" s="3575"/>
      <c r="Q85" s="3539"/>
      <c r="R85" s="3501"/>
      <c r="S85" s="3501"/>
      <c r="T85" s="3501"/>
      <c r="U85" s="3501"/>
      <c r="V85" s="3501"/>
      <c r="W85" s="3501"/>
      <c r="X85" s="3501"/>
      <c r="Y85" s="3501"/>
      <c r="Z85" s="3501"/>
      <c r="AA85" s="3501"/>
      <c r="AB85" s="3501"/>
      <c r="AC85" s="3501"/>
    </row>
    <row r="86" spans="1:29">
      <c r="A86" s="3632"/>
      <c r="B86" s="3617"/>
      <c r="C86" s="3627">
        <v>0.5</v>
      </c>
      <c r="D86" s="3627">
        <v>0.6</v>
      </c>
      <c r="E86" s="3627">
        <v>0.7</v>
      </c>
      <c r="F86" s="3627">
        <v>0.8</v>
      </c>
      <c r="G86" s="3627">
        <v>0.9</v>
      </c>
      <c r="H86" s="3627">
        <v>1.0001</v>
      </c>
      <c r="I86" s="3676"/>
      <c r="J86" s="3676"/>
      <c r="K86" s="3677"/>
      <c r="L86" s="3678"/>
      <c r="M86" s="3679"/>
      <c r="N86" s="3574"/>
      <c r="O86" s="3574"/>
      <c r="P86" s="3575"/>
      <c r="Q86" s="3539"/>
      <c r="R86" s="3501"/>
      <c r="S86" s="3501"/>
      <c r="T86" s="3501"/>
      <c r="U86" s="3501"/>
      <c r="V86" s="3501"/>
      <c r="W86" s="3501"/>
      <c r="X86" s="3501"/>
      <c r="Y86" s="3501"/>
      <c r="Z86" s="3501"/>
      <c r="AA86" s="3501"/>
      <c r="AB86" s="3501"/>
      <c r="AC86" s="3501"/>
    </row>
    <row r="87" spans="1:29" ht="15.75" thickBot="1">
      <c r="A87" s="3576"/>
      <c r="B87" s="3586"/>
      <c r="C87" s="3631">
        <v>100</v>
      </c>
      <c r="D87" s="3587">
        <f>C87+$K$29</f>
        <v>101</v>
      </c>
      <c r="E87" s="3587">
        <f t="shared" ref="E87:M87" si="19">D87+$K$29</f>
        <v>102</v>
      </c>
      <c r="F87" s="3587">
        <f t="shared" si="19"/>
        <v>103</v>
      </c>
      <c r="G87" s="3587">
        <f t="shared" si="19"/>
        <v>104</v>
      </c>
      <c r="H87" s="3587">
        <f t="shared" si="19"/>
        <v>105</v>
      </c>
      <c r="I87" s="3587">
        <f t="shared" si="19"/>
        <v>106</v>
      </c>
      <c r="J87" s="3587">
        <f t="shared" si="19"/>
        <v>107</v>
      </c>
      <c r="K87" s="3587">
        <f t="shared" si="19"/>
        <v>108</v>
      </c>
      <c r="L87" s="3587">
        <f t="shared" si="19"/>
        <v>109</v>
      </c>
      <c r="M87" s="3587">
        <f t="shared" si="19"/>
        <v>110</v>
      </c>
      <c r="N87" s="3580"/>
      <c r="O87" s="3580"/>
      <c r="P87" s="3575"/>
      <c r="Q87" s="3539"/>
      <c r="R87" s="3501"/>
      <c r="S87" s="3501"/>
      <c r="T87" s="3501"/>
      <c r="U87" s="3501"/>
      <c r="V87" s="3501"/>
      <c r="W87" s="3501"/>
      <c r="X87" s="3501"/>
      <c r="Y87" s="3501"/>
      <c r="Z87" s="3501"/>
      <c r="AA87" s="3501"/>
      <c r="AB87" s="3501"/>
      <c r="AC87" s="3501"/>
    </row>
    <row r="88" spans="1:29" ht="15" thickTop="1">
      <c r="A88" s="3632"/>
      <c r="B88" s="3617" t="s">
        <v>3349</v>
      </c>
      <c r="C88" s="3680" t="s">
        <v>3389</v>
      </c>
      <c r="D88" s="3570"/>
      <c r="E88" s="3570"/>
      <c r="F88" s="3570"/>
      <c r="G88" s="3570"/>
      <c r="H88" s="3570"/>
      <c r="I88" s="3570"/>
      <c r="J88" s="3570"/>
      <c r="K88" s="3571"/>
      <c r="L88" s="3572"/>
      <c r="M88" s="3573"/>
      <c r="N88" s="3574"/>
      <c r="O88" s="3574"/>
      <c r="P88" s="3575"/>
      <c r="Q88" s="3539"/>
      <c r="R88" s="3501"/>
      <c r="S88" s="3501"/>
      <c r="T88" s="3501"/>
      <c r="U88" s="3501"/>
      <c r="V88" s="3501"/>
      <c r="W88" s="3501"/>
      <c r="X88" s="3501"/>
      <c r="Y88" s="3501"/>
      <c r="Z88" s="3501"/>
      <c r="AA88" s="3501"/>
      <c r="AB88" s="3501"/>
      <c r="AC88" s="3501"/>
    </row>
    <row r="89" spans="1:29" ht="15.75" thickBot="1">
      <c r="A89" s="3576"/>
      <c r="B89" s="3586"/>
      <c r="C89" s="3631">
        <v>100</v>
      </c>
      <c r="D89" s="3587">
        <f t="shared" ref="D89:M89" si="20">C89+$K30</f>
        <v>102</v>
      </c>
      <c r="E89" s="3587">
        <f t="shared" si="20"/>
        <v>104</v>
      </c>
      <c r="F89" s="3587">
        <f t="shared" si="20"/>
        <v>106</v>
      </c>
      <c r="G89" s="3587">
        <f t="shared" si="20"/>
        <v>108</v>
      </c>
      <c r="H89" s="3587">
        <f t="shared" si="20"/>
        <v>110</v>
      </c>
      <c r="I89" s="3587">
        <f t="shared" si="20"/>
        <v>112</v>
      </c>
      <c r="J89" s="3587">
        <f t="shared" si="20"/>
        <v>114</v>
      </c>
      <c r="K89" s="3587">
        <f t="shared" si="20"/>
        <v>116</v>
      </c>
      <c r="L89" s="3587">
        <f t="shared" si="20"/>
        <v>118</v>
      </c>
      <c r="M89" s="3587">
        <f t="shared" si="20"/>
        <v>120</v>
      </c>
      <c r="N89" s="3580"/>
      <c r="O89" s="3580"/>
      <c r="P89" s="3575"/>
      <c r="Q89" s="3539"/>
      <c r="R89" s="3501"/>
      <c r="S89" s="3501"/>
      <c r="T89" s="3501"/>
      <c r="U89" s="3501"/>
      <c r="V89" s="3501"/>
      <c r="W89" s="3501"/>
      <c r="X89" s="3501"/>
      <c r="Y89" s="3501"/>
      <c r="Z89" s="3501"/>
      <c r="AA89" s="3501"/>
      <c r="AB89" s="3501"/>
      <c r="AC89" s="3501"/>
    </row>
    <row r="90" spans="1:29" s="3480" customFormat="1" ht="15" thickTop="1">
      <c r="A90" s="3638"/>
      <c r="B90" s="3581" t="s">
        <v>3401</v>
      </c>
      <c r="C90" s="3613" t="str">
        <f>C91&amp;"(含)"&amp;"-"&amp;D91</f>
        <v>0(含)-30</v>
      </c>
      <c r="D90" s="3613" t="str">
        <f t="shared" ref="D90:L90" si="21">D91&amp;"(含)"&amp;"-"&amp;E91</f>
        <v>30(含)-40</v>
      </c>
      <c r="E90" s="3613" t="str">
        <f t="shared" si="21"/>
        <v>40(含)-</v>
      </c>
      <c r="F90" s="3613" t="str">
        <f t="shared" si="21"/>
        <v>(含)-</v>
      </c>
      <c r="G90" s="3613" t="str">
        <f t="shared" si="21"/>
        <v>(含)-</v>
      </c>
      <c r="H90" s="3613" t="str">
        <f t="shared" si="21"/>
        <v>(含)-</v>
      </c>
      <c r="I90" s="3613" t="str">
        <f t="shared" si="21"/>
        <v>(含)-</v>
      </c>
      <c r="J90" s="3613" t="str">
        <f t="shared" si="21"/>
        <v>(含)-</v>
      </c>
      <c r="K90" s="3613" t="str">
        <f t="shared" si="21"/>
        <v>(含)-</v>
      </c>
      <c r="L90" s="3613" t="str">
        <f t="shared" si="21"/>
        <v>(含)-</v>
      </c>
      <c r="M90" s="3633" t="str">
        <f>M91&amp;"(含)"&amp;"-"&amp;P91</f>
        <v>(含)-</v>
      </c>
      <c r="N90" s="3600"/>
      <c r="O90" s="3600"/>
      <c r="P90" s="3601"/>
      <c r="Q90" s="3602"/>
      <c r="R90" s="3603"/>
      <c r="S90" s="3603"/>
      <c r="T90" s="3603"/>
      <c r="U90" s="3603"/>
      <c r="V90" s="3603"/>
      <c r="W90" s="3603"/>
      <c r="X90" s="3603"/>
      <c r="Y90" s="3603"/>
      <c r="Z90" s="3603"/>
      <c r="AA90" s="3603"/>
      <c r="AB90" s="3603"/>
      <c r="AC90" s="3603"/>
    </row>
    <row r="91" spans="1:29" s="3480" customFormat="1">
      <c r="A91" s="3638"/>
      <c r="B91" s="3617"/>
      <c r="C91" s="3634">
        <v>0</v>
      </c>
      <c r="D91" s="3634">
        <v>30</v>
      </c>
      <c r="E91" s="3634">
        <v>40</v>
      </c>
      <c r="F91" s="3634"/>
      <c r="G91" s="3634"/>
      <c r="H91" s="3634"/>
      <c r="I91" s="3634"/>
      <c r="J91" s="3635"/>
      <c r="K91" s="3635"/>
      <c r="L91" s="3636"/>
      <c r="M91" s="3637"/>
      <c r="N91" s="3600"/>
      <c r="O91" s="3600"/>
      <c r="P91" s="3601"/>
      <c r="Q91" s="3602"/>
      <c r="R91" s="3603"/>
      <c r="S91" s="3603"/>
      <c r="T91" s="3603"/>
      <c r="U91" s="3603"/>
      <c r="V91" s="3603"/>
      <c r="W91" s="3603"/>
      <c r="X91" s="3603"/>
      <c r="Y91" s="3603"/>
      <c r="Z91" s="3603"/>
      <c r="AA91" s="3603"/>
      <c r="AB91" s="3603"/>
      <c r="AC91" s="3603"/>
    </row>
    <row r="92" spans="1:29" s="3480" customFormat="1" ht="15.75" thickBot="1">
      <c r="A92" s="3595"/>
      <c r="B92" s="3586"/>
      <c r="C92" s="3594">
        <v>100</v>
      </c>
      <c r="D92" s="3578">
        <f>C92+1</f>
        <v>101</v>
      </c>
      <c r="E92" s="3578">
        <f>D92+1</f>
        <v>102</v>
      </c>
      <c r="F92" s="3578"/>
      <c r="G92" s="3578"/>
      <c r="H92" s="3578"/>
      <c r="I92" s="3578"/>
      <c r="J92" s="3578"/>
      <c r="K92" s="3578"/>
      <c r="L92" s="3578"/>
      <c r="M92" s="3579"/>
      <c r="N92" s="3600"/>
      <c r="O92" s="3600"/>
      <c r="P92" s="3601"/>
      <c r="Q92" s="3602"/>
      <c r="R92" s="3603"/>
      <c r="S92" s="3603"/>
      <c r="T92" s="3603"/>
      <c r="U92" s="3603"/>
      <c r="V92" s="3603"/>
      <c r="W92" s="3603"/>
      <c r="X92" s="3603"/>
      <c r="Y92" s="3603"/>
      <c r="Z92" s="3603"/>
      <c r="AA92" s="3603"/>
      <c r="AB92" s="3603"/>
      <c r="AC92" s="3603"/>
    </row>
    <row r="93" spans="1:29" ht="15" thickTop="1">
      <c r="A93" s="3632"/>
      <c r="B93" s="3581" t="s">
        <v>3402</v>
      </c>
      <c r="C93" s="3625" t="s">
        <v>3424</v>
      </c>
      <c r="D93" s="3596"/>
      <c r="E93" s="3618"/>
      <c r="F93" s="3618"/>
      <c r="G93" s="3618"/>
      <c r="H93" s="3618"/>
      <c r="I93" s="3618"/>
      <c r="J93" s="3618"/>
      <c r="K93" s="3619"/>
      <c r="L93" s="3620"/>
      <c r="M93" s="3621"/>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87">
        <v>100</v>
      </c>
      <c r="D94" s="3587">
        <f t="shared" ref="D94:M94" si="22">C94-$K32</f>
        <v>98</v>
      </c>
      <c r="E94" s="3587">
        <f t="shared" si="22"/>
        <v>96</v>
      </c>
      <c r="F94" s="3587">
        <f t="shared" si="22"/>
        <v>94</v>
      </c>
      <c r="G94" s="3587">
        <f t="shared" si="22"/>
        <v>92</v>
      </c>
      <c r="H94" s="3587">
        <f t="shared" si="22"/>
        <v>90</v>
      </c>
      <c r="I94" s="3587">
        <f t="shared" si="22"/>
        <v>88</v>
      </c>
      <c r="J94" s="3587">
        <f t="shared" si="22"/>
        <v>86</v>
      </c>
      <c r="K94" s="3587">
        <f t="shared" si="22"/>
        <v>84</v>
      </c>
      <c r="L94" s="3587">
        <f t="shared" si="22"/>
        <v>82</v>
      </c>
      <c r="M94" s="3588">
        <f t="shared" si="22"/>
        <v>80</v>
      </c>
      <c r="N94" s="3580"/>
      <c r="O94" s="3580"/>
      <c r="P94" s="3575"/>
      <c r="Q94" s="3539"/>
      <c r="R94" s="3501"/>
      <c r="S94" s="3501"/>
      <c r="T94" s="3501"/>
      <c r="U94" s="3501"/>
      <c r="V94" s="3501"/>
      <c r="W94" s="3501"/>
      <c r="X94" s="3501"/>
      <c r="Y94" s="3501"/>
      <c r="Z94" s="3501"/>
      <c r="AA94" s="3501"/>
      <c r="AB94" s="3501"/>
      <c r="AC94" s="3501"/>
    </row>
    <row r="95" spans="1:29" ht="15" thickTop="1">
      <c r="A95" s="3632"/>
      <c r="B95" s="3581" t="s">
        <v>3404</v>
      </c>
      <c r="C95" s="3570"/>
      <c r="D95" s="3570"/>
      <c r="E95" s="3570"/>
      <c r="F95" s="3570"/>
      <c r="G95" s="3570"/>
      <c r="H95" s="3570"/>
      <c r="I95" s="3570"/>
      <c r="J95" s="3570"/>
      <c r="K95" s="3571"/>
      <c r="L95" s="3572"/>
      <c r="M95" s="3573"/>
      <c r="N95" s="3574"/>
      <c r="O95" s="3574"/>
      <c r="P95" s="3575"/>
      <c r="Q95" s="3539"/>
      <c r="R95" s="3501"/>
      <c r="S95" s="3501"/>
      <c r="T95" s="3501"/>
      <c r="U95" s="3501"/>
      <c r="V95" s="3501"/>
      <c r="W95" s="3501"/>
      <c r="X95" s="3501"/>
      <c r="Y95" s="3501"/>
      <c r="Z95" s="3501"/>
      <c r="AA95" s="3501"/>
      <c r="AB95" s="3501"/>
      <c r="AC95" s="3501"/>
    </row>
    <row r="96" spans="1:29" ht="15.75" thickBot="1">
      <c r="A96" s="3576"/>
      <c r="B96" s="3586"/>
      <c r="C96" s="3587">
        <v>100</v>
      </c>
      <c r="D96" s="3587">
        <f>C96-$K33</f>
        <v>100</v>
      </c>
      <c r="E96" s="3587">
        <f>D96-$K33</f>
        <v>100</v>
      </c>
      <c r="F96" s="3587">
        <f>E96-$K33</f>
        <v>100</v>
      </c>
      <c r="G96" s="3587">
        <f>F96-$K33</f>
        <v>100</v>
      </c>
      <c r="H96" s="3587"/>
      <c r="I96" s="3587"/>
      <c r="J96" s="3587"/>
      <c r="K96" s="3587"/>
      <c r="L96" s="3587"/>
      <c r="M96" s="3588"/>
      <c r="N96" s="3580"/>
      <c r="O96" s="3580"/>
      <c r="P96" s="3575"/>
      <c r="Q96" s="3539"/>
      <c r="R96" s="3501"/>
      <c r="S96" s="3501"/>
      <c r="T96" s="3501"/>
      <c r="U96" s="3501"/>
      <c r="V96" s="3501"/>
      <c r="W96" s="3501"/>
      <c r="X96" s="3501"/>
      <c r="Y96" s="3501"/>
      <c r="Z96" s="3501"/>
      <c r="AA96" s="3501"/>
      <c r="AB96" s="3501"/>
      <c r="AC96" s="3501"/>
    </row>
    <row r="97" spans="1:29" ht="15" thickTop="1">
      <c r="A97" s="3632"/>
      <c r="B97" s="3639">
        <f>B34</f>
        <v>111</v>
      </c>
      <c r="C97" s="3590"/>
      <c r="D97" s="3590"/>
      <c r="E97" s="3590"/>
      <c r="F97" s="3590"/>
      <c r="G97" s="3596"/>
      <c r="H97" s="3597"/>
      <c r="I97" s="3597"/>
      <c r="J97" s="3597"/>
      <c r="K97" s="3597"/>
      <c r="L97" s="3598"/>
      <c r="M97" s="3599"/>
      <c r="N97" s="3580"/>
      <c r="O97" s="3580"/>
      <c r="P97" s="3640"/>
      <c r="Q97" s="3641"/>
      <c r="R97" s="3501"/>
      <c r="S97" s="3501"/>
      <c r="T97" s="3501"/>
      <c r="U97" s="3501"/>
      <c r="V97" s="3501"/>
      <c r="W97" s="3501"/>
      <c r="X97" s="3501"/>
      <c r="Y97" s="3501"/>
      <c r="Z97" s="3501"/>
      <c r="AA97" s="3501"/>
      <c r="AB97" s="3501"/>
      <c r="AC97" s="3501"/>
    </row>
    <row r="98" spans="1:29" ht="15.75" thickBot="1">
      <c r="A98" s="3576"/>
      <c r="B98" s="3586"/>
      <c r="C98" s="3594"/>
      <c r="D98" s="3578"/>
      <c r="E98" s="3578"/>
      <c r="F98" s="3578"/>
      <c r="G98" s="3594"/>
      <c r="H98" s="3605"/>
      <c r="I98" s="3605"/>
      <c r="J98" s="3605"/>
      <c r="K98" s="3605"/>
      <c r="L98" s="3605"/>
      <c r="M98" s="3606"/>
      <c r="N98" s="3580"/>
      <c r="O98" s="3580"/>
      <c r="P98" s="3575"/>
      <c r="Q98" s="3539"/>
      <c r="R98" s="3501"/>
      <c r="S98" s="3501"/>
      <c r="T98" s="3501"/>
      <c r="U98" s="3501"/>
      <c r="V98" s="3501"/>
      <c r="W98" s="3501"/>
      <c r="X98" s="3501"/>
      <c r="Y98" s="3501"/>
      <c r="Z98" s="3501"/>
      <c r="AA98" s="3501"/>
      <c r="AB98" s="3501"/>
      <c r="AC98" s="3501"/>
    </row>
    <row r="99" spans="1:29" s="3480" customFormat="1" ht="15" thickTop="1">
      <c r="A99" s="3638"/>
      <c r="B99" s="3581">
        <f>B35</f>
        <v>111</v>
      </c>
      <c r="C99" s="3590"/>
      <c r="D99" s="3590"/>
      <c r="E99" s="3590"/>
      <c r="F99" s="3590"/>
      <c r="G99" s="3596"/>
      <c r="H99" s="3597"/>
      <c r="I99" s="3597"/>
      <c r="J99" s="3597"/>
      <c r="K99" s="3597"/>
      <c r="L99" s="3598"/>
      <c r="M99" s="3599"/>
      <c r="N99" s="3600"/>
      <c r="O99" s="3600"/>
      <c r="P99" s="3601"/>
      <c r="Q99" s="3602"/>
      <c r="R99" s="3603"/>
      <c r="S99" s="3603"/>
      <c r="T99" s="3603"/>
      <c r="U99" s="3603"/>
      <c r="V99" s="3603"/>
      <c r="W99" s="3603"/>
      <c r="X99" s="3603"/>
      <c r="Y99" s="3603"/>
      <c r="Z99" s="3603"/>
      <c r="AA99" s="3603"/>
      <c r="AB99" s="3603"/>
      <c r="AC99" s="3603"/>
    </row>
    <row r="100" spans="1:29" s="3480" customFormat="1" ht="15.75" thickBot="1">
      <c r="A100" s="3595"/>
      <c r="B100" s="3577"/>
      <c r="C100" s="3594"/>
      <c r="D100" s="3578"/>
      <c r="E100" s="3578"/>
      <c r="F100" s="3578"/>
      <c r="G100" s="3594"/>
      <c r="H100" s="3605"/>
      <c r="I100" s="3605"/>
      <c r="J100" s="3605"/>
      <c r="K100" s="3605"/>
      <c r="L100" s="3605"/>
      <c r="M100" s="3606"/>
      <c r="N100" s="3600"/>
      <c r="O100" s="3600"/>
      <c r="P100" s="3601"/>
      <c r="Q100" s="3602"/>
      <c r="R100" s="3603"/>
      <c r="S100" s="3603"/>
      <c r="T100" s="3603"/>
      <c r="U100" s="3603"/>
      <c r="V100" s="3603"/>
      <c r="W100" s="3603"/>
      <c r="X100" s="3603"/>
      <c r="Y100" s="3603"/>
      <c r="Z100" s="3603"/>
      <c r="AA100" s="3603"/>
      <c r="AB100" s="3603"/>
      <c r="AC100" s="3603"/>
    </row>
    <row r="101" spans="1:29" ht="15" thickTop="1">
      <c r="A101" s="3632"/>
      <c r="B101" s="3581">
        <f>B36</f>
        <v>111</v>
      </c>
      <c r="C101" s="3596"/>
      <c r="D101" s="3596"/>
      <c r="E101" s="3596"/>
      <c r="F101" s="3596"/>
      <c r="G101" s="3596"/>
      <c r="H101" s="3597"/>
      <c r="I101" s="3597"/>
      <c r="J101" s="3597"/>
      <c r="K101" s="3597"/>
      <c r="L101" s="3598"/>
      <c r="M101" s="3599"/>
      <c r="N101" s="3574"/>
      <c r="O101" s="3574"/>
      <c r="P101" s="3575"/>
      <c r="Q101" s="3539"/>
      <c r="R101" s="3501"/>
      <c r="S101" s="3501"/>
      <c r="T101" s="3501"/>
      <c r="U101" s="3501"/>
      <c r="V101" s="3501"/>
      <c r="W101" s="3501"/>
      <c r="X101" s="3501"/>
      <c r="Y101" s="3501"/>
      <c r="Z101" s="3501"/>
      <c r="AA101" s="3501"/>
      <c r="AB101" s="3501"/>
      <c r="AC101" s="3501"/>
    </row>
    <row r="102" spans="1:29" ht="15.75" thickBot="1">
      <c r="A102" s="3576"/>
      <c r="B102" s="3586"/>
      <c r="C102" s="3594"/>
      <c r="D102" s="3594"/>
      <c r="E102" s="3594"/>
      <c r="F102" s="3594"/>
      <c r="G102" s="3594"/>
      <c r="H102" s="3605"/>
      <c r="I102" s="3605"/>
      <c r="J102" s="3605"/>
      <c r="K102" s="3605"/>
      <c r="L102" s="3605"/>
      <c r="M102" s="3606"/>
      <c r="N102" s="3580"/>
      <c r="O102" s="3580"/>
      <c r="P102" s="3575"/>
      <c r="Q102" s="3539"/>
      <c r="R102" s="3501"/>
      <c r="S102" s="3501"/>
      <c r="T102" s="3501"/>
      <c r="U102" s="3501"/>
      <c r="V102" s="3501"/>
      <c r="W102" s="3501"/>
      <c r="X102" s="3501"/>
      <c r="Y102" s="3501"/>
      <c r="Z102" s="3501"/>
      <c r="AA102" s="3501"/>
      <c r="AB102" s="3501"/>
      <c r="AC102" s="3501"/>
    </row>
    <row r="103" spans="1:29" ht="15" thickTop="1">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row r="210" spans="1:29">
      <c r="A210" s="3642"/>
      <c r="B210" s="3642"/>
      <c r="C210" s="3642"/>
      <c r="D210" s="3642"/>
      <c r="E210" s="3642"/>
      <c r="F210" s="3642"/>
      <c r="G210" s="3642"/>
      <c r="H210" s="3642"/>
      <c r="I210" s="3642"/>
      <c r="J210" s="3642"/>
      <c r="K210" s="3643"/>
      <c r="L210" s="3644"/>
      <c r="M210" s="3642"/>
      <c r="N210" s="3642"/>
      <c r="O210" s="3642"/>
      <c r="P210" s="3642"/>
      <c r="Q210" s="3642"/>
      <c r="R210" s="3642"/>
      <c r="S210" s="3642"/>
      <c r="T210" s="3642"/>
      <c r="U210" s="3642"/>
      <c r="V210" s="3642"/>
      <c r="W210" s="3642"/>
      <c r="X210" s="3642"/>
      <c r="Y210" s="3642"/>
      <c r="Z210" s="3642"/>
      <c r="AA210" s="3642"/>
      <c r="AB210" s="3642"/>
      <c r="AC210" s="3642"/>
    </row>
    <row r="211" spans="1:29">
      <c r="A211" s="3642"/>
      <c r="B211" s="3642"/>
      <c r="C211" s="3642"/>
      <c r="D211" s="3642"/>
      <c r="E211" s="3642"/>
      <c r="F211" s="3642"/>
      <c r="G211" s="3642"/>
      <c r="H211" s="3642"/>
      <c r="I211" s="3642"/>
      <c r="J211" s="3642"/>
      <c r="K211" s="3643"/>
      <c r="L211" s="3644"/>
      <c r="M211" s="3642"/>
      <c r="N211" s="3642"/>
      <c r="O211" s="3642"/>
      <c r="P211" s="3642"/>
      <c r="Q211" s="3642"/>
      <c r="R211" s="3642"/>
      <c r="S211" s="3642"/>
      <c r="T211" s="3642"/>
      <c r="U211" s="3642"/>
      <c r="V211" s="3642"/>
      <c r="W211" s="3642"/>
      <c r="X211" s="3642"/>
      <c r="Y211" s="3642"/>
      <c r="Z211" s="3642"/>
      <c r="AA211" s="3642"/>
      <c r="AB211" s="3642"/>
      <c r="AC211" s="3642"/>
    </row>
    <row r="212" spans="1:29">
      <c r="A212" s="3642"/>
      <c r="B212" s="3642"/>
      <c r="C212" s="3642"/>
      <c r="D212" s="3642"/>
      <c r="E212" s="3642"/>
      <c r="F212" s="3642"/>
      <c r="G212" s="3642"/>
      <c r="H212" s="3642"/>
      <c r="I212" s="3642"/>
      <c r="J212" s="3642"/>
      <c r="K212" s="3643"/>
      <c r="L212" s="3644"/>
      <c r="M212" s="3642"/>
      <c r="N212" s="3642"/>
      <c r="O212" s="3642"/>
      <c r="P212" s="3642"/>
      <c r="Q212" s="3642"/>
      <c r="R212" s="3642"/>
      <c r="S212" s="3642"/>
      <c r="T212" s="3642"/>
      <c r="U212" s="3642"/>
      <c r="V212" s="3642"/>
      <c r="W212" s="3642"/>
      <c r="X212" s="3642"/>
      <c r="Y212" s="3642"/>
      <c r="Z212" s="3642"/>
      <c r="AA212" s="3642"/>
      <c r="AB212" s="3642"/>
      <c r="AC212" s="3642"/>
    </row>
    <row r="213" spans="1:29">
      <c r="A213" s="3642"/>
      <c r="B213" s="3642"/>
      <c r="C213" s="3642"/>
      <c r="D213" s="3642"/>
      <c r="E213" s="3642"/>
      <c r="F213" s="3642"/>
      <c r="G213" s="3642"/>
      <c r="H213" s="3642"/>
      <c r="I213" s="3642"/>
      <c r="J213" s="3642"/>
      <c r="K213" s="3643"/>
      <c r="L213" s="3644"/>
      <c r="M213" s="3642"/>
      <c r="N213" s="3642"/>
      <c r="O213" s="3642"/>
      <c r="P213" s="3642"/>
      <c r="Q213" s="3642"/>
      <c r="R213" s="3642"/>
      <c r="S213" s="3642"/>
      <c r="T213" s="3642"/>
      <c r="U213" s="3642"/>
      <c r="V213" s="3642"/>
      <c r="W213" s="3642"/>
      <c r="X213" s="3642"/>
      <c r="Y213" s="3642"/>
      <c r="Z213" s="3642"/>
      <c r="AA213" s="3642"/>
      <c r="AB213" s="3642"/>
      <c r="AC213" s="3642"/>
    </row>
    <row r="214" spans="1:29">
      <c r="A214" s="3642"/>
      <c r="B214" s="3642"/>
      <c r="C214" s="3642"/>
      <c r="D214" s="3642"/>
      <c r="E214" s="3642"/>
      <c r="F214" s="3642"/>
      <c r="G214" s="3642"/>
      <c r="H214" s="3642"/>
      <c r="I214" s="3642"/>
      <c r="J214" s="3642"/>
      <c r="K214" s="3643"/>
      <c r="L214" s="3644"/>
      <c r="M214" s="3642"/>
      <c r="N214" s="3642"/>
      <c r="O214" s="3642"/>
      <c r="P214" s="3642"/>
      <c r="Q214" s="3642"/>
      <c r="R214" s="3642"/>
      <c r="S214" s="3642"/>
      <c r="T214" s="3642"/>
      <c r="U214" s="3642"/>
      <c r="V214" s="3642"/>
      <c r="W214" s="3642"/>
      <c r="X214" s="3642"/>
      <c r="Y214" s="3642"/>
      <c r="Z214" s="3642"/>
      <c r="AA214" s="3642"/>
      <c r="AB214" s="3642"/>
      <c r="AC214" s="3642"/>
    </row>
    <row r="215" spans="1:29">
      <c r="A215" s="3642"/>
      <c r="B215" s="3642"/>
      <c r="C215" s="3642"/>
      <c r="D215" s="3642"/>
      <c r="E215" s="3642"/>
      <c r="F215" s="3642"/>
      <c r="G215" s="3642"/>
      <c r="H215" s="3642"/>
      <c r="I215" s="3642"/>
      <c r="J215" s="3642"/>
      <c r="K215" s="3643"/>
      <c r="L215" s="3644"/>
      <c r="M215" s="3642"/>
      <c r="N215" s="3642"/>
      <c r="O215" s="3642"/>
      <c r="P215" s="3642"/>
      <c r="Q215" s="3642"/>
      <c r="R215" s="3642"/>
      <c r="S215" s="3642"/>
      <c r="T215" s="3642"/>
      <c r="U215" s="3642"/>
      <c r="V215" s="3642"/>
      <c r="W215" s="3642"/>
      <c r="X215" s="3642"/>
      <c r="Y215" s="3642"/>
      <c r="Z215" s="3642"/>
      <c r="AA215" s="3642"/>
      <c r="AB215" s="3642"/>
      <c r="AC215" s="3642"/>
    </row>
    <row r="216" spans="1:29">
      <c r="A216" s="3642"/>
      <c r="B216" s="3642"/>
      <c r="C216" s="3642"/>
      <c r="D216" s="3642"/>
      <c r="E216" s="3642"/>
      <c r="F216" s="3642"/>
      <c r="G216" s="3642"/>
      <c r="H216" s="3642"/>
      <c r="I216" s="3642"/>
      <c r="J216" s="3642"/>
      <c r="K216" s="3643"/>
      <c r="L216" s="3644"/>
      <c r="M216" s="3642"/>
      <c r="N216" s="3642"/>
      <c r="O216" s="3642"/>
      <c r="P216" s="3642"/>
      <c r="Q216" s="3642"/>
      <c r="R216" s="3642"/>
      <c r="S216" s="3642"/>
      <c r="T216" s="3642"/>
      <c r="U216" s="3642"/>
      <c r="V216" s="3642"/>
      <c r="W216" s="3642"/>
      <c r="X216" s="3642"/>
      <c r="Y216" s="3642"/>
      <c r="Z216" s="3642"/>
      <c r="AA216" s="3642"/>
      <c r="AB216" s="3642"/>
      <c r="AC216" s="3642"/>
    </row>
    <row r="217" spans="1:29">
      <c r="A217" s="3642"/>
      <c r="B217" s="3642"/>
      <c r="C217" s="3642"/>
      <c r="D217" s="3642"/>
      <c r="E217" s="3642"/>
      <c r="F217" s="3642"/>
      <c r="G217" s="3642"/>
      <c r="H217" s="3642"/>
      <c r="I217" s="3642"/>
      <c r="J217" s="3642"/>
      <c r="K217" s="3643"/>
      <c r="L217" s="3644"/>
      <c r="M217" s="3642"/>
      <c r="N217" s="3642"/>
      <c r="O217" s="3642"/>
      <c r="P217" s="3642"/>
      <c r="Q217" s="3642"/>
      <c r="R217" s="3642"/>
      <c r="S217" s="3642"/>
      <c r="T217" s="3642"/>
      <c r="U217" s="3642"/>
      <c r="V217" s="3642"/>
      <c r="W217" s="3642"/>
      <c r="X217" s="3642"/>
      <c r="Y217" s="3642"/>
      <c r="Z217" s="3642"/>
      <c r="AA217" s="3642"/>
      <c r="AB217" s="3642"/>
      <c r="AC217" s="3642"/>
    </row>
    <row r="218" spans="1:29">
      <c r="A218" s="3642"/>
      <c r="B218" s="3642"/>
      <c r="C218" s="3642"/>
      <c r="D218" s="3642"/>
      <c r="E218" s="3642"/>
      <c r="F218" s="3642"/>
      <c r="G218" s="3642"/>
      <c r="H218" s="3642"/>
      <c r="I218" s="3642"/>
      <c r="J218" s="3642"/>
      <c r="K218" s="3643"/>
      <c r="L218" s="3644"/>
      <c r="M218" s="3642"/>
      <c r="N218" s="3642"/>
      <c r="O218" s="3642"/>
      <c r="P218" s="3642"/>
      <c r="Q218" s="3642"/>
      <c r="R218" s="3642"/>
      <c r="S218" s="3642"/>
      <c r="T218" s="3642"/>
      <c r="U218" s="3642"/>
      <c r="V218" s="3642"/>
      <c r="W218" s="3642"/>
      <c r="X218" s="3642"/>
      <c r="Y218" s="3642"/>
      <c r="Z218" s="3642"/>
      <c r="AA218" s="3642"/>
      <c r="AB218" s="3642"/>
      <c r="AC218" s="3642"/>
    </row>
    <row r="219" spans="1:29">
      <c r="A219" s="3642"/>
      <c r="B219" s="3642"/>
      <c r="C219" s="3642"/>
      <c r="D219" s="3642"/>
      <c r="E219" s="3642"/>
      <c r="F219" s="3642"/>
      <c r="G219" s="3642"/>
      <c r="H219" s="3642"/>
      <c r="I219" s="3642"/>
      <c r="J219" s="3642"/>
      <c r="K219" s="3643"/>
      <c r="L219" s="3644"/>
      <c r="M219" s="3642"/>
      <c r="N219" s="3642"/>
      <c r="O219" s="3642"/>
      <c r="P219" s="3642"/>
      <c r="Q219" s="3642"/>
      <c r="R219" s="3642"/>
      <c r="S219" s="3642"/>
      <c r="T219" s="3642"/>
      <c r="U219" s="3642"/>
      <c r="V219" s="3642"/>
      <c r="W219" s="3642"/>
      <c r="X219" s="3642"/>
      <c r="Y219" s="3642"/>
      <c r="Z219" s="3642"/>
      <c r="AA219" s="3642"/>
      <c r="AB219" s="3642"/>
      <c r="AC219" s="3642"/>
    </row>
    <row r="220" spans="1:29">
      <c r="A220" s="3642"/>
      <c r="B220" s="3642"/>
      <c r="C220" s="3642"/>
      <c r="D220" s="3642"/>
      <c r="E220" s="3642"/>
      <c r="F220" s="3642"/>
      <c r="G220" s="3642"/>
      <c r="H220" s="3642"/>
      <c r="I220" s="3642"/>
      <c r="J220" s="3642"/>
      <c r="K220" s="3643"/>
      <c r="L220" s="3644"/>
      <c r="M220" s="3642"/>
      <c r="N220" s="3642"/>
      <c r="O220" s="3642"/>
      <c r="P220" s="3642"/>
      <c r="Q220" s="3642"/>
      <c r="R220" s="3642"/>
      <c r="S220" s="3642"/>
      <c r="T220" s="3642"/>
      <c r="U220" s="3642"/>
      <c r="V220" s="3642"/>
      <c r="W220" s="3642"/>
      <c r="X220" s="3642"/>
      <c r="Y220" s="3642"/>
      <c r="Z220" s="3642"/>
      <c r="AA220" s="3642"/>
      <c r="AB220" s="3642"/>
      <c r="AC220" s="3642"/>
    </row>
    <row r="221" spans="1:29">
      <c r="A221" s="3642"/>
      <c r="B221" s="3642"/>
      <c r="C221" s="3642"/>
      <c r="D221" s="3642"/>
      <c r="E221" s="3642"/>
      <c r="F221" s="3642"/>
      <c r="G221" s="3642"/>
      <c r="H221" s="3642"/>
      <c r="I221" s="3642"/>
      <c r="J221" s="3642"/>
      <c r="K221" s="3643"/>
      <c r="L221" s="3644"/>
      <c r="M221" s="3642"/>
      <c r="N221" s="3642"/>
      <c r="O221" s="3642"/>
      <c r="P221" s="3642"/>
      <c r="Q221" s="3642"/>
      <c r="R221" s="3642"/>
      <c r="S221" s="3642"/>
      <c r="T221" s="3642"/>
      <c r="U221" s="3642"/>
      <c r="V221" s="3642"/>
      <c r="W221" s="3642"/>
      <c r="X221" s="3642"/>
      <c r="Y221" s="3642"/>
      <c r="Z221" s="3642"/>
      <c r="AA221" s="3642"/>
      <c r="AB221" s="3642"/>
      <c r="AC221" s="3642"/>
    </row>
    <row r="222" spans="1:29">
      <c r="A222" s="3642"/>
      <c r="B222" s="3642"/>
      <c r="C222" s="3642"/>
      <c r="D222" s="3642"/>
      <c r="E222" s="3642"/>
      <c r="F222" s="3642"/>
      <c r="G222" s="3642"/>
      <c r="H222" s="3642"/>
      <c r="I222" s="3642"/>
      <c r="J222" s="3642"/>
      <c r="K222" s="3643"/>
      <c r="L222" s="3644"/>
      <c r="M222" s="3642"/>
      <c r="N222" s="3642"/>
      <c r="O222" s="3642"/>
      <c r="P222" s="3642"/>
      <c r="Q222" s="3642"/>
      <c r="R222" s="3642"/>
      <c r="S222" s="3642"/>
      <c r="T222" s="3642"/>
      <c r="U222" s="3642"/>
      <c r="V222" s="3642"/>
      <c r="W222" s="3642"/>
      <c r="X222" s="3642"/>
      <c r="Y222" s="3642"/>
      <c r="Z222" s="3642"/>
      <c r="AA222" s="3642"/>
      <c r="AB222" s="3642"/>
      <c r="AC222" s="3642"/>
    </row>
    <row r="223" spans="1:29">
      <c r="A223" s="3642"/>
      <c r="B223" s="3642"/>
      <c r="C223" s="3642"/>
      <c r="D223" s="3642"/>
      <c r="E223" s="3642"/>
      <c r="F223" s="3642"/>
      <c r="G223" s="3642"/>
      <c r="H223" s="3642"/>
      <c r="I223" s="3642"/>
      <c r="J223" s="3642"/>
      <c r="K223" s="3643"/>
      <c r="L223" s="3644"/>
      <c r="M223" s="3642"/>
      <c r="N223" s="3642"/>
      <c r="O223" s="3642"/>
      <c r="P223" s="3642"/>
      <c r="Q223" s="3642"/>
      <c r="R223" s="3642"/>
      <c r="S223" s="3642"/>
      <c r="T223" s="3642"/>
      <c r="U223" s="3642"/>
      <c r="V223" s="3642"/>
      <c r="W223" s="3642"/>
      <c r="X223" s="3642"/>
      <c r="Y223" s="3642"/>
      <c r="Z223" s="3642"/>
      <c r="AA223" s="3642"/>
      <c r="AB223" s="3642"/>
      <c r="AC223" s="3642"/>
    </row>
    <row r="224" spans="1:29">
      <c r="A224" s="3642"/>
      <c r="B224" s="3642"/>
      <c r="C224" s="3642"/>
      <c r="D224" s="3642"/>
      <c r="E224" s="3642"/>
      <c r="F224" s="3642"/>
      <c r="G224" s="3642"/>
      <c r="H224" s="3642"/>
      <c r="I224" s="3642"/>
      <c r="J224" s="3642"/>
      <c r="K224" s="3643"/>
      <c r="L224" s="3644"/>
      <c r="M224" s="3642"/>
      <c r="N224" s="3642"/>
      <c r="O224" s="3642"/>
      <c r="P224" s="3642"/>
      <c r="Q224" s="3642"/>
      <c r="R224" s="3642"/>
      <c r="S224" s="3642"/>
      <c r="T224" s="3642"/>
      <c r="U224" s="3642"/>
      <c r="V224" s="3642"/>
      <c r="W224" s="3642"/>
      <c r="X224" s="3642"/>
      <c r="Y224" s="3642"/>
      <c r="Z224" s="3642"/>
      <c r="AA224" s="3642"/>
      <c r="AB224" s="3642"/>
      <c r="AC224" s="3642"/>
    </row>
    <row r="225" spans="1:29">
      <c r="A225" s="3642"/>
      <c r="B225" s="3642"/>
      <c r="C225" s="3642"/>
      <c r="D225" s="3642"/>
      <c r="E225" s="3642"/>
      <c r="F225" s="3642"/>
      <c r="G225" s="3642"/>
      <c r="H225" s="3642"/>
      <c r="I225" s="3642"/>
      <c r="J225" s="3642"/>
      <c r="K225" s="3643"/>
      <c r="L225" s="3644"/>
      <c r="M225" s="3642"/>
      <c r="N225" s="3642"/>
      <c r="O225" s="3642"/>
      <c r="P225" s="3642"/>
      <c r="Q225" s="3642"/>
      <c r="R225" s="3642"/>
      <c r="S225" s="3642"/>
      <c r="T225" s="3642"/>
      <c r="U225" s="3642"/>
      <c r="V225" s="3642"/>
      <c r="W225" s="3642"/>
      <c r="X225" s="3642"/>
      <c r="Y225" s="3642"/>
      <c r="Z225" s="3642"/>
      <c r="AA225" s="3642"/>
      <c r="AB225" s="3642"/>
      <c r="AC225" s="3642"/>
    </row>
    <row r="226" spans="1:29">
      <c r="A226" s="3642"/>
      <c r="B226" s="3642"/>
      <c r="C226" s="3642"/>
      <c r="D226" s="3642"/>
      <c r="E226" s="3642"/>
      <c r="F226" s="3642"/>
      <c r="G226" s="3642"/>
      <c r="H226" s="3642"/>
      <c r="I226" s="3642"/>
      <c r="J226" s="3642"/>
      <c r="K226" s="3643"/>
      <c r="L226" s="3644"/>
      <c r="M226" s="3642"/>
      <c r="N226" s="3642"/>
      <c r="O226" s="3642"/>
      <c r="P226" s="3642"/>
      <c r="Q226" s="3642"/>
      <c r="R226" s="3642"/>
      <c r="S226" s="3642"/>
      <c r="T226" s="3642"/>
      <c r="U226" s="3642"/>
      <c r="V226" s="3642"/>
      <c r="W226" s="3642"/>
      <c r="X226" s="3642"/>
      <c r="Y226" s="3642"/>
      <c r="Z226" s="3642"/>
      <c r="AA226" s="3642"/>
      <c r="AB226" s="3642"/>
      <c r="AC226" s="3642"/>
    </row>
    <row r="227" spans="1:29">
      <c r="A227" s="3642"/>
      <c r="B227" s="3642"/>
      <c r="C227" s="3642"/>
      <c r="D227" s="3642"/>
      <c r="E227" s="3642"/>
      <c r="F227" s="3642"/>
      <c r="G227" s="3642"/>
      <c r="H227" s="3642"/>
      <c r="I227" s="3642"/>
      <c r="J227" s="3642"/>
      <c r="K227" s="3643"/>
      <c r="L227" s="3644"/>
      <c r="M227" s="3642"/>
      <c r="N227" s="3642"/>
      <c r="O227" s="3642"/>
      <c r="P227" s="3642"/>
      <c r="Q227" s="3642"/>
      <c r="R227" s="3642"/>
      <c r="S227" s="3642"/>
      <c r="T227" s="3642"/>
      <c r="U227" s="3642"/>
      <c r="V227" s="3642"/>
      <c r="W227" s="3642"/>
      <c r="X227" s="3642"/>
      <c r="Y227" s="3642"/>
      <c r="Z227" s="3642"/>
      <c r="AA227" s="3642"/>
      <c r="AB227" s="3642"/>
      <c r="AC227" s="3642"/>
    </row>
    <row r="228" spans="1:29">
      <c r="A228" s="3642"/>
      <c r="B228" s="3642"/>
      <c r="C228" s="3642"/>
      <c r="D228" s="3642"/>
      <c r="E228" s="3642"/>
      <c r="F228" s="3642"/>
      <c r="G228" s="3642"/>
      <c r="H228" s="3642"/>
      <c r="I228" s="3642"/>
      <c r="J228" s="3642"/>
      <c r="K228" s="3643"/>
      <c r="L228" s="3644"/>
      <c r="M228" s="3642"/>
      <c r="N228" s="3642"/>
      <c r="O228" s="3642"/>
      <c r="P228" s="3642"/>
      <c r="Q228" s="3642"/>
      <c r="R228" s="3642"/>
      <c r="S228" s="3642"/>
      <c r="T228" s="3642"/>
      <c r="U228" s="3642"/>
      <c r="V228" s="3642"/>
      <c r="W228" s="3642"/>
      <c r="X228" s="3642"/>
      <c r="Y228" s="3642"/>
      <c r="Z228" s="3642"/>
      <c r="AA228" s="3642"/>
      <c r="AB228" s="3642"/>
      <c r="AC228" s="3642"/>
    </row>
    <row r="229" spans="1:29">
      <c r="A229" s="3642"/>
      <c r="B229" s="3642"/>
      <c r="C229" s="3642"/>
      <c r="D229" s="3642"/>
      <c r="E229" s="3642"/>
      <c r="F229" s="3642"/>
      <c r="G229" s="3642"/>
      <c r="H229" s="3642"/>
      <c r="I229" s="3642"/>
      <c r="J229" s="3642"/>
      <c r="K229" s="3643"/>
      <c r="L229" s="3644"/>
      <c r="M229" s="3642"/>
      <c r="N229" s="3642"/>
      <c r="O229" s="3642"/>
      <c r="P229" s="3642"/>
      <c r="Q229" s="3642"/>
      <c r="R229" s="3642"/>
      <c r="S229" s="3642"/>
      <c r="T229" s="3642"/>
      <c r="U229" s="3642"/>
      <c r="V229" s="3642"/>
      <c r="W229" s="3642"/>
      <c r="X229" s="3642"/>
      <c r="Y229" s="3642"/>
      <c r="Z229" s="3642"/>
      <c r="AA229" s="3642"/>
      <c r="AB229" s="3642"/>
      <c r="AC229" s="3642"/>
    </row>
    <row r="230" spans="1:29">
      <c r="A230" s="3642"/>
      <c r="B230" s="3642"/>
      <c r="C230" s="3642"/>
      <c r="D230" s="3642"/>
      <c r="E230" s="3642"/>
      <c r="F230" s="3642"/>
      <c r="G230" s="3642"/>
      <c r="H230" s="3642"/>
      <c r="I230" s="3642"/>
      <c r="J230" s="3642"/>
      <c r="K230" s="3643"/>
      <c r="L230" s="3644"/>
      <c r="M230" s="3642"/>
      <c r="N230" s="3642"/>
      <c r="O230" s="3642"/>
      <c r="P230" s="3642"/>
      <c r="Q230" s="3642"/>
      <c r="R230" s="3642"/>
      <c r="S230" s="3642"/>
      <c r="T230" s="3642"/>
      <c r="U230" s="3642"/>
      <c r="V230" s="3642"/>
      <c r="W230" s="3642"/>
      <c r="X230" s="3642"/>
      <c r="Y230" s="3642"/>
      <c r="Z230" s="3642"/>
      <c r="AA230" s="3642"/>
      <c r="AB230" s="3642"/>
      <c r="AC230" s="3642"/>
    </row>
    <row r="231" spans="1:29">
      <c r="A231" s="3642"/>
      <c r="B231" s="3642"/>
      <c r="C231" s="3642"/>
      <c r="D231" s="3642"/>
      <c r="E231" s="3642"/>
      <c r="F231" s="3642"/>
      <c r="G231" s="3642"/>
      <c r="H231" s="3642"/>
      <c r="I231" s="3642"/>
      <c r="J231" s="3642"/>
      <c r="K231" s="3643"/>
      <c r="L231" s="3644"/>
      <c r="M231" s="3642"/>
      <c r="N231" s="3642"/>
      <c r="O231" s="3642"/>
      <c r="P231" s="3642"/>
      <c r="Q231" s="3642"/>
      <c r="R231" s="3642"/>
      <c r="S231" s="3642"/>
      <c r="T231" s="3642"/>
      <c r="U231" s="3642"/>
      <c r="V231" s="3642"/>
      <c r="W231" s="3642"/>
      <c r="X231" s="3642"/>
      <c r="Y231" s="3642"/>
      <c r="Z231" s="3642"/>
      <c r="AA231" s="3642"/>
      <c r="AB231" s="3642"/>
      <c r="AC231" s="3642"/>
    </row>
    <row r="232" spans="1:29">
      <c r="A232" s="3642"/>
      <c r="B232" s="3642"/>
      <c r="C232" s="3642"/>
      <c r="D232" s="3642"/>
      <c r="E232" s="3642"/>
      <c r="F232" s="3642"/>
      <c r="G232" s="3642"/>
      <c r="H232" s="3642"/>
      <c r="I232" s="3642"/>
      <c r="J232" s="3642"/>
      <c r="K232" s="3643"/>
      <c r="L232" s="3644"/>
      <c r="M232" s="3642"/>
      <c r="N232" s="3642"/>
      <c r="O232" s="3642"/>
      <c r="P232" s="3642"/>
      <c r="Q232" s="3642"/>
      <c r="R232" s="3642"/>
      <c r="S232" s="3642"/>
      <c r="T232" s="3642"/>
      <c r="U232" s="3642"/>
      <c r="V232" s="3642"/>
      <c r="W232" s="3642"/>
      <c r="X232" s="3642"/>
      <c r="Y232" s="3642"/>
      <c r="Z232" s="3642"/>
      <c r="AA232" s="3642"/>
      <c r="AB232" s="3642"/>
      <c r="AC232" s="3642"/>
    </row>
    <row r="233" spans="1:29">
      <c r="A233" s="3642"/>
      <c r="B233" s="3642"/>
      <c r="C233" s="3642"/>
      <c r="D233" s="3642"/>
      <c r="E233" s="3642"/>
      <c r="F233" s="3642"/>
      <c r="G233" s="3642"/>
      <c r="H233" s="3642"/>
      <c r="I233" s="3642"/>
      <c r="J233" s="3642"/>
      <c r="K233" s="3643"/>
      <c r="L233" s="3644"/>
      <c r="M233" s="3642"/>
      <c r="N233" s="3642"/>
      <c r="O233" s="3642"/>
      <c r="P233" s="3642"/>
      <c r="Q233" s="3642"/>
      <c r="R233" s="3642"/>
      <c r="S233" s="3642"/>
      <c r="T233" s="3642"/>
      <c r="U233" s="3642"/>
      <c r="V233" s="3642"/>
      <c r="W233" s="3642"/>
      <c r="X233" s="3642"/>
      <c r="Y233" s="3642"/>
      <c r="Z233" s="3642"/>
      <c r="AA233" s="3642"/>
      <c r="AB233" s="3642"/>
      <c r="AC233" s="3642"/>
    </row>
    <row r="234" spans="1:29">
      <c r="A234" s="3642"/>
      <c r="B234" s="3642"/>
      <c r="C234" s="3642"/>
      <c r="D234" s="3642"/>
      <c r="E234" s="3642"/>
      <c r="F234" s="3642"/>
      <c r="G234" s="3642"/>
      <c r="H234" s="3642"/>
      <c r="I234" s="3642"/>
      <c r="J234" s="3642"/>
      <c r="K234" s="3643"/>
      <c r="L234" s="3644"/>
      <c r="M234" s="3642"/>
      <c r="N234" s="3642"/>
      <c r="O234" s="3642"/>
      <c r="P234" s="3642"/>
      <c r="Q234" s="3642"/>
      <c r="R234" s="3642"/>
      <c r="S234" s="3642"/>
      <c r="T234" s="3642"/>
      <c r="U234" s="3642"/>
      <c r="V234" s="3642"/>
      <c r="W234" s="3642"/>
      <c r="X234" s="3642"/>
      <c r="Y234" s="3642"/>
      <c r="Z234" s="3642"/>
      <c r="AA234" s="3642"/>
      <c r="AB234" s="3642"/>
      <c r="AC234" s="3642"/>
    </row>
    <row r="235" spans="1:29">
      <c r="A235" s="3642"/>
      <c r="B235" s="3642"/>
      <c r="C235" s="3642"/>
      <c r="D235" s="3642"/>
      <c r="E235" s="3642"/>
      <c r="F235" s="3642"/>
      <c r="G235" s="3642"/>
      <c r="H235" s="3642"/>
      <c r="I235" s="3642"/>
      <c r="J235" s="3642"/>
      <c r="K235" s="3643"/>
      <c r="L235" s="3644"/>
      <c r="M235" s="3642"/>
      <c r="N235" s="3642"/>
      <c r="O235" s="3642"/>
      <c r="P235" s="3642"/>
      <c r="Q235" s="3642"/>
      <c r="R235" s="3642"/>
      <c r="S235" s="3642"/>
      <c r="T235" s="3642"/>
      <c r="U235" s="3642"/>
      <c r="V235" s="3642"/>
      <c r="W235" s="3642"/>
      <c r="X235" s="3642"/>
      <c r="Y235" s="3642"/>
      <c r="Z235" s="3642"/>
      <c r="AA235" s="3642"/>
      <c r="AB235" s="3642"/>
      <c r="AC235" s="36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Normal="60" zoomScaleSheetLayoutView="100" workbookViewId="0">
      <selection activeCell="F35" sqref="F35"/>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3447</v>
      </c>
      <c r="D1" s="2790" t="s">
        <v>3234</v>
      </c>
      <c r="E1" s="2238" t="s">
        <v>2335</v>
      </c>
      <c r="F1" s="2239">
        <f ca="1">J53</f>
        <v>36.93</v>
      </c>
      <c r="G1" s="3250">
        <f>MATCH(C1,'数据-取费表'!A6:A16,0)+5</f>
        <v>10</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2032</v>
      </c>
      <c r="C2" s="3255"/>
      <c r="D2" s="3256"/>
      <c r="E2" s="3257"/>
      <c r="F2" s="3257"/>
      <c r="G2" s="3251"/>
      <c r="H2" s="1936"/>
      <c r="I2" s="1936"/>
      <c r="J2" s="1936"/>
      <c r="K2" s="1937"/>
      <c r="L2" s="1936"/>
      <c r="M2" s="1936"/>
    </row>
    <row r="3" spans="1:33" ht="18" customHeight="1" thickBot="1">
      <c r="A3" s="819" t="s">
        <v>1694</v>
      </c>
      <c r="B3" s="820">
        <f ca="1">IF(ISERROR(B2*10000/F43),0,ROUND(B2*10000/F43,0))</f>
        <v>13752</v>
      </c>
      <c r="C3" s="3255"/>
      <c r="D3" s="3256"/>
      <c r="E3" s="3257"/>
      <c r="F3" s="3257"/>
      <c r="G3" s="3251"/>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121</v>
      </c>
      <c r="D5" s="2345" t="s">
        <v>2418</v>
      </c>
      <c r="E5" s="2339"/>
      <c r="F5" s="2340"/>
      <c r="G5" s="1941"/>
      <c r="H5" s="768">
        <v>1</v>
      </c>
      <c r="I5" s="769" t="s">
        <v>2415</v>
      </c>
      <c r="J5" s="54">
        <f ca="1">J6+J10+J12</f>
        <v>0</v>
      </c>
      <c r="K5" s="2345" t="s">
        <v>2418</v>
      </c>
      <c r="L5" s="2339"/>
      <c r="M5" s="2340"/>
    </row>
    <row r="6" spans="1:33" ht="18" customHeight="1">
      <c r="A6" s="1741" t="s">
        <v>1791</v>
      </c>
      <c r="B6" s="3953" t="s">
        <v>2420</v>
      </c>
      <c r="C6" s="770">
        <f ca="1">ROUND(F6*F8*F7*(1-F9)/10000,0)</f>
        <v>121</v>
      </c>
      <c r="D6" s="2346" t="s">
        <v>2419</v>
      </c>
      <c r="E6" s="771" t="s">
        <v>1705</v>
      </c>
      <c r="F6" s="772">
        <f ca="1">INDIRECT("'数据-取费表'!u"&amp;$G$1)</f>
        <v>2.5</v>
      </c>
      <c r="G6" s="1941"/>
      <c r="H6" s="2353" t="s">
        <v>2425</v>
      </c>
      <c r="I6" s="3953" t="s">
        <v>2420</v>
      </c>
      <c r="J6" s="770">
        <f ca="1">ROUND(M6*M8*M7*(1-M9)/10000,0)</f>
        <v>0</v>
      </c>
      <c r="K6" s="336" t="s">
        <v>1704</v>
      </c>
      <c r="L6" s="771" t="s">
        <v>1705</v>
      </c>
      <c r="M6" s="772">
        <f ca="1">INDIRECT("'数据-取费表'!z"&amp;$G$1)</f>
        <v>0</v>
      </c>
    </row>
    <row r="7" spans="1:33" ht="18" customHeight="1">
      <c r="A7" s="2349"/>
      <c r="B7" s="3954"/>
      <c r="C7" s="775"/>
      <c r="D7" s="776"/>
      <c r="E7" s="771" t="s">
        <v>1706</v>
      </c>
      <c r="F7" s="772">
        <f ca="1">IF(INDIRECT("'数据-取费表'!ah"&amp;$G$1)="",INDIRECT("'数据-取费表'!k"&amp;$G$1),INDIRECT("'数据-取费表'!ah"&amp;$G$1))</f>
        <v>1477.62</v>
      </c>
      <c r="G7" s="1941"/>
      <c r="H7" s="2338"/>
      <c r="I7" s="3954"/>
      <c r="J7" s="775"/>
      <c r="K7" s="776"/>
      <c r="L7" s="771" t="s">
        <v>1706</v>
      </c>
      <c r="M7" s="772">
        <f ca="1">F7</f>
        <v>1477.62</v>
      </c>
    </row>
    <row r="8" spans="1:33" ht="18" customHeight="1">
      <c r="A8" s="2342"/>
      <c r="B8" s="3955"/>
      <c r="C8" s="775"/>
      <c r="D8" s="776"/>
      <c r="E8" s="771" t="s">
        <v>1707</v>
      </c>
      <c r="F8" s="772">
        <f ca="1">INDIRECT("'数据-取费表'!ai"&amp;$G$1)</f>
        <v>365</v>
      </c>
      <c r="G8" s="1941"/>
      <c r="H8" s="2338"/>
      <c r="I8" s="3955"/>
      <c r="J8" s="775"/>
      <c r="K8" s="776"/>
      <c r="L8" s="771" t="s">
        <v>1707</v>
      </c>
      <c r="M8" s="772">
        <f ca="1">INDIRECT("'数据-取费表'!ai"&amp;$G$1)</f>
        <v>365</v>
      </c>
    </row>
    <row r="9" spans="1:33" ht="18" customHeight="1">
      <c r="A9" s="773"/>
      <c r="B9" s="3956"/>
      <c r="C9" s="775"/>
      <c r="D9" s="776"/>
      <c r="E9" s="771" t="s">
        <v>1708</v>
      </c>
      <c r="F9" s="781">
        <f ca="1">INDIRECT("'数据-取费表'!w"&amp;$G$1)</f>
        <v>0.1</v>
      </c>
      <c r="G9" s="1941"/>
      <c r="H9" s="2354"/>
      <c r="I9" s="3955"/>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627</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443</v>
      </c>
      <c r="D14" s="1889" t="s">
        <v>1712</v>
      </c>
      <c r="E14" s="1890"/>
      <c r="F14" s="792"/>
      <c r="G14" s="1941"/>
      <c r="H14" s="1573" t="s">
        <v>1797</v>
      </c>
      <c r="I14" s="2107" t="s">
        <v>2781</v>
      </c>
      <c r="J14" s="52">
        <f ca="1">C29</f>
        <v>627</v>
      </c>
      <c r="K14" s="25"/>
      <c r="L14" s="788"/>
      <c r="M14" s="789"/>
    </row>
    <row r="15" spans="1:33" s="1943" customFormat="1" ht="18" customHeight="1" thickBot="1">
      <c r="A15" s="1572" t="s">
        <v>1852</v>
      </c>
      <c r="B15" s="771" t="s">
        <v>618</v>
      </c>
      <c r="C15" s="52">
        <f ca="1">ROUND(C14*F15,0)</f>
        <v>13</v>
      </c>
      <c r="D15" s="793" t="s">
        <v>1713</v>
      </c>
      <c r="E15" s="793" t="s">
        <v>1714</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59</v>
      </c>
      <c r="K16" s="1732" t="s">
        <v>1717</v>
      </c>
      <c r="L16" s="2335"/>
      <c r="M16" s="2340"/>
    </row>
    <row r="17" spans="1:33" s="1943" customFormat="1" ht="18" customHeight="1">
      <c r="A17" s="1572" t="s">
        <v>1854</v>
      </c>
      <c r="B17" s="771" t="s">
        <v>624</v>
      </c>
      <c r="C17" s="52">
        <f ca="1">ROUND(F17*(F43+INDIRECT("'数据-取费表'!S"&amp;$G$1))/10000,0)</f>
        <v>30</v>
      </c>
      <c r="D17" s="771" t="s">
        <v>1718</v>
      </c>
      <c r="E17" s="771" t="s">
        <v>1719</v>
      </c>
      <c r="F17" s="55">
        <f>'数据-取费表'!B35</f>
        <v>200</v>
      </c>
      <c r="G17" s="3252"/>
      <c r="H17" s="1573" t="s">
        <v>1797</v>
      </c>
      <c r="I17" s="771" t="s">
        <v>627</v>
      </c>
      <c r="J17" s="3011">
        <f ca="1">ROUND(IF(AND(项目基本情况!B11="自然人",项目基本情况!B10="北京市"),J6*M17/(1+'数据-取费表'!C42),J18+J19+J20),0)</f>
        <v>53</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7</v>
      </c>
      <c r="D18" s="771" t="s">
        <v>1713</v>
      </c>
      <c r="E18" s="771" t="s">
        <v>1714</v>
      </c>
      <c r="F18" s="796">
        <f>'数据-取费表'!B36</f>
        <v>1.4999999999999999E-2</v>
      </c>
      <c r="G18" s="3252"/>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493</v>
      </c>
      <c r="D19" s="257" t="s">
        <v>1724</v>
      </c>
      <c r="E19" s="1892"/>
      <c r="F19" s="55"/>
      <c r="G19" s="1941"/>
      <c r="H19" s="1572" t="s">
        <v>1852</v>
      </c>
      <c r="I19" s="771" t="s">
        <v>1725</v>
      </c>
      <c r="J19" s="52">
        <f ca="1">IF(K19="按租金收入计税",ROUND(J6*M19/(1+'数据-取费表'!C42),1),ROUND(C29*F33*0.7,1))</f>
        <v>52.7</v>
      </c>
      <c r="K19" s="797" t="s">
        <v>636</v>
      </c>
      <c r="L19" s="771" t="s">
        <v>1714</v>
      </c>
      <c r="M19" s="796">
        <f>IF(K19="按租金收入计税",'数据-取费表'!B51,'数据-取费表'!B50)</f>
        <v>1.2E-2</v>
      </c>
    </row>
    <row r="20" spans="1:33" s="1943" customFormat="1" ht="18" customHeight="1">
      <c r="A20" s="1573" t="s">
        <v>1856</v>
      </c>
      <c r="B20" s="771" t="s">
        <v>637</v>
      </c>
      <c r="C20" s="52">
        <f ca="1">ROUND(C19*F20,0)</f>
        <v>10</v>
      </c>
      <c r="D20" s="798" t="s">
        <v>1726</v>
      </c>
      <c r="E20" s="771" t="s">
        <v>1714</v>
      </c>
      <c r="F20" s="796">
        <f>'数据-取费表'!B37</f>
        <v>0.02</v>
      </c>
      <c r="G20" s="3252"/>
      <c r="H20" s="1575" t="s">
        <v>1847</v>
      </c>
      <c r="I20" s="336" t="s">
        <v>1727</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2"/>
      <c r="H21" s="2355"/>
      <c r="I21" s="780"/>
      <c r="J21" s="68"/>
      <c r="K21" s="802"/>
      <c r="L21" s="771" t="s">
        <v>1733</v>
      </c>
      <c r="M21" s="772">
        <f ca="1">INDIRECT("'数据-取费表'!r"&amp;$G$1)</f>
        <v>343.13</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6</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27</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-59</v>
      </c>
      <c r="K25" s="2397" t="s">
        <v>1744</v>
      </c>
      <c r="L25" s="2398"/>
      <c r="M25" s="2399"/>
    </row>
    <row r="26" spans="1:33" ht="18" customHeight="1">
      <c r="A26" s="1572" t="s">
        <v>1798</v>
      </c>
      <c r="B26" s="771" t="s">
        <v>2398</v>
      </c>
      <c r="C26" s="52">
        <f ca="1">ROUND((C19+C20)*F26,0)</f>
        <v>50</v>
      </c>
      <c r="D26" s="798" t="s">
        <v>1745</v>
      </c>
      <c r="E26" s="782" t="s">
        <v>1746</v>
      </c>
      <c r="F26" s="781">
        <f ca="1">INDIRECT("'数据-取费表'!q"&amp;$G$1)</f>
        <v>0.1</v>
      </c>
      <c r="G26" s="1941"/>
      <c r="H26" s="2351" t="s">
        <v>1747</v>
      </c>
      <c r="I26" s="2108" t="s">
        <v>2782</v>
      </c>
      <c r="J26" s="770">
        <f ca="1">IF(J5&lt;&gt;0,ROUND(J25*(1-((1+M28)/(1+M26))^M27)/(M26-M28),0),0)</f>
        <v>0</v>
      </c>
      <c r="K26" s="800" t="s">
        <v>1748</v>
      </c>
      <c r="L26" s="771" t="s">
        <v>2380</v>
      </c>
      <c r="M26" s="781">
        <f ca="1">INDIRECT("'数据-取费表'!I"&amp;$G$1)</f>
        <v>5.5E-2</v>
      </c>
    </row>
    <row r="27" spans="1:33" ht="18" customHeight="1">
      <c r="A27" s="1572" t="s">
        <v>1799</v>
      </c>
      <c r="B27" s="771" t="s">
        <v>657</v>
      </c>
      <c r="C27" s="52">
        <f ca="1">ROUND(F21*F26,4)</f>
        <v>2E-3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627</v>
      </c>
      <c r="D29" s="2394"/>
      <c r="E29" s="2395"/>
      <c r="F29" s="2396"/>
      <c r="G29" s="3252"/>
      <c r="H29" s="809" t="s">
        <v>1754</v>
      </c>
      <c r="I29" s="810" t="s">
        <v>1755</v>
      </c>
      <c r="J29" s="811">
        <f ca="1">ROUND(J26/(1+F40)^F41,0)</f>
        <v>0</v>
      </c>
      <c r="K29" s="812" t="s">
        <v>1756</v>
      </c>
      <c r="L29" s="813"/>
      <c r="M29" s="814">
        <f ca="1">INDIRECT("'数据-取费表'!k"&amp;$G$1)</f>
        <v>1477.62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28</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20</v>
      </c>
      <c r="D31" s="1889" t="s">
        <v>1759</v>
      </c>
      <c r="E31" s="1887" t="s">
        <v>1760</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6.3</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13.8</v>
      </c>
      <c r="D33" s="797" t="s">
        <v>3235</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0.1</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343.13</v>
      </c>
      <c r="G35" s="1941"/>
      <c r="H35" s="1944"/>
      <c r="I35" s="823" t="s">
        <v>1781</v>
      </c>
      <c r="J35" s="824">
        <f ca="1">ROUND(C13*J36,0)</f>
        <v>53</v>
      </c>
      <c r="K35" s="1957"/>
      <c r="L35" s="1956"/>
      <c r="M35" s="1956"/>
    </row>
    <row r="36" spans="1:18" ht="18" customHeight="1">
      <c r="A36" s="1573" t="s">
        <v>1856</v>
      </c>
      <c r="B36" s="771" t="s">
        <v>1769</v>
      </c>
      <c r="C36" s="52">
        <f ca="1">ROUND(C29*F36,1)</f>
        <v>6.3</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0.6</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1.2</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93</v>
      </c>
      <c r="D39" s="2397" t="s">
        <v>1773</v>
      </c>
      <c r="E39" s="2398"/>
      <c r="F39" s="2399"/>
      <c r="G39" s="1941"/>
      <c r="H39" s="1956"/>
      <c r="I39" s="823" t="s">
        <v>1785</v>
      </c>
      <c r="J39" s="831">
        <f ca="1">ROUND(J35/C39,3)</f>
        <v>0.56999999999999995</v>
      </c>
      <c r="K39" s="1961"/>
      <c r="L39" s="1956"/>
      <c r="M39" s="1956"/>
    </row>
    <row r="40" spans="1:18" ht="18" customHeight="1">
      <c r="A40" s="768" t="s">
        <v>1862</v>
      </c>
      <c r="B40" s="2108" t="s">
        <v>2265</v>
      </c>
      <c r="C40" s="770">
        <f ca="1">ROUND(C39*(1-((1+F42)/(1+F40))^F41)/(F40-F42),0)</f>
        <v>2032</v>
      </c>
      <c r="D40" s="800" t="s">
        <v>1774</v>
      </c>
      <c r="E40" s="771" t="s">
        <v>2380</v>
      </c>
      <c r="F40" s="781">
        <f ca="1">INDIRECT("'数据-取费表'!I"&amp;$G$1)</f>
        <v>5.5E-2</v>
      </c>
      <c r="G40" s="1941"/>
      <c r="H40" s="1941"/>
      <c r="I40" s="823" t="s">
        <v>1786</v>
      </c>
      <c r="J40" s="831">
        <f ca="1">1-J39</f>
        <v>0.43000000000000005</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36.93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0.309</v>
      </c>
      <c r="K42" s="1960"/>
      <c r="L42" s="1896"/>
      <c r="M42" s="1896"/>
    </row>
    <row r="43" spans="1:18" ht="18" customHeight="1" thickBot="1">
      <c r="A43" s="809" t="s">
        <v>1754</v>
      </c>
      <c r="B43" s="810" t="s">
        <v>1777</v>
      </c>
      <c r="C43" s="811">
        <f ca="1">ROUND(C40*10000/F43,0)</f>
        <v>13752</v>
      </c>
      <c r="D43" s="812" t="s">
        <v>1778</v>
      </c>
      <c r="E43" s="813" t="s">
        <v>1779</v>
      </c>
      <c r="F43" s="814">
        <f ca="1">INDIRECT("'数据-取费表'!k"&amp;$G$1)</f>
        <v>1477.62</v>
      </c>
      <c r="G43" s="1941"/>
      <c r="H43" s="1896"/>
      <c r="I43" s="833" t="s">
        <v>1789</v>
      </c>
      <c r="J43" s="834">
        <f ca="1">1-J42</f>
        <v>0.69100000000000006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-2142</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40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39.43</v>
      </c>
      <c r="M48" s="3254"/>
      <c r="O48" s="2249" t="s">
        <v>2340</v>
      </c>
      <c r="P48" s="2250" t="s">
        <v>2366</v>
      </c>
      <c r="Q48" s="2251">
        <f ca="1">C40+J29</f>
        <v>2032</v>
      </c>
      <c r="R48" s="2250" t="s">
        <v>2341</v>
      </c>
    </row>
    <row r="49" spans="1:18" s="1938" customFormat="1" ht="18" customHeight="1" thickBot="1">
      <c r="A49" s="773"/>
      <c r="B49" s="774"/>
      <c r="C49" s="775"/>
      <c r="D49" s="776"/>
      <c r="E49" s="771" t="s">
        <v>1706</v>
      </c>
      <c r="F49" s="772">
        <f ca="1">F7</f>
        <v>1477.62</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627</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752</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36.93</v>
      </c>
      <c r="K53" s="4008" t="s">
        <v>2905</v>
      </c>
      <c r="L53" s="4009"/>
      <c r="M53" s="3254"/>
      <c r="O53" s="2252" t="s">
        <v>2349</v>
      </c>
      <c r="P53" s="2250" t="s">
        <v>2350</v>
      </c>
      <c r="Q53" s="2251">
        <f ca="1">J53</f>
        <v>36.93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2032</v>
      </c>
      <c r="R54" s="2254" t="s">
        <v>2353</v>
      </c>
    </row>
    <row r="55" spans="1:18" s="1938" customFormat="1" ht="18" customHeight="1" thickTop="1" thickBot="1">
      <c r="A55" s="784">
        <v>2</v>
      </c>
      <c r="B55" s="785" t="s">
        <v>615</v>
      </c>
      <c r="C55" s="786">
        <f ca="1">C13</f>
        <v>627</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627</v>
      </c>
      <c r="D56" s="2477"/>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7</v>
      </c>
      <c r="D57" s="25" t="s">
        <v>1717</v>
      </c>
      <c r="E57" s="2478"/>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2032</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343.13</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6.3</v>
      </c>
      <c r="D63" s="2477" t="s">
        <v>1770</v>
      </c>
      <c r="E63" s="771" t="s">
        <v>1714</v>
      </c>
      <c r="F63" s="803">
        <f t="shared" ca="1" si="0"/>
        <v>0.01</v>
      </c>
      <c r="I63" s="2816" t="s">
        <v>2331</v>
      </c>
      <c r="J63" s="2817">
        <v>70</v>
      </c>
      <c r="K63" s="2817">
        <v>50</v>
      </c>
      <c r="L63" s="2817">
        <v>80</v>
      </c>
      <c r="M63" s="2819">
        <v>0.02</v>
      </c>
      <c r="O63" s="2249" t="s">
        <v>2352</v>
      </c>
      <c r="P63" s="2250" t="s">
        <v>2369</v>
      </c>
      <c r="Q63" s="2251">
        <f ca="1">Q57+Q58</f>
        <v>2032</v>
      </c>
      <c r="R63" s="2254" t="s">
        <v>2353</v>
      </c>
    </row>
    <row r="64" spans="1:18" s="1938" customFormat="1" ht="16.5" thickBot="1">
      <c r="A64" s="1573" t="s">
        <v>1857</v>
      </c>
      <c r="B64" s="771" t="s">
        <v>650</v>
      </c>
      <c r="C64" s="52">
        <f ca="1">ROUND(C55*F64,1)</f>
        <v>0.6</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-7</v>
      </c>
      <c r="D66" s="2476" t="s">
        <v>671</v>
      </c>
      <c r="E66" s="2475"/>
      <c r="F66" s="806"/>
      <c r="K66" s="1964"/>
      <c r="O66" s="2249" t="s">
        <v>2340</v>
      </c>
      <c r="P66" s="2250" t="s">
        <v>2370</v>
      </c>
      <c r="Q66" s="2251">
        <f ca="1">C40+J29</f>
        <v>2032</v>
      </c>
      <c r="R66" s="2250" t="s">
        <v>2341</v>
      </c>
    </row>
    <row r="67" spans="1:18" s="1938" customFormat="1" ht="20.25" thickBot="1">
      <c r="A67" s="768" t="s">
        <v>1747</v>
      </c>
      <c r="B67" s="2108" t="s">
        <v>2265</v>
      </c>
      <c r="C67" s="770">
        <f ca="1">ROUND(C66*(1-((1+F69)/(1+F67))^F68)/(F67-F69),0)</f>
        <v>-110</v>
      </c>
      <c r="D67" s="800" t="s">
        <v>675</v>
      </c>
      <c r="E67" s="771" t="s">
        <v>676</v>
      </c>
      <c r="F67" s="781">
        <f ca="1">F40</f>
        <v>5.5E-2</v>
      </c>
      <c r="K67" s="1964"/>
      <c r="O67" s="2249" t="s">
        <v>2342</v>
      </c>
      <c r="P67" s="2250" t="s">
        <v>2373</v>
      </c>
      <c r="Q67" s="2251">
        <f ca="1">L60</f>
        <v>0</v>
      </c>
      <c r="R67" s="2254" t="s">
        <v>2375</v>
      </c>
    </row>
    <row r="68" spans="1:18" ht="21.75" thickBot="1">
      <c r="A68" s="773"/>
      <c r="B68" s="774"/>
      <c r="C68" s="775"/>
      <c r="D68" s="807" t="s">
        <v>1775</v>
      </c>
      <c r="E68" s="771" t="s">
        <v>1751</v>
      </c>
      <c r="F68" s="808">
        <f ca="1">F41</f>
        <v>36.93</v>
      </c>
      <c r="O68" s="2252" t="s">
        <v>2344</v>
      </c>
      <c r="P68" s="2250" t="s">
        <v>2374</v>
      </c>
      <c r="Q68" s="2256">
        <f ca="1">L51</f>
        <v>752</v>
      </c>
      <c r="R68" s="2257" t="s">
        <v>2377</v>
      </c>
    </row>
    <row r="69" spans="1:18" ht="20.25" thickBot="1">
      <c r="A69" s="777"/>
      <c r="B69" s="778"/>
      <c r="C69" s="779"/>
      <c r="D69" s="802"/>
      <c r="E69" s="771" t="s">
        <v>681</v>
      </c>
      <c r="F69" s="2222"/>
      <c r="O69" s="2252" t="s">
        <v>2345</v>
      </c>
      <c r="P69" s="2258" t="s">
        <v>2359</v>
      </c>
      <c r="Q69" s="2251">
        <f ca="1">ROUND(Q70-Q71*Q72,0)</f>
        <v>40</v>
      </c>
      <c r="R69" s="2254"/>
    </row>
    <row r="70" spans="1:18" ht="15.75" thickBot="1">
      <c r="A70" s="809" t="s">
        <v>1754</v>
      </c>
      <c r="B70" s="810" t="s">
        <v>1777</v>
      </c>
      <c r="C70" s="811">
        <f ca="1">ROUND(C67*10000/F70,0)</f>
        <v>-744</v>
      </c>
      <c r="D70" s="812" t="s">
        <v>1778</v>
      </c>
      <c r="E70" s="813" t="s">
        <v>1779</v>
      </c>
      <c r="F70" s="814">
        <f ca="1">F43</f>
        <v>1477.62</v>
      </c>
      <c r="O70" s="2252" t="s">
        <v>2360</v>
      </c>
      <c r="P70" s="2258" t="s">
        <v>2361</v>
      </c>
      <c r="Q70" s="2251">
        <f ca="1">C39</f>
        <v>93</v>
      </c>
      <c r="R70" s="2250" t="s">
        <v>2341</v>
      </c>
    </row>
    <row r="71" spans="1:18" ht="15.75" thickBot="1">
      <c r="O71" s="2252" t="s">
        <v>2362</v>
      </c>
      <c r="P71" s="2258" t="s">
        <v>2363</v>
      </c>
      <c r="Q71" s="2251">
        <f ca="1">C13</f>
        <v>627</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2032</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26" t="s">
        <v>2428</v>
      </c>
      <c r="B1" s="4027"/>
      <c r="C1" s="4028"/>
      <c r="D1" s="4029">
        <f>SUM(I10,I15,I20,I21,I23)</f>
        <v>0</v>
      </c>
      <c r="E1" s="4029"/>
      <c r="F1" s="4029"/>
      <c r="G1" s="4029"/>
      <c r="H1" s="4029"/>
      <c r="I1" s="4030"/>
    </row>
    <row r="2" spans="1:9">
      <c r="A2" s="4016" t="s">
        <v>2429</v>
      </c>
      <c r="B2" s="4017" t="s">
        <v>2430</v>
      </c>
      <c r="C2" s="4017"/>
      <c r="D2" s="2356" t="s">
        <v>2431</v>
      </c>
      <c r="E2" s="2356" t="s">
        <v>2432</v>
      </c>
      <c r="F2" s="2356" t="s">
        <v>2433</v>
      </c>
      <c r="G2" s="2356" t="s">
        <v>2434</v>
      </c>
      <c r="H2" s="2356" t="s">
        <v>2435</v>
      </c>
      <c r="I2" s="2357" t="s">
        <v>2436</v>
      </c>
    </row>
    <row r="3" spans="1:9">
      <c r="A3" s="4016"/>
      <c r="B3" s="4017" t="s">
        <v>2437</v>
      </c>
      <c r="C3" s="4017"/>
      <c r="D3" s="2358"/>
      <c r="E3" s="2356"/>
      <c r="F3" s="2359"/>
      <c r="G3" s="2359"/>
      <c r="H3" s="2360"/>
      <c r="I3" s="2361">
        <f>ROUND(D3*E3*F3*G3*H3/10000,0)</f>
        <v>0</v>
      </c>
    </row>
    <row r="4" spans="1:9">
      <c r="A4" s="4016"/>
      <c r="B4" s="4017" t="s">
        <v>2438</v>
      </c>
      <c r="C4" s="4017"/>
      <c r="D4" s="2358"/>
      <c r="E4" s="2356"/>
      <c r="F4" s="2359"/>
      <c r="G4" s="2359"/>
      <c r="H4" s="2360"/>
      <c r="I4" s="2361">
        <f t="shared" ref="I4:I9" si="0">ROUND(D4*E4*F4*G4*H4/10000,0)</f>
        <v>0</v>
      </c>
    </row>
    <row r="5" spans="1:9">
      <c r="A5" s="4016"/>
      <c r="B5" s="4017" t="s">
        <v>2439</v>
      </c>
      <c r="C5" s="4017"/>
      <c r="D5" s="2358"/>
      <c r="E5" s="2356"/>
      <c r="F5" s="2359"/>
      <c r="G5" s="2359"/>
      <c r="H5" s="2360"/>
      <c r="I5" s="2361">
        <f t="shared" si="0"/>
        <v>0</v>
      </c>
    </row>
    <row r="6" spans="1:9">
      <c r="A6" s="4016"/>
      <c r="B6" s="4017" t="s">
        <v>2440</v>
      </c>
      <c r="C6" s="4017"/>
      <c r="D6" s="2358"/>
      <c r="E6" s="2356"/>
      <c r="F6" s="2359"/>
      <c r="G6" s="2359"/>
      <c r="H6" s="2360"/>
      <c r="I6" s="2361">
        <f t="shared" si="0"/>
        <v>0</v>
      </c>
    </row>
    <row r="7" spans="1:9">
      <c r="A7" s="4016"/>
      <c r="B7" s="4017" t="s">
        <v>2441</v>
      </c>
      <c r="C7" s="4017"/>
      <c r="D7" s="2358"/>
      <c r="E7" s="2356"/>
      <c r="F7" s="2359"/>
      <c r="G7" s="2359"/>
      <c r="H7" s="2360"/>
      <c r="I7" s="2361">
        <f t="shared" si="0"/>
        <v>0</v>
      </c>
    </row>
    <row r="8" spans="1:9">
      <c r="A8" s="4016"/>
      <c r="B8" s="4017" t="s">
        <v>2442</v>
      </c>
      <c r="C8" s="4017"/>
      <c r="D8" s="2358"/>
      <c r="E8" s="2356"/>
      <c r="F8" s="2359"/>
      <c r="G8" s="2359"/>
      <c r="H8" s="2360"/>
      <c r="I8" s="2361">
        <f t="shared" si="0"/>
        <v>0</v>
      </c>
    </row>
    <row r="9" spans="1:9">
      <c r="A9" s="4016"/>
      <c r="B9" s="4017" t="s">
        <v>2443</v>
      </c>
      <c r="C9" s="4017"/>
      <c r="D9" s="2358"/>
      <c r="E9" s="2356"/>
      <c r="F9" s="2359"/>
      <c r="G9" s="2359"/>
      <c r="H9" s="2360"/>
      <c r="I9" s="2361">
        <f t="shared" si="0"/>
        <v>0</v>
      </c>
    </row>
    <row r="10" spans="1:9">
      <c r="A10" s="4016"/>
      <c r="B10" s="4018" t="s">
        <v>2444</v>
      </c>
      <c r="C10" s="4018"/>
      <c r="D10" s="2362">
        <v>527</v>
      </c>
      <c r="E10" s="2362" t="e">
        <f>ROUND(D1*10000/D10/H9,0)</f>
        <v>#DIV/0!</v>
      </c>
      <c r="F10" s="2363"/>
      <c r="G10" s="2363"/>
      <c r="H10" s="2364"/>
      <c r="I10" s="2365">
        <f>SUM(I3:I9)</f>
        <v>0</v>
      </c>
    </row>
    <row r="11" spans="1:9" ht="14.25">
      <c r="A11" s="4016" t="s">
        <v>2445</v>
      </c>
      <c r="B11" s="4017" t="s">
        <v>2446</v>
      </c>
      <c r="C11" s="4017"/>
      <c r="D11" s="2358" t="s">
        <v>2447</v>
      </c>
      <c r="E11" s="2358" t="s">
        <v>2448</v>
      </c>
      <c r="F11" s="2359" t="s">
        <v>2449</v>
      </c>
      <c r="G11" s="2359" t="s">
        <v>2450</v>
      </c>
      <c r="H11" s="2366" t="s">
        <v>2451</v>
      </c>
      <c r="I11" s="2357" t="s">
        <v>2452</v>
      </c>
    </row>
    <row r="12" spans="1:9">
      <c r="A12" s="4016"/>
      <c r="B12" s="4017" t="s">
        <v>2453</v>
      </c>
      <c r="C12" s="4017"/>
      <c r="D12" s="2358"/>
      <c r="E12" s="2358"/>
      <c r="F12" s="2359"/>
      <c r="G12" s="2360"/>
      <c r="H12" s="2367"/>
      <c r="I12" s="2357">
        <f>ROUND(D12*E12*F12*G12/10000,0)</f>
        <v>0</v>
      </c>
    </row>
    <row r="13" spans="1:9">
      <c r="A13" s="4016"/>
      <c r="B13" s="4017" t="s">
        <v>2454</v>
      </c>
      <c r="C13" s="4017"/>
      <c r="D13" s="2358"/>
      <c r="E13" s="2358"/>
      <c r="F13" s="2359"/>
      <c r="G13" s="2360"/>
      <c r="H13" s="2367"/>
      <c r="I13" s="2357">
        <f>ROUND(D13*E13*F13*G13/10000,0)</f>
        <v>0</v>
      </c>
    </row>
    <row r="14" spans="1:9">
      <c r="A14" s="4016"/>
      <c r="B14" s="4017" t="s">
        <v>2455</v>
      </c>
      <c r="C14" s="4017"/>
      <c r="D14" s="2358"/>
      <c r="E14" s="2358"/>
      <c r="F14" s="2359"/>
      <c r="G14" s="2360"/>
      <c r="H14" s="2367"/>
      <c r="I14" s="2357">
        <f>ROUND(D14*E14*F14*G14/10000,0)</f>
        <v>0</v>
      </c>
    </row>
    <row r="15" spans="1:9">
      <c r="A15" s="4016"/>
      <c r="B15" s="4018" t="s">
        <v>2444</v>
      </c>
      <c r="C15" s="4018"/>
      <c r="D15" s="2362"/>
      <c r="E15" s="2362">
        <f>SUM(E12:E14)</f>
        <v>0</v>
      </c>
      <c r="F15" s="2363"/>
      <c r="G15" s="2360"/>
      <c r="H15" s="2367"/>
      <c r="I15" s="2368">
        <f>SUM(I12:I14)</f>
        <v>0</v>
      </c>
    </row>
    <row r="16" spans="1:9" ht="24">
      <c r="A16" s="4016" t="s">
        <v>2456</v>
      </c>
      <c r="B16" s="4017" t="s">
        <v>2457</v>
      </c>
      <c r="C16" s="4017"/>
      <c r="D16" s="2358" t="s">
        <v>2458</v>
      </c>
      <c r="E16" s="2369" t="s">
        <v>2459</v>
      </c>
      <c r="F16" s="2359" t="s">
        <v>2460</v>
      </c>
      <c r="G16" s="2360" t="s">
        <v>2450</v>
      </c>
      <c r="H16" s="2366" t="s">
        <v>2451</v>
      </c>
      <c r="I16" s="2357" t="s">
        <v>2452</v>
      </c>
    </row>
    <row r="17" spans="1:9" ht="14.25">
      <c r="A17" s="4016"/>
      <c r="B17" s="4017" t="s">
        <v>2461</v>
      </c>
      <c r="C17" s="4017"/>
      <c r="D17" s="2358"/>
      <c r="E17" s="2358"/>
      <c r="F17" s="2359"/>
      <c r="G17" s="2360"/>
      <c r="H17" s="2370"/>
      <c r="I17" s="2371">
        <f>ROUND(D17*E17*F17*G17/10000,0)</f>
        <v>0</v>
      </c>
    </row>
    <row r="18" spans="1:9" ht="14.25">
      <c r="A18" s="4016"/>
      <c r="B18" s="4017" t="s">
        <v>2462</v>
      </c>
      <c r="C18" s="4017"/>
      <c r="D18" s="2358"/>
      <c r="E18" s="2358"/>
      <c r="F18" s="2359"/>
      <c r="G18" s="2360"/>
      <c r="H18" s="2370"/>
      <c r="I18" s="2371">
        <f>ROUND(D18*E18*F18*G18/10000,0)</f>
        <v>0</v>
      </c>
    </row>
    <row r="19" spans="1:9" ht="14.25">
      <c r="A19" s="4016"/>
      <c r="B19" s="4017" t="s">
        <v>2463</v>
      </c>
      <c r="C19" s="4017"/>
      <c r="D19" s="2358"/>
      <c r="E19" s="2358"/>
      <c r="F19" s="2359"/>
      <c r="G19" s="2360"/>
      <c r="H19" s="2370"/>
      <c r="I19" s="2371">
        <f>ROUND(D19*E19*F19*G19/10000,0)</f>
        <v>0</v>
      </c>
    </row>
    <row r="20" spans="1:9">
      <c r="A20" s="4016"/>
      <c r="B20" s="4018" t="s">
        <v>2444</v>
      </c>
      <c r="C20" s="4018"/>
      <c r="D20" s="2362">
        <f>SUM(D17:D19)</f>
        <v>0</v>
      </c>
      <c r="E20" s="2362"/>
      <c r="F20" s="2363"/>
      <c r="G20" s="2360"/>
      <c r="H20" s="2367"/>
      <c r="I20" s="2368">
        <f>SUM(I17:I19)</f>
        <v>0</v>
      </c>
    </row>
    <row r="21" spans="1:9">
      <c r="A21" s="4016" t="s">
        <v>2464</v>
      </c>
      <c r="B21" s="4019"/>
      <c r="C21" s="4019"/>
      <c r="D21" s="4019"/>
      <c r="E21" s="4019"/>
      <c r="F21" s="4019"/>
      <c r="G21" s="4019"/>
      <c r="H21" s="2372">
        <v>0.1</v>
      </c>
      <c r="I21" s="2365">
        <f>ROUND(I10*H21,0)</f>
        <v>0</v>
      </c>
    </row>
    <row r="22" spans="1:9" ht="14.25">
      <c r="A22" s="4020" t="s">
        <v>2465</v>
      </c>
      <c r="B22" s="4021"/>
      <c r="C22" s="4022"/>
      <c r="D22" s="2373" t="s">
        <v>2466</v>
      </c>
      <c r="E22" s="2373" t="s">
        <v>2467</v>
      </c>
      <c r="F22" s="2374" t="s">
        <v>2468</v>
      </c>
      <c r="G22" s="2374" t="s">
        <v>2469</v>
      </c>
      <c r="H22" s="2366" t="s">
        <v>2470</v>
      </c>
      <c r="I22" s="2357" t="s">
        <v>2471</v>
      </c>
    </row>
    <row r="23" spans="1:9" ht="14.25" thickBot="1">
      <c r="A23" s="4023"/>
      <c r="B23" s="4024"/>
      <c r="C23" s="4025"/>
      <c r="D23" s="2375"/>
      <c r="E23" s="2375"/>
      <c r="F23" s="2375"/>
      <c r="G23" s="2376"/>
      <c r="H23" s="2377"/>
      <c r="I23" s="2378">
        <f>ROUND(E23*D23*F23*(1-G23)/10000,0)</f>
        <v>0</v>
      </c>
    </row>
    <row r="26" spans="1:9">
      <c r="A26" s="2379" t="s">
        <v>2472</v>
      </c>
      <c r="B26" s="2379"/>
      <c r="C26" s="2379"/>
      <c r="D26" s="2379"/>
      <c r="E26" s="4013">
        <f>C27-C30-C31-C32</f>
        <v>0</v>
      </c>
      <c r="F26" s="4013"/>
      <c r="G26" s="4013"/>
      <c r="H26" s="2748" t="s">
        <v>2798</v>
      </c>
    </row>
    <row r="27" spans="1:9">
      <c r="A27" s="2380">
        <v>1</v>
      </c>
      <c r="B27" s="2381" t="s">
        <v>2473</v>
      </c>
      <c r="C27" s="2381"/>
      <c r="D27" s="2381"/>
      <c r="E27" s="4014"/>
      <c r="F27" s="4014"/>
      <c r="G27" s="4014"/>
    </row>
    <row r="28" spans="1:9">
      <c r="A28" s="2382" t="s">
        <v>2474</v>
      </c>
      <c r="B28" s="2381" t="s">
        <v>2475</v>
      </c>
      <c r="C28" s="2381"/>
      <c r="D28" s="2381"/>
      <c r="E28" s="4014"/>
      <c r="F28" s="4014"/>
      <c r="G28" s="4014"/>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4015"/>
      <c r="F32" s="4015"/>
      <c r="G32" s="4015"/>
    </row>
    <row r="33" spans="1:7" hidden="1">
      <c r="A33" s="4010" t="s">
        <v>2483</v>
      </c>
      <c r="B33" s="4011"/>
      <c r="C33" s="4011"/>
      <c r="D33" s="4012"/>
      <c r="E33" s="4013"/>
      <c r="F33" s="4013"/>
      <c r="G33" s="4013"/>
    </row>
    <row r="34" spans="1:7" hidden="1">
      <c r="A34" s="2384">
        <v>1</v>
      </c>
      <c r="B34" s="2381" t="s">
        <v>2484</v>
      </c>
      <c r="C34" s="2381"/>
      <c r="D34" s="2381"/>
      <c r="E34" s="4014"/>
      <c r="F34" s="4014"/>
      <c r="G34" s="4014"/>
    </row>
    <row r="35" spans="1:7" hidden="1">
      <c r="A35" s="2384">
        <v>2</v>
      </c>
      <c r="B35" s="2381" t="s">
        <v>2485</v>
      </c>
      <c r="C35" s="2381"/>
      <c r="D35" s="2381"/>
      <c r="E35" s="4014"/>
      <c r="F35" s="4014"/>
      <c r="G35" s="4014"/>
    </row>
    <row r="36" spans="1:7" hidden="1">
      <c r="A36" s="2384">
        <v>3</v>
      </c>
      <c r="B36" s="2381" t="s">
        <v>2486</v>
      </c>
      <c r="C36" s="2381"/>
      <c r="D36" s="2381"/>
      <c r="E36" s="4014"/>
      <c r="F36" s="4014"/>
      <c r="G36" s="4014"/>
    </row>
    <row r="37" spans="1:7" hidden="1">
      <c r="A37" s="2384">
        <v>4</v>
      </c>
      <c r="B37" s="2381" t="s">
        <v>2487</v>
      </c>
      <c r="C37" s="2381"/>
      <c r="D37" s="2381"/>
      <c r="E37" s="4014"/>
      <c r="F37" s="4014"/>
      <c r="G37" s="4014"/>
    </row>
    <row r="38" spans="1:7" hidden="1">
      <c r="A38" s="4010" t="s">
        <v>2488</v>
      </c>
      <c r="B38" s="4011"/>
      <c r="C38" s="4011"/>
      <c r="D38" s="4012"/>
      <c r="E38" s="4013"/>
      <c r="F38" s="4013"/>
      <c r="G38" s="4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9"/>
      <c r="D2" s="3259"/>
      <c r="E2" s="3259"/>
      <c r="F2" s="3259"/>
      <c r="G2" s="3259"/>
    </row>
    <row r="3" spans="1:25" s="1938" customFormat="1" ht="18" customHeight="1">
      <c r="A3" s="1327" t="s">
        <v>1652</v>
      </c>
      <c r="B3" s="416">
        <f ca="1">ROUND(B2*10000/'数据-汇总表'!E3,0)</f>
        <v>0</v>
      </c>
      <c r="C3" s="3259"/>
      <c r="D3" s="3259"/>
      <c r="E3" s="3259"/>
      <c r="F3" s="3259"/>
      <c r="G3" s="3259"/>
    </row>
    <row r="4" spans="1:25" s="1938" customFormat="1" ht="18" customHeight="1">
      <c r="A4" s="417" t="s">
        <v>439</v>
      </c>
      <c r="B4" s="418">
        <f ca="1">ROUND(B2*10000/'数据-汇总表'!D3,0)</f>
        <v>0</v>
      </c>
      <c r="C4" s="3212"/>
      <c r="D4" s="3259"/>
      <c r="E4" s="3259"/>
      <c r="F4" s="3259"/>
      <c r="G4" s="3259"/>
    </row>
    <row r="5" spans="1:25" s="1938" customFormat="1" ht="18" customHeight="1" thickBot="1">
      <c r="A5" s="420"/>
      <c r="B5" s="421">
        <f ca="1">ROUND(B2/('数据-汇总表'!D3/666.67),0)</f>
        <v>0</v>
      </c>
      <c r="C5" s="422" t="s">
        <v>440</v>
      </c>
      <c r="D5" s="3259"/>
      <c r="E5" s="3259"/>
      <c r="F5" s="3259"/>
      <c r="G5" s="3259"/>
    </row>
    <row r="6" spans="1:25" s="2060" customFormat="1" ht="13.5" customHeight="1">
      <c r="A6" s="732"/>
      <c r="B6" s="733" t="s">
        <v>575</v>
      </c>
      <c r="C6" s="734" t="s">
        <v>576</v>
      </c>
      <c r="D6" s="734" t="s">
        <v>577</v>
      </c>
      <c r="E6" s="735" t="s">
        <v>578</v>
      </c>
      <c r="F6" s="735" t="s">
        <v>579</v>
      </c>
      <c r="G6" s="3258" t="s">
        <v>2971</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2">
        <f t="shared" ref="C8:C9" si="0">ROUND(D8*E8/10000,0)</f>
        <v>0</v>
      </c>
      <c r="D8" s="3262">
        <v>0</v>
      </c>
      <c r="E8" s="3263">
        <v>0</v>
      </c>
      <c r="F8" s="738"/>
      <c r="G8" s="739"/>
    </row>
    <row r="9" spans="1:25" s="2060" customFormat="1" ht="13.5" customHeight="1">
      <c r="A9" s="2319" t="s">
        <v>2400</v>
      </c>
      <c r="B9" s="2322" t="s">
        <v>2402</v>
      </c>
      <c r="C9" s="3262">
        <f t="shared" si="0"/>
        <v>0</v>
      </c>
      <c r="D9" s="3262">
        <v>0</v>
      </c>
      <c r="E9" s="3263">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828</v>
      </c>
      <c r="D12" s="3262">
        <f>'数据-汇总表'!E5</f>
        <v>51777.739999999976</v>
      </c>
      <c r="E12" s="3262">
        <f>'数据-取费表'!B27</f>
        <v>160</v>
      </c>
      <c r="F12" s="743"/>
      <c r="G12" s="746"/>
    </row>
    <row r="13" spans="1:25" s="2060" customFormat="1" ht="13.5" customHeight="1">
      <c r="A13" s="2325" t="s">
        <v>2406</v>
      </c>
      <c r="B13" s="744" t="s">
        <v>583</v>
      </c>
      <c r="C13" s="745">
        <f>ROUND(D13*E13/10000,0)</f>
        <v>608</v>
      </c>
      <c r="D13" s="3262">
        <f>'数据-汇总表'!E6</f>
        <v>30375.979999999996</v>
      </c>
      <c r="E13" s="3262">
        <f>'数据-取费表'!B28</f>
        <v>200</v>
      </c>
      <c r="F13" s="743"/>
      <c r="G13" s="746"/>
    </row>
    <row r="14" spans="1:25" s="2060" customFormat="1" ht="13.5" customHeight="1">
      <c r="A14" s="2319" t="s">
        <v>2400</v>
      </c>
      <c r="B14" s="2324" t="s">
        <v>2403</v>
      </c>
      <c r="C14" s="3264">
        <f t="shared" ref="C14:C15" si="1">ROUND(D14*E14/10000,0)</f>
        <v>0</v>
      </c>
      <c r="D14" s="3262">
        <v>0</v>
      </c>
      <c r="E14" s="3263">
        <v>0</v>
      </c>
      <c r="F14" s="2323"/>
      <c r="G14" s="2326" t="s">
        <v>2408</v>
      </c>
    </row>
    <row r="15" spans="1:25" s="2060" customFormat="1" ht="13.5" customHeight="1">
      <c r="A15" s="2319" t="s">
        <v>2405</v>
      </c>
      <c r="B15" s="2324" t="s">
        <v>2404</v>
      </c>
      <c r="C15" s="3264">
        <f t="shared" si="1"/>
        <v>0</v>
      </c>
      <c r="D15" s="3262">
        <v>0</v>
      </c>
      <c r="E15" s="3263">
        <v>0</v>
      </c>
      <c r="F15" s="2323"/>
      <c r="G15" s="2326" t="s">
        <v>2409</v>
      </c>
    </row>
    <row r="16" spans="1:25" s="2061" customFormat="1" ht="48">
      <c r="A16" s="2319">
        <v>3</v>
      </c>
      <c r="B16" s="736" t="s">
        <v>586</v>
      </c>
      <c r="C16" s="3264">
        <f t="shared" ref="C16" si="2">ROUND(D16*E16/10000,0)</f>
        <v>0</v>
      </c>
      <c r="D16" s="3262">
        <v>0</v>
      </c>
      <c r="E16" s="3263">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0.91600000000000004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1" customFormat="1">
      <c r="A24" s="3260"/>
      <c r="D24" s="1880"/>
      <c r="E24" s="1880"/>
    </row>
    <row r="25" spans="1:25" s="3261" customFormat="1">
      <c r="A25" s="3260"/>
      <c r="D25" s="1880"/>
      <c r="E25" s="1880"/>
    </row>
    <row r="26" spans="1:25" s="3261" customFormat="1">
      <c r="A26" s="3260"/>
      <c r="D26" s="1880"/>
      <c r="E26" s="1880"/>
    </row>
    <row r="27" spans="1:25" s="3261" customFormat="1">
      <c r="A27" s="3260"/>
      <c r="D27" s="1880"/>
      <c r="E27" s="1880"/>
    </row>
    <row r="28" spans="1:25" s="3261" customFormat="1">
      <c r="A28" s="3260"/>
      <c r="D28" s="1880"/>
      <c r="E28" s="1880"/>
    </row>
    <row r="29" spans="1:25" s="3261" customFormat="1">
      <c r="A29" s="3260"/>
      <c r="D29" s="1880"/>
      <c r="E29" s="1880"/>
    </row>
    <row r="30" spans="1:25" s="3261" customFormat="1">
      <c r="A30" s="3260"/>
      <c r="D30" s="1880"/>
      <c r="E30" s="1880"/>
    </row>
    <row r="31" spans="1:25" s="3261" customFormat="1">
      <c r="A31" s="3260"/>
      <c r="D31" s="1880"/>
      <c r="E31" s="1880"/>
    </row>
    <row r="32" spans="1:25" s="3261" customFormat="1">
      <c r="A32" s="3260"/>
      <c r="D32" s="1880"/>
      <c r="E32" s="1880"/>
    </row>
    <row r="33" spans="1:5" s="3261" customFormat="1">
      <c r="A33" s="3260"/>
      <c r="D33" s="1880"/>
      <c r="E33" s="1880"/>
    </row>
    <row r="34" spans="1:5" s="3261" customFormat="1">
      <c r="A34" s="3260"/>
      <c r="D34" s="1880"/>
      <c r="E34" s="1880"/>
    </row>
    <row r="35" spans="1:5" s="3261" customFormat="1">
      <c r="A35" s="3260"/>
      <c r="D35" s="1880"/>
      <c r="E35" s="1880"/>
    </row>
    <row r="36" spans="1:5" s="3261" customFormat="1">
      <c r="A36" s="3260"/>
      <c r="D36" s="1880"/>
      <c r="E36" s="1880"/>
    </row>
    <row r="37" spans="1:5" s="3261" customFormat="1">
      <c r="A37" s="3260"/>
      <c r="D37" s="1880"/>
      <c r="E37" s="1880"/>
    </row>
    <row r="38" spans="1:5" s="3261" customFormat="1">
      <c r="A38" s="3260"/>
      <c r="D38" s="1880"/>
      <c r="E38" s="1880"/>
    </row>
    <row r="39" spans="1:5" s="3261" customFormat="1">
      <c r="A39" s="3260"/>
      <c r="D39" s="1880"/>
      <c r="E39" s="1880"/>
    </row>
    <row r="40" spans="1:5" s="3261" customFormat="1">
      <c r="A40" s="3260"/>
      <c r="D40" s="1880"/>
      <c r="E40" s="1880"/>
    </row>
    <row r="41" spans="1:5" s="3261" customFormat="1">
      <c r="A41" s="3260"/>
      <c r="D41" s="1880"/>
      <c r="E41" s="1880"/>
    </row>
    <row r="42" spans="1:5" s="3261" customFormat="1">
      <c r="A42" s="3260"/>
      <c r="D42" s="1880"/>
      <c r="E42" s="1880"/>
    </row>
    <row r="43" spans="1:5" s="3261" customFormat="1">
      <c r="A43" s="3260"/>
      <c r="D43" s="1880"/>
      <c r="E43" s="1880"/>
    </row>
    <row r="44" spans="1:5" s="3261" customFormat="1">
      <c r="A44" s="3260"/>
      <c r="D44" s="1880"/>
      <c r="E44" s="1880"/>
    </row>
    <row r="45" spans="1:5" s="3261" customFormat="1">
      <c r="A45" s="3260"/>
      <c r="D45" s="1880"/>
      <c r="E45" s="1880"/>
    </row>
    <row r="46" spans="1:5" s="3261" customFormat="1">
      <c r="A46" s="3260"/>
      <c r="D46" s="1880"/>
      <c r="E46" s="1880"/>
    </row>
    <row r="47" spans="1:5" s="3261" customFormat="1">
      <c r="A47" s="3260"/>
      <c r="D47" s="1880"/>
      <c r="E47" s="1880"/>
    </row>
    <row r="48" spans="1:5" s="3261" customFormat="1">
      <c r="A48" s="3260"/>
      <c r="D48" s="1880"/>
      <c r="E48" s="1880"/>
    </row>
    <row r="49" spans="1:5" s="3261" customFormat="1">
      <c r="A49" s="3260"/>
      <c r="D49" s="1880"/>
      <c r="E49" s="1880"/>
    </row>
    <row r="50" spans="1:5" s="3261" customFormat="1">
      <c r="A50" s="3260"/>
      <c r="D50" s="1880"/>
      <c r="E50" s="1880"/>
    </row>
    <row r="51" spans="1:5" s="3261" customFormat="1">
      <c r="A51" s="3260"/>
      <c r="D51" s="1880"/>
      <c r="E51" s="1880"/>
    </row>
    <row r="52" spans="1:5" s="3261" customFormat="1">
      <c r="A52" s="3260"/>
      <c r="D52" s="1880"/>
      <c r="E52" s="1880"/>
    </row>
    <row r="53" spans="1:5" s="3261" customFormat="1">
      <c r="A53" s="3260"/>
      <c r="D53" s="1880"/>
      <c r="E53" s="1880"/>
    </row>
    <row r="54" spans="1:5" s="3261" customFormat="1">
      <c r="A54" s="3260"/>
      <c r="D54" s="1880"/>
      <c r="E54" s="1880"/>
    </row>
    <row r="55" spans="1:5" s="3261" customFormat="1">
      <c r="A55" s="3260"/>
      <c r="D55" s="1880"/>
      <c r="E55" s="1880"/>
    </row>
    <row r="56" spans="1:5" s="3261" customFormat="1">
      <c r="A56" s="3260"/>
      <c r="D56" s="1880"/>
      <c r="E56" s="1880"/>
    </row>
    <row r="57" spans="1:5" s="3261" customFormat="1">
      <c r="A57" s="3260"/>
      <c r="D57" s="1880"/>
      <c r="E57" s="1880"/>
    </row>
    <row r="58" spans="1:5" s="3261" customFormat="1">
      <c r="A58" s="3260"/>
      <c r="D58" s="1880"/>
      <c r="E58" s="1880"/>
    </row>
    <row r="59" spans="1:5" s="3261" customFormat="1">
      <c r="A59" s="3260"/>
      <c r="D59" s="1880"/>
      <c r="E59" s="1880"/>
    </row>
    <row r="60" spans="1:5" s="3261" customFormat="1">
      <c r="A60" s="3260"/>
      <c r="D60" s="1880"/>
      <c r="E60" s="1880"/>
    </row>
    <row r="61" spans="1:5" s="3261" customFormat="1">
      <c r="A61" s="3260"/>
      <c r="D61" s="1880"/>
      <c r="E61" s="1880"/>
    </row>
    <row r="62" spans="1:5" s="3261" customFormat="1">
      <c r="A62" s="3260"/>
      <c r="D62" s="1880"/>
      <c r="E62" s="1880"/>
    </row>
    <row r="63" spans="1:5" s="3261" customFormat="1">
      <c r="A63" s="3260"/>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3297</v>
      </c>
      <c r="D1" s="2790" t="s">
        <v>3234</v>
      </c>
      <c r="E1" s="2238" t="s">
        <v>2335</v>
      </c>
      <c r="F1" s="2239">
        <f ca="1">J53</f>
        <v>46.93</v>
      </c>
      <c r="G1" s="3250">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6204</v>
      </c>
      <c r="C2" s="3255"/>
      <c r="D2" s="3256"/>
      <c r="E2" s="3257"/>
      <c r="F2" s="3257"/>
      <c r="G2" s="3251"/>
      <c r="H2" s="1936"/>
      <c r="I2" s="1936"/>
      <c r="J2" s="1936"/>
      <c r="K2" s="1937"/>
      <c r="L2" s="1936"/>
      <c r="M2" s="1936"/>
    </row>
    <row r="3" spans="1:33" ht="18" customHeight="1" thickBot="1">
      <c r="A3" s="819" t="s">
        <v>1694</v>
      </c>
      <c r="B3" s="820">
        <f ca="1">IF(ISERROR(B2*10000/F43),0,ROUND(B2*10000/F43,0))</f>
        <v>9770</v>
      </c>
      <c r="C3" s="3255"/>
      <c r="D3" s="3256"/>
      <c r="E3" s="3257"/>
      <c r="F3" s="3257"/>
      <c r="G3" s="3251"/>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313</v>
      </c>
      <c r="D5" s="2345" t="s">
        <v>2418</v>
      </c>
      <c r="E5" s="2339"/>
      <c r="F5" s="2340"/>
      <c r="G5" s="1941"/>
      <c r="H5" s="768">
        <v>1</v>
      </c>
      <c r="I5" s="769" t="s">
        <v>2415</v>
      </c>
      <c r="J5" s="54">
        <f ca="1">J6+J10+J12</f>
        <v>0</v>
      </c>
      <c r="K5" s="2345" t="s">
        <v>2418</v>
      </c>
      <c r="L5" s="2339"/>
      <c r="M5" s="2340"/>
    </row>
    <row r="6" spans="1:33" ht="18" customHeight="1">
      <c r="A6" s="1741" t="s">
        <v>1791</v>
      </c>
      <c r="B6" s="3953" t="s">
        <v>2420</v>
      </c>
      <c r="C6" s="770">
        <f ca="1">ROUND(F6*F8*F7*(1-F9)/10000,0)</f>
        <v>313</v>
      </c>
      <c r="D6" s="2346" t="s">
        <v>2419</v>
      </c>
      <c r="E6" s="771" t="s">
        <v>608</v>
      </c>
      <c r="F6" s="772">
        <f ca="1">INDIRECT("'数据-取费表'!u"&amp;$G$1)</f>
        <v>1.5</v>
      </c>
      <c r="G6" s="1941"/>
      <c r="H6" s="2353" t="s">
        <v>2425</v>
      </c>
      <c r="I6" s="3953" t="s">
        <v>2420</v>
      </c>
      <c r="J6" s="770">
        <f ca="1">ROUND(M6*M8*M7*(1-M9)/10000,0)</f>
        <v>0</v>
      </c>
      <c r="K6" s="336" t="s">
        <v>1704</v>
      </c>
      <c r="L6" s="771" t="s">
        <v>608</v>
      </c>
      <c r="M6" s="772">
        <f ca="1">INDIRECT("'数据-取费表'!z"&amp;$G$1)</f>
        <v>0</v>
      </c>
    </row>
    <row r="7" spans="1:33" ht="18" customHeight="1">
      <c r="A7" s="2349"/>
      <c r="B7" s="3954"/>
      <c r="C7" s="775"/>
      <c r="D7" s="776"/>
      <c r="E7" s="771" t="s">
        <v>1706</v>
      </c>
      <c r="F7" s="772">
        <f ca="1">IF(INDIRECT("'数据-取费表'!ah"&amp;$G$1)="",INDIRECT("'数据-取费表'!k"&amp;$G$1),INDIRECT("'数据-取费表'!ah"&amp;$G$1))</f>
        <v>6350.35</v>
      </c>
      <c r="G7" s="1941"/>
      <c r="H7" s="2338"/>
      <c r="I7" s="3954"/>
      <c r="J7" s="775"/>
      <c r="K7" s="776"/>
      <c r="L7" s="771" t="s">
        <v>1706</v>
      </c>
      <c r="M7" s="772">
        <f ca="1">F7</f>
        <v>6350.35</v>
      </c>
    </row>
    <row r="8" spans="1:33" ht="18" customHeight="1">
      <c r="A8" s="2342"/>
      <c r="B8" s="3955"/>
      <c r="C8" s="775"/>
      <c r="D8" s="776"/>
      <c r="E8" s="771" t="s">
        <v>1707</v>
      </c>
      <c r="F8" s="772">
        <f ca="1">INDIRECT("'数据-取费表'!ai"&amp;$G$1)</f>
        <v>365</v>
      </c>
      <c r="G8" s="1941"/>
      <c r="H8" s="2338"/>
      <c r="I8" s="3955"/>
      <c r="J8" s="775"/>
      <c r="K8" s="776"/>
      <c r="L8" s="771" t="s">
        <v>1707</v>
      </c>
      <c r="M8" s="772">
        <f ca="1">INDIRECT("'数据-取费表'!ai"&amp;$G$1)</f>
        <v>365</v>
      </c>
    </row>
    <row r="9" spans="1:33" ht="18" customHeight="1">
      <c r="A9" s="773"/>
      <c r="B9" s="3956"/>
      <c r="C9" s="775"/>
      <c r="D9" s="776"/>
      <c r="E9" s="771" t="s">
        <v>1708</v>
      </c>
      <c r="F9" s="781">
        <f ca="1">INDIRECT("'数据-取费表'!w"&amp;$G$1)</f>
        <v>0.1</v>
      </c>
      <c r="G9" s="1941"/>
      <c r="H9" s="2354"/>
      <c r="I9" s="3955"/>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2578</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1905</v>
      </c>
      <c r="D14" s="3319" t="s">
        <v>1712</v>
      </c>
      <c r="E14" s="3320"/>
      <c r="F14" s="792"/>
      <c r="G14" s="1941"/>
      <c r="H14" s="1573" t="s">
        <v>1797</v>
      </c>
      <c r="I14" s="2107" t="s">
        <v>2781</v>
      </c>
      <c r="J14" s="52">
        <f ca="1">C29</f>
        <v>2578</v>
      </c>
      <c r="K14" s="25"/>
      <c r="L14" s="788"/>
      <c r="M14" s="789"/>
    </row>
    <row r="15" spans="1:33" s="1943" customFormat="1" ht="18" customHeight="1" thickBot="1">
      <c r="A15" s="1572" t="s">
        <v>1799</v>
      </c>
      <c r="B15" s="771" t="s">
        <v>618</v>
      </c>
      <c r="C15" s="52">
        <f ca="1">ROUND(C14*F15,0)</f>
        <v>57</v>
      </c>
      <c r="D15" s="793" t="s">
        <v>1713</v>
      </c>
      <c r="E15" s="793" t="s">
        <v>620</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243</v>
      </c>
      <c r="K16" s="1732" t="s">
        <v>623</v>
      </c>
      <c r="L16" s="3321"/>
      <c r="M16" s="2340"/>
    </row>
    <row r="17" spans="1:33" s="1943" customFormat="1" ht="18" customHeight="1">
      <c r="A17" s="1572" t="s">
        <v>1854</v>
      </c>
      <c r="B17" s="771" t="s">
        <v>624</v>
      </c>
      <c r="C17" s="52">
        <f ca="1">ROUND(F17*(F43+INDIRECT("'数据-取费表'!S"&amp;$G$1))/10000,0)</f>
        <v>127</v>
      </c>
      <c r="D17" s="771" t="s">
        <v>1718</v>
      </c>
      <c r="E17" s="771" t="s">
        <v>1719</v>
      </c>
      <c r="F17" s="55">
        <f>'数据-取费表'!B35</f>
        <v>200</v>
      </c>
      <c r="G17" s="3252"/>
      <c r="H17" s="1573" t="s">
        <v>1797</v>
      </c>
      <c r="I17" s="771" t="s">
        <v>627</v>
      </c>
      <c r="J17" s="3011">
        <f ca="1">ROUND(IF(AND(项目基本情况!B11="自然人",项目基本情况!B10="北京市"),J6*M17/(1+'数据-取费表'!C42),J18+J19+J20),0)</f>
        <v>217</v>
      </c>
      <c r="K17" s="3319" t="s">
        <v>1720</v>
      </c>
      <c r="L17" s="3318"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29</v>
      </c>
      <c r="D18" s="771" t="s">
        <v>1713</v>
      </c>
      <c r="E18" s="771" t="s">
        <v>620</v>
      </c>
      <c r="F18" s="796">
        <f>'数据-取费表'!B36</f>
        <v>1.4999999999999999E-2</v>
      </c>
      <c r="G18" s="3252"/>
      <c r="H18" s="1572" t="s">
        <v>1798</v>
      </c>
      <c r="I18" s="771" t="s">
        <v>1722</v>
      </c>
      <c r="J18" s="52">
        <f ca="1">ROUND(J6*M18/(1+'数据-取费表'!C42),1)</f>
        <v>0</v>
      </c>
      <c r="K18" s="3318"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2118</v>
      </c>
      <c r="D19" s="257" t="s">
        <v>1724</v>
      </c>
      <c r="E19" s="3323"/>
      <c r="F19" s="55"/>
      <c r="G19" s="1941"/>
      <c r="H19" s="1572" t="s">
        <v>1799</v>
      </c>
      <c r="I19" s="771" t="s">
        <v>1725</v>
      </c>
      <c r="J19" s="52">
        <f ca="1">IF(K19="按租金收入计税",ROUND(J6*M19/(1+'数据-取费表'!C42),1),ROUND(C29*F33*0.7,1))</f>
        <v>216.6</v>
      </c>
      <c r="K19" s="797" t="s">
        <v>636</v>
      </c>
      <c r="L19" s="771" t="s">
        <v>620</v>
      </c>
      <c r="M19" s="796">
        <f>IF(K19="按租金收入计税",'数据-取费表'!B51,'数据-取费表'!B50)</f>
        <v>1.2E-2</v>
      </c>
    </row>
    <row r="20" spans="1:33" s="1943" customFormat="1" ht="18" customHeight="1">
      <c r="A20" s="1573" t="s">
        <v>1856</v>
      </c>
      <c r="B20" s="771" t="s">
        <v>637</v>
      </c>
      <c r="C20" s="52">
        <f ca="1">ROUND(C19*F20,0)</f>
        <v>42</v>
      </c>
      <c r="D20" s="798" t="s">
        <v>1726</v>
      </c>
      <c r="E20" s="771" t="s">
        <v>620</v>
      </c>
      <c r="F20" s="796">
        <f>'数据-取费表'!B37</f>
        <v>0.02</v>
      </c>
      <c r="G20" s="3252"/>
      <c r="H20" s="1575" t="s">
        <v>1847</v>
      </c>
      <c r="I20" s="336" t="s">
        <v>639</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2"/>
      <c r="H21" s="2355"/>
      <c r="I21" s="780"/>
      <c r="J21" s="68"/>
      <c r="K21" s="802"/>
      <c r="L21" s="771" t="s">
        <v>1733</v>
      </c>
      <c r="M21" s="772">
        <f ca="1">INDIRECT("'数据-取费表'!r"&amp;$G$1)</f>
        <v>1474.68</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323"/>
      <c r="F22" s="55"/>
      <c r="G22" s="1941"/>
      <c r="H22" s="1573" t="s">
        <v>1856</v>
      </c>
      <c r="I22" s="771" t="s">
        <v>1735</v>
      </c>
      <c r="J22" s="52">
        <f ca="1">ROUND(J14*M22,0)</f>
        <v>26</v>
      </c>
      <c r="K22" s="3318"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118</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3318"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323"/>
      <c r="F25" s="55"/>
      <c r="G25" s="1941"/>
      <c r="H25" s="1740" t="s">
        <v>1743</v>
      </c>
      <c r="I25" s="2718" t="s">
        <v>2777</v>
      </c>
      <c r="J25" s="779">
        <f ca="1">J5-J16</f>
        <v>-243</v>
      </c>
      <c r="K25" s="2397" t="s">
        <v>671</v>
      </c>
      <c r="L25" s="2398"/>
      <c r="M25" s="2399"/>
    </row>
    <row r="26" spans="1:33" ht="18" customHeight="1">
      <c r="A26" s="1572" t="s">
        <v>1798</v>
      </c>
      <c r="B26" s="771" t="s">
        <v>2398</v>
      </c>
      <c r="C26" s="52">
        <f ca="1">ROUND((C19+C20)*F26,0)</f>
        <v>108</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2578</v>
      </c>
      <c r="D29" s="2394"/>
      <c r="E29" s="2395"/>
      <c r="F29" s="2396"/>
      <c r="G29" s="3252"/>
      <c r="H29" s="809" t="s">
        <v>1754</v>
      </c>
      <c r="I29" s="810" t="s">
        <v>1755</v>
      </c>
      <c r="J29" s="811">
        <f ca="1">ROUND(J26/(1+F40)^F41,0)</f>
        <v>0</v>
      </c>
      <c r="K29" s="812" t="s">
        <v>659</v>
      </c>
      <c r="L29" s="813"/>
      <c r="M29" s="814">
        <f ca="1">INDIRECT("'数据-取费表'!k"&amp;$G$1)</f>
        <v>6350.35</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84</v>
      </c>
      <c r="D30" s="1732" t="s">
        <v>1758</v>
      </c>
      <c r="E30" s="3321"/>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52</v>
      </c>
      <c r="D31" s="3319" t="s">
        <v>1759</v>
      </c>
      <c r="E31" s="3318" t="s">
        <v>661</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16.399999999999999</v>
      </c>
      <c r="D32" s="3318"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35.799999999999997</v>
      </c>
      <c r="D33" s="797" t="s">
        <v>3235</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0.2</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1474.68</v>
      </c>
      <c r="G35" s="1941"/>
      <c r="H35" s="1944"/>
      <c r="I35" s="823" t="s">
        <v>1781</v>
      </c>
      <c r="J35" s="824">
        <f ca="1">ROUND(C13*J36,0)</f>
        <v>219</v>
      </c>
      <c r="K35" s="1957"/>
      <c r="L35" s="1956"/>
      <c r="M35" s="1956"/>
    </row>
    <row r="36" spans="1:18" ht="18" customHeight="1">
      <c r="A36" s="1573" t="s">
        <v>1856</v>
      </c>
      <c r="B36" s="771" t="s">
        <v>1769</v>
      </c>
      <c r="C36" s="52">
        <f ca="1">ROUND(C29*F36,1)</f>
        <v>25.8</v>
      </c>
      <c r="D36" s="3318"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2.6</v>
      </c>
      <c r="D37" s="3318"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3.1</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229</v>
      </c>
      <c r="D39" s="2397" t="s">
        <v>1773</v>
      </c>
      <c r="E39" s="2398"/>
      <c r="F39" s="2399"/>
      <c r="G39" s="1941"/>
      <c r="H39" s="1956"/>
      <c r="I39" s="823" t="s">
        <v>1785</v>
      </c>
      <c r="J39" s="831">
        <f ca="1">ROUND(J35/C39,3)</f>
        <v>0.95599999999999996</v>
      </c>
      <c r="K39" s="1961"/>
      <c r="L39" s="1956"/>
      <c r="M39" s="1956"/>
    </row>
    <row r="40" spans="1:18" ht="18" customHeight="1">
      <c r="A40" s="768" t="s">
        <v>1862</v>
      </c>
      <c r="B40" s="2108" t="s">
        <v>2265</v>
      </c>
      <c r="C40" s="770">
        <f ca="1">ROUND(C39*(1-((1+F42)/(1+F40))^F41)/(F40-F42),0)</f>
        <v>6204</v>
      </c>
      <c r="D40" s="800" t="s">
        <v>1774</v>
      </c>
      <c r="E40" s="771" t="s">
        <v>2380</v>
      </c>
      <c r="F40" s="781">
        <f ca="1">INDIRECT("'数据-取费表'!I"&amp;$G$1)</f>
        <v>0.05</v>
      </c>
      <c r="G40" s="1941"/>
      <c r="H40" s="1941"/>
      <c r="I40" s="823" t="s">
        <v>1786</v>
      </c>
      <c r="J40" s="831">
        <f ca="1">1-J39</f>
        <v>4.4000000000000039E-2</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46.93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0.41599999999999998</v>
      </c>
      <c r="K42" s="1960"/>
      <c r="L42" s="1896"/>
      <c r="M42" s="1896"/>
    </row>
    <row r="43" spans="1:18" ht="18" customHeight="1" thickBot="1">
      <c r="A43" s="809" t="s">
        <v>1754</v>
      </c>
      <c r="B43" s="810" t="s">
        <v>1777</v>
      </c>
      <c r="C43" s="811">
        <f ca="1">ROUND(C40*10000/F43,0)</f>
        <v>9770</v>
      </c>
      <c r="D43" s="812" t="s">
        <v>1778</v>
      </c>
      <c r="E43" s="813" t="s">
        <v>1779</v>
      </c>
      <c r="F43" s="814">
        <f ca="1">INDIRECT("'数据-取费表'!k"&amp;$G$1)</f>
        <v>6350.35</v>
      </c>
      <c r="G43" s="1941"/>
      <c r="H43" s="1896"/>
      <c r="I43" s="833" t="s">
        <v>1789</v>
      </c>
      <c r="J43" s="834">
        <f ca="1">1-J42</f>
        <v>0.58400000000000007</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-6707</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49.43</v>
      </c>
      <c r="M48" s="3254"/>
      <c r="O48" s="2249" t="s">
        <v>2340</v>
      </c>
      <c r="P48" s="2250" t="s">
        <v>2366</v>
      </c>
      <c r="Q48" s="2251">
        <f ca="1">C40+J29</f>
        <v>6204</v>
      </c>
      <c r="R48" s="2250" t="s">
        <v>2341</v>
      </c>
    </row>
    <row r="49" spans="1:18" s="1938" customFormat="1" ht="18" customHeight="1" thickBot="1">
      <c r="A49" s="773"/>
      <c r="B49" s="774"/>
      <c r="C49" s="775"/>
      <c r="D49" s="776"/>
      <c r="E49" s="771" t="s">
        <v>1706</v>
      </c>
      <c r="F49" s="772">
        <f ca="1">F7</f>
        <v>6350.35</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2578</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204</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46.93</v>
      </c>
      <c r="K53" s="4008" t="s">
        <v>2905</v>
      </c>
      <c r="L53" s="4009"/>
      <c r="M53" s="3254"/>
      <c r="O53" s="2252" t="s">
        <v>2349</v>
      </c>
      <c r="P53" s="2250" t="s">
        <v>2350</v>
      </c>
      <c r="Q53" s="2251">
        <f ca="1">J53</f>
        <v>46.93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6204</v>
      </c>
      <c r="R54" s="2254" t="s">
        <v>2353</v>
      </c>
    </row>
    <row r="55" spans="1:18" s="1938" customFormat="1" ht="18" customHeight="1" thickTop="1" thickBot="1">
      <c r="A55" s="784">
        <v>2</v>
      </c>
      <c r="B55" s="785" t="s">
        <v>615</v>
      </c>
      <c r="C55" s="786">
        <f ca="1">C13</f>
        <v>2578</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2578</v>
      </c>
      <c r="D56" s="3318"/>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28</v>
      </c>
      <c r="D57" s="25" t="s">
        <v>623</v>
      </c>
      <c r="E57" s="3323"/>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6204</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3319" t="s">
        <v>628</v>
      </c>
      <c r="E58" s="3318"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3318"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318"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0.2</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1474.68</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25.8</v>
      </c>
      <c r="D63" s="3318" t="s">
        <v>1770</v>
      </c>
      <c r="E63" s="771" t="s">
        <v>620</v>
      </c>
      <c r="F63" s="803">
        <f t="shared" ca="1" si="0"/>
        <v>0.01</v>
      </c>
      <c r="I63" s="2816" t="s">
        <v>2331</v>
      </c>
      <c r="J63" s="2817">
        <v>70</v>
      </c>
      <c r="K63" s="2817">
        <v>50</v>
      </c>
      <c r="L63" s="2817">
        <v>80</v>
      </c>
      <c r="M63" s="2819">
        <v>0.02</v>
      </c>
      <c r="O63" s="2249" t="s">
        <v>2352</v>
      </c>
      <c r="P63" s="2250" t="s">
        <v>2369</v>
      </c>
      <c r="Q63" s="2251">
        <f ca="1">Q57+Q58</f>
        <v>6204</v>
      </c>
      <c r="R63" s="2254" t="s">
        <v>2353</v>
      </c>
    </row>
    <row r="64" spans="1:18" s="1938" customFormat="1" ht="16.5" thickBot="1">
      <c r="A64" s="1573" t="s">
        <v>1857</v>
      </c>
      <c r="B64" s="771" t="s">
        <v>650</v>
      </c>
      <c r="C64" s="52">
        <f ca="1">ROUND(C55*F64,1)</f>
        <v>2.6</v>
      </c>
      <c r="D64" s="3318"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318"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-28</v>
      </c>
      <c r="D66" s="3319" t="s">
        <v>671</v>
      </c>
      <c r="E66" s="3322"/>
      <c r="F66" s="806"/>
      <c r="K66" s="1964"/>
      <c r="O66" s="2249" t="s">
        <v>2340</v>
      </c>
      <c r="P66" s="2250" t="s">
        <v>2370</v>
      </c>
      <c r="Q66" s="2251">
        <f ca="1">C40+J29</f>
        <v>6204</v>
      </c>
      <c r="R66" s="2250" t="s">
        <v>2341</v>
      </c>
    </row>
    <row r="67" spans="1:18" s="1938" customFormat="1" ht="20.25" thickBot="1">
      <c r="A67" s="768" t="s">
        <v>1747</v>
      </c>
      <c r="B67" s="2108" t="s">
        <v>2265</v>
      </c>
      <c r="C67" s="770">
        <f ca="1">ROUND(C66*(1-((1+F69)/(1+F67))^F68)/(F67-F69),0)</f>
        <v>-503</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46.93</v>
      </c>
      <c r="O68" s="2252" t="s">
        <v>2344</v>
      </c>
      <c r="P68" s="2250" t="s">
        <v>2374</v>
      </c>
      <c r="Q68" s="2256">
        <f ca="1">L51</f>
        <v>204</v>
      </c>
      <c r="R68" s="2257" t="s">
        <v>2377</v>
      </c>
    </row>
    <row r="69" spans="1:18" ht="20.25" thickBot="1">
      <c r="A69" s="777"/>
      <c r="B69" s="778"/>
      <c r="C69" s="779"/>
      <c r="D69" s="802"/>
      <c r="E69" s="771" t="s">
        <v>681</v>
      </c>
      <c r="F69" s="2222"/>
      <c r="O69" s="2252" t="s">
        <v>2345</v>
      </c>
      <c r="P69" s="2258" t="s">
        <v>2359</v>
      </c>
      <c r="Q69" s="2251">
        <f ca="1">ROUND(Q70-Q71*Q72,0)</f>
        <v>10</v>
      </c>
      <c r="R69" s="2254"/>
    </row>
    <row r="70" spans="1:18" ht="15.75" thickBot="1">
      <c r="A70" s="809" t="s">
        <v>1754</v>
      </c>
      <c r="B70" s="810" t="s">
        <v>1777</v>
      </c>
      <c r="C70" s="811">
        <f ca="1">ROUND(C67*10000/F70,0)</f>
        <v>-792</v>
      </c>
      <c r="D70" s="812" t="s">
        <v>1778</v>
      </c>
      <c r="E70" s="813" t="s">
        <v>1779</v>
      </c>
      <c r="F70" s="814">
        <f ca="1">F43</f>
        <v>6350.35</v>
      </c>
      <c r="O70" s="2252" t="s">
        <v>2360</v>
      </c>
      <c r="P70" s="2258" t="s">
        <v>2361</v>
      </c>
      <c r="Q70" s="2251">
        <f ca="1">C39</f>
        <v>229</v>
      </c>
      <c r="R70" s="2250" t="s">
        <v>2341</v>
      </c>
    </row>
    <row r="71" spans="1:18" ht="15.75" thickBot="1">
      <c r="O71" s="2252" t="s">
        <v>2362</v>
      </c>
      <c r="P71" s="2258" t="s">
        <v>2363</v>
      </c>
      <c r="Q71" s="2251">
        <f ca="1">C13</f>
        <v>2578</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6204</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884" t="s">
        <v>493</v>
      </c>
      <c r="D4" s="3885"/>
      <c r="E4" s="3909" t="s">
        <v>494</v>
      </c>
      <c r="F4" s="3910"/>
      <c r="G4" s="3884" t="s">
        <v>495</v>
      </c>
      <c r="H4" s="3885"/>
      <c r="I4" s="3884" t="s">
        <v>496</v>
      </c>
      <c r="J4" s="3885"/>
      <c r="K4" s="505" t="s">
        <v>497</v>
      </c>
      <c r="L4" s="2011"/>
      <c r="M4" s="2012"/>
      <c r="N4" s="2012"/>
      <c r="O4" s="2012"/>
      <c r="P4" s="3886" t="s">
        <v>498</v>
      </c>
      <c r="Q4" s="3887"/>
      <c r="R4" s="3872" t="s">
        <v>494</v>
      </c>
      <c r="S4" s="3873"/>
      <c r="T4" s="3872" t="s">
        <v>495</v>
      </c>
      <c r="U4" s="3873"/>
      <c r="V4" s="3892" t="s">
        <v>496</v>
      </c>
      <c r="W4" s="3892"/>
      <c r="X4" s="1497"/>
      <c r="Y4" s="3872" t="s">
        <v>498</v>
      </c>
      <c r="Z4" s="3873"/>
      <c r="AA4" s="3867" t="s">
        <v>494</v>
      </c>
      <c r="AB4" s="3892" t="s">
        <v>495</v>
      </c>
      <c r="AC4" s="3867" t="s">
        <v>496</v>
      </c>
    </row>
    <row r="5" spans="1:29" ht="15">
      <c r="A5" s="506"/>
      <c r="B5" s="507"/>
      <c r="C5" s="3895" t="s">
        <v>2871</v>
      </c>
      <c r="D5" s="3896"/>
      <c r="E5" s="3911" t="s">
        <v>2872</v>
      </c>
      <c r="F5" s="3912"/>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92"/>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92"/>
      <c r="AC6" s="3869"/>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870" t="s">
        <v>501</v>
      </c>
      <c r="Q7" s="3879"/>
      <c r="R7" s="1498" t="s">
        <v>8</v>
      </c>
      <c r="S7" s="1499">
        <f t="shared" ref="S7:S15" si="0">F7</f>
        <v>0</v>
      </c>
      <c r="T7" s="1498" t="s">
        <v>8</v>
      </c>
      <c r="U7" s="1499">
        <f t="shared" ref="U7:U15" si="1">H7</f>
        <v>0</v>
      </c>
      <c r="V7" s="1498" t="s">
        <v>8</v>
      </c>
      <c r="W7" s="1499">
        <f t="shared" ref="W7:W15"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878"/>
      <c r="Q11" s="1131" t="str">
        <f t="shared" si="6"/>
        <v>容积率</v>
      </c>
      <c r="R11" s="1498" t="s">
        <v>8</v>
      </c>
      <c r="S11" s="1499" t="e">
        <f t="shared" si="0"/>
        <v>#N/A</v>
      </c>
      <c r="T11" s="1498" t="s">
        <v>8</v>
      </c>
      <c r="U11" s="1499" t="e">
        <f t="shared" si="1"/>
        <v>#N/A</v>
      </c>
      <c r="V11" s="1498" t="s">
        <v>8</v>
      </c>
      <c r="W11" s="1499" t="e">
        <f t="shared" si="2"/>
        <v>#N/A</v>
      </c>
      <c r="X11" s="1500"/>
      <c r="Y11" s="382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 t="shared" si="3"/>
        <v>1</v>
      </c>
      <c r="AB14" s="1501">
        <f t="shared" si="4"/>
        <v>1</v>
      </c>
      <c r="AC14" s="1501">
        <f t="shared" si="5"/>
        <v>1</v>
      </c>
    </row>
    <row r="15" spans="1:29" ht="71.25">
      <c r="A15" s="2623" t="s">
        <v>2710</v>
      </c>
      <c r="B15" s="163" t="s">
        <v>512</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880" t="s">
        <v>511</v>
      </c>
      <c r="Q15" s="1502" t="str">
        <f t="shared" si="6"/>
        <v>商业繁华度</v>
      </c>
      <c r="R15" s="1503" t="s">
        <v>8</v>
      </c>
      <c r="S15" s="1504">
        <f t="shared" si="0"/>
        <v>100</v>
      </c>
      <c r="T15" s="1503" t="s">
        <v>8</v>
      </c>
      <c r="U15" s="1504">
        <f t="shared" si="1"/>
        <v>100</v>
      </c>
      <c r="V15" s="1503" t="s">
        <v>8</v>
      </c>
      <c r="W15" s="1504">
        <f t="shared" si="2"/>
        <v>100</v>
      </c>
      <c r="X15" s="1497"/>
      <c r="Y15" s="3880"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81"/>
      <c r="Q16" s="1502"/>
      <c r="R16" s="1503"/>
      <c r="S16" s="1504"/>
      <c r="T16" s="1503"/>
      <c r="U16" s="1504"/>
      <c r="V16" s="1503"/>
      <c r="W16" s="1504"/>
      <c r="X16" s="1497"/>
      <c r="Y16" s="3881"/>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881"/>
      <c r="Q17" s="1502" t="str">
        <f>B17</f>
        <v>交通便捷度</v>
      </c>
      <c r="R17" s="1503" t="s">
        <v>8</v>
      </c>
      <c r="S17" s="1504">
        <f>F17</f>
        <v>100</v>
      </c>
      <c r="T17" s="1503" t="s">
        <v>8</v>
      </c>
      <c r="U17" s="1504">
        <f>H17</f>
        <v>100</v>
      </c>
      <c r="V17" s="1503" t="s">
        <v>8</v>
      </c>
      <c r="W17" s="1504">
        <f>J17</f>
        <v>100</v>
      </c>
      <c r="X17" s="1497"/>
      <c r="Y17" s="3881"/>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81"/>
      <c r="Q18" s="1502"/>
      <c r="R18" s="1503"/>
      <c r="S18" s="1504"/>
      <c r="T18" s="1503"/>
      <c r="U18" s="1504"/>
      <c r="V18" s="1503"/>
      <c r="W18" s="1504"/>
      <c r="X18" s="1497"/>
      <c r="Y18" s="3881"/>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881"/>
      <c r="Q19" s="1502" t="str">
        <f>B19</f>
        <v>公共配套设施</v>
      </c>
      <c r="R19" s="1503" t="s">
        <v>8</v>
      </c>
      <c r="S19" s="1504">
        <f>F19</f>
        <v>100</v>
      </c>
      <c r="T19" s="1503" t="s">
        <v>8</v>
      </c>
      <c r="U19" s="1504">
        <f>H19</f>
        <v>100</v>
      </c>
      <c r="V19" s="1503" t="s">
        <v>8</v>
      </c>
      <c r="W19" s="1504">
        <f>J19</f>
        <v>100</v>
      </c>
      <c r="X19" s="1497"/>
      <c r="Y19" s="3881"/>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881"/>
      <c r="Q21" s="2425" t="str">
        <f>B21</f>
        <v>基础设施水平</v>
      </c>
      <c r="R21" s="1503" t="s">
        <v>8</v>
      </c>
      <c r="S21" s="1504">
        <f>F21</f>
        <v>100</v>
      </c>
      <c r="T21" s="1503" t="s">
        <v>8</v>
      </c>
      <c r="U21" s="1504">
        <f>H21</f>
        <v>100</v>
      </c>
      <c r="V21" s="1503" t="s">
        <v>8</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881"/>
      <c r="Q22" s="2425"/>
      <c r="R22" s="1503"/>
      <c r="S22" s="1504"/>
      <c r="T22" s="1503"/>
      <c r="U22" s="1504"/>
      <c r="V22" s="1503"/>
      <c r="W22" s="1504"/>
      <c r="X22" s="2427"/>
      <c r="Y22" s="3881"/>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881"/>
      <c r="Q23" s="1502" t="str">
        <f>B23</f>
        <v>自然及人文环境</v>
      </c>
      <c r="R23" s="1503" t="s">
        <v>8</v>
      </c>
      <c r="S23" s="1504">
        <f>F23</f>
        <v>100</v>
      </c>
      <c r="T23" s="1503" t="s">
        <v>8</v>
      </c>
      <c r="U23" s="1504">
        <f>H23</f>
        <v>100</v>
      </c>
      <c r="V23" s="1503" t="s">
        <v>8</v>
      </c>
      <c r="W23" s="1504">
        <f>J23</f>
        <v>100</v>
      </c>
      <c r="X23" s="1497"/>
      <c r="Y23" s="3881"/>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881"/>
      <c r="Q24" s="1502"/>
      <c r="R24" s="1503"/>
      <c r="S24" s="1504"/>
      <c r="T24" s="1503"/>
      <c r="U24" s="1504"/>
      <c r="V24" s="1503"/>
      <c r="W24" s="1504"/>
      <c r="X24" s="1497"/>
      <c r="Y24" s="3881"/>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881"/>
      <c r="Q25" s="1502" t="str">
        <f t="shared" ref="Q25:Q46" si="11">B25</f>
        <v>临街状况</v>
      </c>
      <c r="R25" s="1503" t="s">
        <v>8</v>
      </c>
      <c r="S25" s="1504">
        <f>F25</f>
        <v>100</v>
      </c>
      <c r="T25" s="1503" t="s">
        <v>8</v>
      </c>
      <c r="U25" s="1504">
        <f>H25</f>
        <v>100</v>
      </c>
      <c r="V25" s="1503" t="s">
        <v>8</v>
      </c>
      <c r="W25" s="1504">
        <f>J25</f>
        <v>100</v>
      </c>
      <c r="X25" s="1497"/>
      <c r="Y25" s="3881"/>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881"/>
      <c r="Q26" s="1502" t="str">
        <f t="shared" si="11"/>
        <v>平面位置/可视性</v>
      </c>
      <c r="R26" s="1503" t="s">
        <v>8</v>
      </c>
      <c r="S26" s="1504">
        <f>F26</f>
        <v>100</v>
      </c>
      <c r="T26" s="1503" t="s">
        <v>8</v>
      </c>
      <c r="U26" s="1504">
        <f>H26</f>
        <v>100</v>
      </c>
      <c r="V26" s="1503" t="s">
        <v>8</v>
      </c>
      <c r="W26" s="1504">
        <f>J26</f>
        <v>100</v>
      </c>
      <c r="X26" s="1497"/>
      <c r="Y26" s="3881"/>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881"/>
      <c r="Q27" s="1131" t="str">
        <f t="shared" si="11"/>
        <v>人流量</v>
      </c>
      <c r="R27" s="1498" t="s">
        <v>8</v>
      </c>
      <c r="S27" s="1499">
        <f>F27</f>
        <v>100</v>
      </c>
      <c r="T27" s="1498" t="s">
        <v>8</v>
      </c>
      <c r="U27" s="1499">
        <f>H27</f>
        <v>100</v>
      </c>
      <c r="V27" s="1498" t="s">
        <v>8</v>
      </c>
      <c r="W27" s="1499">
        <f>J27</f>
        <v>100</v>
      </c>
      <c r="X27" s="1500"/>
      <c r="Y27" s="3881"/>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881"/>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881"/>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881"/>
      <c r="Q29" s="1502">
        <f t="shared" si="11"/>
        <v>111</v>
      </c>
      <c r="R29" s="1503" t="s">
        <v>8</v>
      </c>
      <c r="S29" s="1504">
        <f t="shared" si="12"/>
        <v>100</v>
      </c>
      <c r="T29" s="1503" t="s">
        <v>8</v>
      </c>
      <c r="U29" s="1504">
        <f t="shared" si="13"/>
        <v>100</v>
      </c>
      <c r="V29" s="1503" t="s">
        <v>8</v>
      </c>
      <c r="W29" s="1504">
        <f t="shared" si="14"/>
        <v>100</v>
      </c>
      <c r="X29" s="1497"/>
      <c r="Y29" s="3881"/>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881"/>
      <c r="Q30" s="1502">
        <f t="shared" si="11"/>
        <v>111</v>
      </c>
      <c r="R30" s="1503" t="s">
        <v>8</v>
      </c>
      <c r="S30" s="1504">
        <f t="shared" si="12"/>
        <v>100</v>
      </c>
      <c r="T30" s="1503" t="s">
        <v>8</v>
      </c>
      <c r="U30" s="1504">
        <f t="shared" si="13"/>
        <v>100</v>
      </c>
      <c r="V30" s="1503" t="s">
        <v>8</v>
      </c>
      <c r="W30" s="1504">
        <f t="shared" si="14"/>
        <v>100</v>
      </c>
      <c r="X30" s="1497"/>
      <c r="Y30" s="3881"/>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881"/>
      <c r="Q31" s="1502">
        <f t="shared" si="11"/>
        <v>111</v>
      </c>
      <c r="R31" s="1503" t="s">
        <v>8</v>
      </c>
      <c r="S31" s="1504">
        <f t="shared" si="12"/>
        <v>100</v>
      </c>
      <c r="T31" s="1503" t="s">
        <v>8</v>
      </c>
      <c r="U31" s="1504">
        <f t="shared" si="13"/>
        <v>100</v>
      </c>
      <c r="V31" s="1503" t="s">
        <v>8</v>
      </c>
      <c r="W31" s="1504">
        <f t="shared" si="14"/>
        <v>100</v>
      </c>
      <c r="X31" s="1497"/>
      <c r="Y31" s="3881"/>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882" t="s">
        <v>521</v>
      </c>
      <c r="Q32" s="1502" t="str">
        <f t="shared" si="11"/>
        <v>商业类型</v>
      </c>
      <c r="R32" s="1503" t="s">
        <v>8</v>
      </c>
      <c r="S32" s="1504">
        <f t="shared" si="12"/>
        <v>100</v>
      </c>
      <c r="T32" s="1503" t="s">
        <v>8</v>
      </c>
      <c r="U32" s="1504">
        <f t="shared" si="13"/>
        <v>100</v>
      </c>
      <c r="V32" s="1503" t="s">
        <v>8</v>
      </c>
      <c r="W32" s="1504">
        <f t="shared" si="14"/>
        <v>100</v>
      </c>
      <c r="X32" s="1497"/>
      <c r="Y32" s="3883"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883"/>
      <c r="Q33" s="1531" t="str">
        <f t="shared" si="11"/>
        <v>项目建筑规模</v>
      </c>
      <c r="R33" s="1507" t="s">
        <v>8</v>
      </c>
      <c r="S33" s="1508" t="e">
        <f t="shared" si="12"/>
        <v>#N/A</v>
      </c>
      <c r="T33" s="1507" t="s">
        <v>8</v>
      </c>
      <c r="U33" s="1508" t="e">
        <f t="shared" si="13"/>
        <v>#N/A</v>
      </c>
      <c r="V33" s="1507" t="s">
        <v>8</v>
      </c>
      <c r="W33" s="1508" t="e">
        <f t="shared" si="14"/>
        <v>#N/A</v>
      </c>
      <c r="X33" s="1509"/>
      <c r="Y33" s="3883"/>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883"/>
      <c r="Q34" s="1502" t="str">
        <f t="shared" si="11"/>
        <v>建筑结构</v>
      </c>
      <c r="R34" s="1503" t="s">
        <v>8</v>
      </c>
      <c r="S34" s="1504">
        <f t="shared" si="12"/>
        <v>100</v>
      </c>
      <c r="T34" s="1503" t="s">
        <v>8</v>
      </c>
      <c r="U34" s="1504">
        <f t="shared" si="13"/>
        <v>100</v>
      </c>
      <c r="V34" s="1503" t="s">
        <v>8</v>
      </c>
      <c r="W34" s="1504">
        <f t="shared" si="14"/>
        <v>100</v>
      </c>
      <c r="X34" s="1497"/>
      <c r="Y34" s="3883"/>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883"/>
      <c r="Q35" s="1502" t="str">
        <f t="shared" si="11"/>
        <v>公共部分装修</v>
      </c>
      <c r="R35" s="1503" t="s">
        <v>8</v>
      </c>
      <c r="S35" s="1504">
        <f t="shared" si="12"/>
        <v>100</v>
      </c>
      <c r="T35" s="1503" t="s">
        <v>8</v>
      </c>
      <c r="U35" s="1504">
        <f t="shared" si="13"/>
        <v>100</v>
      </c>
      <c r="V35" s="1503" t="s">
        <v>8</v>
      </c>
      <c r="W35" s="1504">
        <f t="shared" si="14"/>
        <v>100</v>
      </c>
      <c r="X35" s="1497"/>
      <c r="Y35" s="3883"/>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883"/>
      <c r="Q36" s="1502" t="str">
        <f t="shared" si="11"/>
        <v>成新度</v>
      </c>
      <c r="R36" s="1503" t="s">
        <v>8</v>
      </c>
      <c r="S36" s="1504" t="e">
        <f t="shared" si="12"/>
        <v>#N/A</v>
      </c>
      <c r="T36" s="1503" t="s">
        <v>8</v>
      </c>
      <c r="U36" s="1504" t="e">
        <f t="shared" si="13"/>
        <v>#N/A</v>
      </c>
      <c r="V36" s="1503" t="s">
        <v>8</v>
      </c>
      <c r="W36" s="1504" t="e">
        <f t="shared" si="14"/>
        <v>#N/A</v>
      </c>
      <c r="X36" s="1497"/>
      <c r="Y36" s="3883"/>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883"/>
      <c r="Q37" s="1131" t="str">
        <f t="shared" si="11"/>
        <v>市政基础设施</v>
      </c>
      <c r="R37" s="1498" t="s">
        <v>8</v>
      </c>
      <c r="S37" s="1499">
        <f t="shared" si="12"/>
        <v>100</v>
      </c>
      <c r="T37" s="1498" t="s">
        <v>8</v>
      </c>
      <c r="U37" s="1499">
        <f t="shared" si="13"/>
        <v>100</v>
      </c>
      <c r="V37" s="1498" t="s">
        <v>8</v>
      </c>
      <c r="W37" s="1499">
        <f t="shared" si="14"/>
        <v>100</v>
      </c>
      <c r="X37" s="1500"/>
      <c r="Y37" s="3883"/>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883" t="s">
        <v>737</v>
      </c>
      <c r="Q38" s="1502" t="str">
        <f t="shared" si="11"/>
        <v>业态</v>
      </c>
      <c r="R38" s="1503" t="s">
        <v>8</v>
      </c>
      <c r="S38" s="1504">
        <f t="shared" si="12"/>
        <v>100</v>
      </c>
      <c r="T38" s="1503" t="s">
        <v>8</v>
      </c>
      <c r="U38" s="1504">
        <f t="shared" si="13"/>
        <v>100</v>
      </c>
      <c r="V38" s="1503" t="s">
        <v>8</v>
      </c>
      <c r="W38" s="1504">
        <f t="shared" si="14"/>
        <v>100</v>
      </c>
      <c r="X38" s="1497"/>
      <c r="Y38" s="3883"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883"/>
      <c r="Q39" s="1502" t="str">
        <f t="shared" si="11"/>
        <v>层高</v>
      </c>
      <c r="R39" s="1503" t="s">
        <v>8</v>
      </c>
      <c r="S39" s="1504">
        <f t="shared" si="12"/>
        <v>100</v>
      </c>
      <c r="T39" s="1503" t="s">
        <v>8</v>
      </c>
      <c r="U39" s="1504">
        <f t="shared" si="13"/>
        <v>100</v>
      </c>
      <c r="V39" s="1503" t="s">
        <v>8</v>
      </c>
      <c r="W39" s="1504">
        <f t="shared" si="14"/>
        <v>100</v>
      </c>
      <c r="X39" s="1497"/>
      <c r="Y39" s="3883"/>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883"/>
      <c r="Q40" s="1502" t="str">
        <f t="shared" si="11"/>
        <v>单套建筑面积</v>
      </c>
      <c r="R40" s="1503" t="s">
        <v>8</v>
      </c>
      <c r="S40" s="1504">
        <f t="shared" si="12"/>
        <v>100</v>
      </c>
      <c r="T40" s="1503" t="s">
        <v>8</v>
      </c>
      <c r="U40" s="1504">
        <f t="shared" si="13"/>
        <v>100</v>
      </c>
      <c r="V40" s="1503" t="s">
        <v>8</v>
      </c>
      <c r="W40" s="1504">
        <f t="shared" si="14"/>
        <v>100</v>
      </c>
      <c r="X40" s="1497"/>
      <c r="Y40" s="3883"/>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883"/>
      <c r="Q41" s="1531" t="str">
        <f t="shared" si="11"/>
        <v>进深比</v>
      </c>
      <c r="R41" s="1507" t="s">
        <v>8</v>
      </c>
      <c r="S41" s="1508">
        <f t="shared" si="12"/>
        <v>100</v>
      </c>
      <c r="T41" s="1507" t="s">
        <v>8</v>
      </c>
      <c r="U41" s="1508">
        <f t="shared" si="13"/>
        <v>100</v>
      </c>
      <c r="V41" s="1507" t="s">
        <v>8</v>
      </c>
      <c r="W41" s="1508">
        <f t="shared" si="14"/>
        <v>100</v>
      </c>
      <c r="X41" s="1509"/>
      <c r="Y41" s="3883"/>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883"/>
      <c r="Q42" s="1502" t="str">
        <f t="shared" si="11"/>
        <v>内部装修</v>
      </c>
      <c r="R42" s="1503" t="s">
        <v>8</v>
      </c>
      <c r="S42" s="1504">
        <f t="shared" si="12"/>
        <v>100</v>
      </c>
      <c r="T42" s="1503" t="s">
        <v>8</v>
      </c>
      <c r="U42" s="1504">
        <f t="shared" si="13"/>
        <v>100</v>
      </c>
      <c r="V42" s="1503" t="s">
        <v>8</v>
      </c>
      <c r="W42" s="1504">
        <f t="shared" si="14"/>
        <v>100</v>
      </c>
      <c r="X42" s="1497"/>
      <c r="Y42" s="3883"/>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883"/>
      <c r="Q43" s="1502" t="str">
        <f t="shared" si="11"/>
        <v>内部装修维护情况</v>
      </c>
      <c r="R43" s="1503" t="s">
        <v>8</v>
      </c>
      <c r="S43" s="1504">
        <f t="shared" si="12"/>
        <v>100</v>
      </c>
      <c r="T43" s="1503" t="s">
        <v>8</v>
      </c>
      <c r="U43" s="1504">
        <f t="shared" si="13"/>
        <v>100</v>
      </c>
      <c r="V43" s="1503" t="s">
        <v>8</v>
      </c>
      <c r="W43" s="1504">
        <f t="shared" si="14"/>
        <v>100</v>
      </c>
      <c r="X43" s="1497"/>
      <c r="Y43" s="3883"/>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883"/>
      <c r="Q44" s="1131">
        <f t="shared" si="11"/>
        <v>111</v>
      </c>
      <c r="R44" s="1498" t="s">
        <v>8</v>
      </c>
      <c r="S44" s="1499">
        <f t="shared" si="12"/>
        <v>100</v>
      </c>
      <c r="T44" s="1498" t="s">
        <v>8</v>
      </c>
      <c r="U44" s="1499">
        <f t="shared" si="13"/>
        <v>100</v>
      </c>
      <c r="V44" s="1498" t="s">
        <v>8</v>
      </c>
      <c r="W44" s="1499">
        <f t="shared" si="14"/>
        <v>100</v>
      </c>
      <c r="X44" s="1500"/>
      <c r="Y44" s="3883"/>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883"/>
      <c r="Q45" s="1502">
        <f t="shared" si="11"/>
        <v>111</v>
      </c>
      <c r="R45" s="1503" t="s">
        <v>8</v>
      </c>
      <c r="S45" s="1504">
        <f t="shared" si="12"/>
        <v>100</v>
      </c>
      <c r="T45" s="1503" t="s">
        <v>8</v>
      </c>
      <c r="U45" s="1504">
        <f t="shared" si="13"/>
        <v>100</v>
      </c>
      <c r="V45" s="1503" t="s">
        <v>8</v>
      </c>
      <c r="W45" s="1504">
        <f t="shared" si="14"/>
        <v>100</v>
      </c>
      <c r="X45" s="1497"/>
      <c r="Y45" s="3883"/>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963"/>
      <c r="Q46" s="1502">
        <f t="shared" si="11"/>
        <v>111</v>
      </c>
      <c r="R46" s="1503" t="s">
        <v>8</v>
      </c>
      <c r="S46" s="1504">
        <f t="shared" si="12"/>
        <v>100</v>
      </c>
      <c r="T46" s="1503" t="s">
        <v>8</v>
      </c>
      <c r="U46" s="1504">
        <f t="shared" si="13"/>
        <v>100</v>
      </c>
      <c r="V46" s="1503" t="s">
        <v>8</v>
      </c>
      <c r="W46" s="1504">
        <f t="shared" si="14"/>
        <v>100</v>
      </c>
      <c r="X46" s="1497"/>
      <c r="Y46" s="3963"/>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878" t="str">
        <f>A47</f>
        <v>成交单价（元/平方米）</v>
      </c>
      <c r="Q47" s="3878"/>
      <c r="R47" s="3962">
        <f>E47</f>
        <v>0</v>
      </c>
      <c r="S47" s="3962"/>
      <c r="T47" s="3962">
        <f>G47</f>
        <v>0</v>
      </c>
      <c r="U47" s="3962"/>
      <c r="V47" s="3962">
        <f>I47</f>
        <v>0</v>
      </c>
      <c r="W47" s="3962"/>
      <c r="X47" s="1492"/>
      <c r="Y47" s="1511"/>
      <c r="Z47" s="1492"/>
      <c r="AA47" s="1492"/>
      <c r="AB47" s="1492"/>
      <c r="AC47" s="1492"/>
    </row>
    <row r="48" spans="1:29" ht="15.75" thickBot="1">
      <c r="A48" s="606" t="s">
        <v>2716</v>
      </c>
      <c r="B48" s="874"/>
      <c r="C48" s="2472" t="e">
        <f>R49</f>
        <v>#DIV/0!</v>
      </c>
      <c r="D48" s="3006" t="s">
        <v>2945</v>
      </c>
      <c r="E48" s="2473" t="e">
        <f>R48</f>
        <v>#DIV/0!</v>
      </c>
      <c r="F48" s="3007"/>
      <c r="G48" s="2472" t="e">
        <f>T48</f>
        <v>#DIV/0!</v>
      </c>
      <c r="H48" s="3007"/>
      <c r="I48" s="2473" t="e">
        <f>V48</f>
        <v>#DIV/0!</v>
      </c>
      <c r="J48" s="3007"/>
      <c r="K48" s="3015">
        <f>F48+H48+J48</f>
        <v>0</v>
      </c>
      <c r="L48" s="2022"/>
      <c r="M48" s="2023"/>
      <c r="N48" s="2012"/>
      <c r="O48" s="2023"/>
      <c r="P48" s="3878" t="str">
        <f>A48</f>
        <v>比较价格（元/平方米）</v>
      </c>
      <c r="Q48" s="3878"/>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1492"/>
      <c r="Y48" s="1492"/>
      <c r="Z48" s="1492"/>
      <c r="AA48" s="1492"/>
      <c r="AB48" s="1492"/>
      <c r="AC48" s="1492"/>
    </row>
    <row r="49" spans="1:29" ht="15.75" thickBot="1">
      <c r="A49" s="610" t="s">
        <v>2877</v>
      </c>
      <c r="B49" s="611"/>
      <c r="C49" s="2474" t="e">
        <f>R49</f>
        <v>#DIV/0!</v>
      </c>
      <c r="D49" s="2474"/>
      <c r="E49" s="2474"/>
      <c r="F49" s="2474"/>
      <c r="G49" s="2474"/>
      <c r="H49" s="2474"/>
      <c r="I49" s="2474"/>
      <c r="J49" s="2474"/>
      <c r="K49" s="1537"/>
      <c r="L49" s="2022"/>
      <c r="M49" s="2023"/>
      <c r="N49" s="2012"/>
      <c r="O49" s="2023"/>
      <c r="P49" s="3899" t="str">
        <f>A49</f>
        <v>估价对象XX用房的比较价格（楼面单价，元/平方米）</v>
      </c>
      <c r="Q49" s="3900"/>
      <c r="R49" s="3961" t="e">
        <f>IF(F1="售价",ROUND(IF(D48="简单平均",AVERAGE(R48:V48),R48*F48+T48*H48+V48*J48),0),ROUND(IF(D48="简单平均",AVERAGE(R48:V48),R48*F48+T48*H48+V48*J48),1))</f>
        <v>#DIV/0!</v>
      </c>
      <c r="S49" s="3961"/>
      <c r="T49" s="3961"/>
      <c r="U49" s="3961"/>
      <c r="V49" s="3961"/>
      <c r="W49" s="3961"/>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1"/>
      <c r="M1" s="3202"/>
      <c r="N1" s="3202"/>
      <c r="O1" s="3202"/>
      <c r="P1" s="3265"/>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5"/>
      <c r="Q2" s="2010"/>
      <c r="R2" s="2010"/>
      <c r="S2" s="2010"/>
      <c r="T2" s="2010"/>
      <c r="U2" s="2010"/>
      <c r="V2" s="2010"/>
      <c r="W2" s="2010"/>
      <c r="X2" s="2010"/>
      <c r="Y2" s="2010"/>
      <c r="Z2" s="2010"/>
      <c r="AA2" s="2010"/>
      <c r="AB2" s="2010"/>
      <c r="AC2" s="3203"/>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5"/>
      <c r="Q3" s="2010"/>
      <c r="R3" s="2010"/>
      <c r="S3" s="2010"/>
      <c r="T3" s="2010"/>
      <c r="U3" s="2010"/>
      <c r="V3" s="2010"/>
      <c r="W3" s="2010"/>
      <c r="X3" s="2010"/>
      <c r="Y3" s="2010"/>
      <c r="Z3" s="2010"/>
      <c r="AA3" s="2010"/>
      <c r="AB3" s="2010"/>
      <c r="AC3" s="3203"/>
    </row>
    <row r="4" spans="1:29" ht="15">
      <c r="A4" s="503" t="s">
        <v>492</v>
      </c>
      <c r="B4" s="504"/>
      <c r="C4" s="3884" t="s">
        <v>493</v>
      </c>
      <c r="D4" s="3885"/>
      <c r="E4" s="3909" t="s">
        <v>494</v>
      </c>
      <c r="F4" s="3910"/>
      <c r="G4" s="3884" t="s">
        <v>495</v>
      </c>
      <c r="H4" s="3885"/>
      <c r="I4" s="3884" t="s">
        <v>496</v>
      </c>
      <c r="J4" s="3885"/>
      <c r="K4" s="505" t="s">
        <v>497</v>
      </c>
      <c r="L4" s="2011"/>
      <c r="M4" s="2012"/>
      <c r="N4" s="2012"/>
      <c r="O4" s="2012"/>
      <c r="P4" s="4031" t="s">
        <v>498</v>
      </c>
      <c r="Q4" s="3887"/>
      <c r="R4" s="3872" t="s">
        <v>494</v>
      </c>
      <c r="S4" s="3873"/>
      <c r="T4" s="3872" t="s">
        <v>495</v>
      </c>
      <c r="U4" s="3873"/>
      <c r="V4" s="3892" t="s">
        <v>496</v>
      </c>
      <c r="W4" s="3892"/>
      <c r="X4" s="1497"/>
      <c r="Y4" s="3872" t="s">
        <v>498</v>
      </c>
      <c r="Z4" s="3873"/>
      <c r="AA4" s="3867" t="s">
        <v>494</v>
      </c>
      <c r="AB4" s="3867" t="s">
        <v>495</v>
      </c>
      <c r="AC4" s="3867" t="s">
        <v>496</v>
      </c>
    </row>
    <row r="5" spans="1:29" ht="15">
      <c r="A5" s="506"/>
      <c r="B5" s="507"/>
      <c r="C5" s="3895" t="s">
        <v>2871</v>
      </c>
      <c r="D5" s="3896"/>
      <c r="E5" s="3911" t="s">
        <v>2872</v>
      </c>
      <c r="F5" s="3912"/>
      <c r="G5" s="3895" t="s">
        <v>2873</v>
      </c>
      <c r="H5" s="3896"/>
      <c r="I5" s="3895" t="s">
        <v>2874</v>
      </c>
      <c r="J5" s="3896"/>
      <c r="K5" s="505"/>
      <c r="L5" s="2011"/>
      <c r="M5" s="2012"/>
      <c r="N5" s="2012"/>
      <c r="O5" s="2012"/>
      <c r="P5" s="4032"/>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4033"/>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879" t="s">
        <v>501</v>
      </c>
      <c r="Q7" s="3879"/>
      <c r="R7" s="1498" t="s">
        <v>8</v>
      </c>
      <c r="S7" s="1499">
        <f t="shared" ref="S7:S15" si="0">F7</f>
        <v>0</v>
      </c>
      <c r="T7" s="1498" t="s">
        <v>8</v>
      </c>
      <c r="U7" s="1499">
        <f t="shared" ref="U7:U15" si="1">H7</f>
        <v>0</v>
      </c>
      <c r="V7" s="1498" t="s">
        <v>8</v>
      </c>
      <c r="W7" s="1499">
        <f t="shared" ref="W7:W15"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879" t="s">
        <v>504</v>
      </c>
      <c r="Q8" s="3871"/>
      <c r="R8" s="1498" t="s">
        <v>8</v>
      </c>
      <c r="S8" s="1499">
        <f t="shared" si="0"/>
        <v>0</v>
      </c>
      <c r="T8" s="1498" t="s">
        <v>8</v>
      </c>
      <c r="U8" s="1499">
        <f t="shared" si="1"/>
        <v>0</v>
      </c>
      <c r="V8" s="1498" t="s">
        <v>8</v>
      </c>
      <c r="W8" s="1499">
        <f t="shared" si="2"/>
        <v>0</v>
      </c>
      <c r="X8" s="1500"/>
      <c r="Y8" s="3870" t="s">
        <v>504</v>
      </c>
      <c r="Z8" s="3871"/>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878"/>
      <c r="Q11" s="1131" t="str">
        <f t="shared" si="6"/>
        <v>容积率</v>
      </c>
      <c r="R11" s="1498" t="s">
        <v>8</v>
      </c>
      <c r="S11" s="1499" t="e">
        <f t="shared" si="0"/>
        <v>#N/A</v>
      </c>
      <c r="T11" s="1498" t="s">
        <v>8</v>
      </c>
      <c r="U11" s="1499" t="e">
        <f t="shared" si="1"/>
        <v>#N/A</v>
      </c>
      <c r="V11" s="1498" t="s">
        <v>8</v>
      </c>
      <c r="W11" s="1499" t="e">
        <f t="shared" si="2"/>
        <v>#N/A</v>
      </c>
      <c r="X11" s="1500"/>
      <c r="Y11" s="382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 t="shared" si="3"/>
        <v>1</v>
      </c>
      <c r="AB14" s="1501">
        <f t="shared" si="4"/>
        <v>1</v>
      </c>
      <c r="AC14" s="1501">
        <f t="shared" si="5"/>
        <v>1</v>
      </c>
    </row>
    <row r="15" spans="1:29" ht="71.25">
      <c r="A15" s="2623" t="s">
        <v>2710</v>
      </c>
      <c r="B15" s="538" t="s">
        <v>513</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880" t="s">
        <v>511</v>
      </c>
      <c r="Q15" s="1502" t="str">
        <f t="shared" si="6"/>
        <v>办公集聚程度</v>
      </c>
      <c r="R15" s="1503" t="s">
        <v>8</v>
      </c>
      <c r="S15" s="1504">
        <f t="shared" si="0"/>
        <v>100</v>
      </c>
      <c r="T15" s="1503" t="s">
        <v>8</v>
      </c>
      <c r="U15" s="1504">
        <f t="shared" si="1"/>
        <v>100</v>
      </c>
      <c r="V15" s="1503" t="s">
        <v>8</v>
      </c>
      <c r="W15" s="1504">
        <f t="shared" si="2"/>
        <v>100</v>
      </c>
      <c r="X15" s="1497"/>
      <c r="Y15" s="3880"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881"/>
      <c r="Q16" s="1502"/>
      <c r="R16" s="1503"/>
      <c r="S16" s="1504"/>
      <c r="T16" s="1503"/>
      <c r="U16" s="1504"/>
      <c r="V16" s="1503"/>
      <c r="W16" s="1504"/>
      <c r="X16" s="1497"/>
      <c r="Y16" s="3881"/>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881"/>
      <c r="Q17" s="1502" t="str">
        <f>B17</f>
        <v>交通便捷度</v>
      </c>
      <c r="R17" s="1503" t="s">
        <v>8</v>
      </c>
      <c r="S17" s="1504">
        <f>F17</f>
        <v>100</v>
      </c>
      <c r="T17" s="1503" t="s">
        <v>8</v>
      </c>
      <c r="U17" s="1504">
        <f>H17</f>
        <v>100</v>
      </c>
      <c r="V17" s="1503" t="s">
        <v>8</v>
      </c>
      <c r="W17" s="1504">
        <f>J17</f>
        <v>100</v>
      </c>
      <c r="X17" s="1497"/>
      <c r="Y17" s="3881"/>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881"/>
      <c r="Q18" s="1502"/>
      <c r="R18" s="1503"/>
      <c r="S18" s="1504"/>
      <c r="T18" s="1503"/>
      <c r="U18" s="1504"/>
      <c r="V18" s="1503"/>
      <c r="W18" s="1504"/>
      <c r="X18" s="1497"/>
      <c r="Y18" s="3881"/>
      <c r="Z18" s="1505"/>
      <c r="AA18" s="1506">
        <v>1</v>
      </c>
      <c r="AB18" s="1506">
        <v>1</v>
      </c>
      <c r="AC18" s="1506">
        <v>1</v>
      </c>
    </row>
    <row r="19" spans="1:29" ht="42.75">
      <c r="A19" s="523"/>
      <c r="B19" s="2443" t="s">
        <v>2503</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881"/>
      <c r="Q19" s="1502" t="str">
        <f>B19</f>
        <v>公共配套设施</v>
      </c>
      <c r="R19" s="1503" t="s">
        <v>8</v>
      </c>
      <c r="S19" s="1504">
        <f>F19</f>
        <v>100</v>
      </c>
      <c r="T19" s="1503" t="s">
        <v>8</v>
      </c>
      <c r="U19" s="1504">
        <f>H19</f>
        <v>100</v>
      </c>
      <c r="V19" s="1503" t="s">
        <v>8</v>
      </c>
      <c r="W19" s="1504">
        <f>J19</f>
        <v>100</v>
      </c>
      <c r="X19" s="1497"/>
      <c r="Y19" s="3881"/>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881"/>
      <c r="Q20" s="1502"/>
      <c r="R20" s="1503"/>
      <c r="S20" s="1504"/>
      <c r="T20" s="1503"/>
      <c r="U20" s="1504"/>
      <c r="V20" s="1503"/>
      <c r="W20" s="1504"/>
      <c r="X20" s="1497"/>
      <c r="Y20" s="3881"/>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881"/>
      <c r="Q21" s="2425" t="str">
        <f>B21</f>
        <v>基础设施水平</v>
      </c>
      <c r="R21" s="1503" t="s">
        <v>8</v>
      </c>
      <c r="S21" s="1504">
        <f>F21</f>
        <v>100</v>
      </c>
      <c r="T21" s="1503" t="s">
        <v>8</v>
      </c>
      <c r="U21" s="1504">
        <f>H21</f>
        <v>100</v>
      </c>
      <c r="V21" s="1503" t="s">
        <v>8</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881"/>
      <c r="Q22" s="2425"/>
      <c r="R22" s="1503"/>
      <c r="S22" s="1504"/>
      <c r="T22" s="1503"/>
      <c r="U22" s="1504"/>
      <c r="V22" s="1503"/>
      <c r="W22" s="1504"/>
      <c r="X22" s="2427"/>
      <c r="Y22" s="3881"/>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881"/>
      <c r="Q23" s="1502" t="str">
        <f>B23</f>
        <v>环境质量</v>
      </c>
      <c r="R23" s="1503" t="s">
        <v>8</v>
      </c>
      <c r="S23" s="1504">
        <f>F23</f>
        <v>100</v>
      </c>
      <c r="T23" s="1503" t="s">
        <v>8</v>
      </c>
      <c r="U23" s="1504">
        <f>H23</f>
        <v>100</v>
      </c>
      <c r="V23" s="1503" t="s">
        <v>8</v>
      </c>
      <c r="W23" s="1504">
        <f>J23</f>
        <v>100</v>
      </c>
      <c r="X23" s="1497"/>
      <c r="Y23" s="3881"/>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881"/>
      <c r="Q24" s="1502"/>
      <c r="R24" s="1503"/>
      <c r="S24" s="1504"/>
      <c r="T24" s="1503"/>
      <c r="U24" s="1504"/>
      <c r="V24" s="1503"/>
      <c r="W24" s="1504"/>
      <c r="X24" s="1497"/>
      <c r="Y24" s="3881"/>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881"/>
      <c r="Q25" s="1502" t="str">
        <f>B25</f>
        <v>毗邻道路的类型与等级</v>
      </c>
      <c r="R25" s="1503" t="s">
        <v>8</v>
      </c>
      <c r="S25" s="1504">
        <f>F25</f>
        <v>100</v>
      </c>
      <c r="T25" s="1503" t="s">
        <v>8</v>
      </c>
      <c r="U25" s="1504">
        <f>H25</f>
        <v>100</v>
      </c>
      <c r="V25" s="1503" t="s">
        <v>8</v>
      </c>
      <c r="W25" s="1504">
        <f>J25</f>
        <v>100</v>
      </c>
      <c r="X25" s="1497"/>
      <c r="Y25" s="3881"/>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881"/>
      <c r="Q26" s="1502"/>
      <c r="R26" s="1503"/>
      <c r="S26" s="1504"/>
      <c r="T26" s="1503"/>
      <c r="U26" s="1504"/>
      <c r="V26" s="1503"/>
      <c r="W26" s="1504"/>
      <c r="X26" s="1497"/>
      <c r="Y26" s="3881"/>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881"/>
      <c r="Q27" s="1502" t="str">
        <f t="shared" ref="Q27:Q47" si="11">B27</f>
        <v>楼层</v>
      </c>
      <c r="R27" s="1503" t="s">
        <v>8</v>
      </c>
      <c r="S27" s="1504">
        <f>F27</f>
        <v>100</v>
      </c>
      <c r="T27" s="1503" t="s">
        <v>8</v>
      </c>
      <c r="U27" s="1504">
        <f>H27</f>
        <v>100</v>
      </c>
      <c r="V27" s="1503" t="s">
        <v>8</v>
      </c>
      <c r="W27" s="1504">
        <f>J27</f>
        <v>100</v>
      </c>
      <c r="X27" s="1497"/>
      <c r="Y27" s="3881"/>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881"/>
      <c r="Q28" s="1131" t="str">
        <f t="shared" si="11"/>
        <v>朝向</v>
      </c>
      <c r="R28" s="1498" t="s">
        <v>8</v>
      </c>
      <c r="S28" s="1499">
        <f>F28</f>
        <v>100</v>
      </c>
      <c r="T28" s="1498" t="s">
        <v>8</v>
      </c>
      <c r="U28" s="1499">
        <f>H28</f>
        <v>100</v>
      </c>
      <c r="V28" s="1498" t="s">
        <v>8</v>
      </c>
      <c r="W28" s="1499">
        <f>J28</f>
        <v>100</v>
      </c>
      <c r="X28" s="1500"/>
      <c r="Y28" s="3881"/>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881"/>
      <c r="Q29" s="1502">
        <f t="shared" si="11"/>
        <v>111</v>
      </c>
      <c r="R29" s="1503" t="s">
        <v>8</v>
      </c>
      <c r="S29" s="1504">
        <f t="shared" ref="S29:S47" si="12">F29</f>
        <v>100</v>
      </c>
      <c r="T29" s="1503" t="s">
        <v>8</v>
      </c>
      <c r="U29" s="1504">
        <f t="shared" ref="U29:U47" si="13">H29</f>
        <v>100</v>
      </c>
      <c r="V29" s="1503" t="s">
        <v>8</v>
      </c>
      <c r="W29" s="1504">
        <f t="shared" ref="W29:W47" si="14">J29</f>
        <v>100</v>
      </c>
      <c r="X29" s="1497"/>
      <c r="Y29" s="3881"/>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881"/>
      <c r="Q30" s="1502">
        <f t="shared" si="11"/>
        <v>111</v>
      </c>
      <c r="R30" s="1503" t="s">
        <v>8</v>
      </c>
      <c r="S30" s="1504">
        <f t="shared" si="12"/>
        <v>100</v>
      </c>
      <c r="T30" s="1503" t="s">
        <v>8</v>
      </c>
      <c r="U30" s="1504">
        <f t="shared" si="13"/>
        <v>100</v>
      </c>
      <c r="V30" s="1503" t="s">
        <v>8</v>
      </c>
      <c r="W30" s="1504">
        <f t="shared" si="14"/>
        <v>100</v>
      </c>
      <c r="X30" s="1497"/>
      <c r="Y30" s="3881"/>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881"/>
      <c r="Q31" s="1502">
        <f t="shared" si="11"/>
        <v>111</v>
      </c>
      <c r="R31" s="1503" t="s">
        <v>8</v>
      </c>
      <c r="S31" s="1504">
        <f t="shared" si="12"/>
        <v>100</v>
      </c>
      <c r="T31" s="1503" t="s">
        <v>8</v>
      </c>
      <c r="U31" s="1504">
        <f t="shared" si="13"/>
        <v>100</v>
      </c>
      <c r="V31" s="1503" t="s">
        <v>8</v>
      </c>
      <c r="W31" s="1504">
        <f t="shared" si="14"/>
        <v>100</v>
      </c>
      <c r="X31" s="1497"/>
      <c r="Y31" s="3881"/>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881"/>
      <c r="Q32" s="1502">
        <f t="shared" si="11"/>
        <v>111</v>
      </c>
      <c r="R32" s="1503" t="s">
        <v>8</v>
      </c>
      <c r="S32" s="1504">
        <f t="shared" si="12"/>
        <v>100</v>
      </c>
      <c r="T32" s="1503" t="s">
        <v>8</v>
      </c>
      <c r="U32" s="1504">
        <f t="shared" si="13"/>
        <v>100</v>
      </c>
      <c r="V32" s="1503" t="s">
        <v>8</v>
      </c>
      <c r="W32" s="1504">
        <f t="shared" si="14"/>
        <v>100</v>
      </c>
      <c r="X32" s="1497"/>
      <c r="Y32" s="3881"/>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882" t="s">
        <v>521</v>
      </c>
      <c r="Q33" s="1502" t="str">
        <f t="shared" si="11"/>
        <v>建筑类型</v>
      </c>
      <c r="R33" s="1503" t="s">
        <v>8</v>
      </c>
      <c r="S33" s="1504">
        <f t="shared" si="12"/>
        <v>100</v>
      </c>
      <c r="T33" s="1503" t="s">
        <v>8</v>
      </c>
      <c r="U33" s="1504">
        <f t="shared" si="13"/>
        <v>100</v>
      </c>
      <c r="V33" s="1503" t="s">
        <v>8</v>
      </c>
      <c r="W33" s="1504">
        <f t="shared" si="14"/>
        <v>100</v>
      </c>
      <c r="X33" s="1497"/>
      <c r="Y33" s="3883"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883"/>
      <c r="Q34" s="1531" t="str">
        <f t="shared" si="11"/>
        <v>项目建筑规模</v>
      </c>
      <c r="R34" s="1507" t="s">
        <v>8</v>
      </c>
      <c r="S34" s="1508" t="e">
        <f t="shared" si="12"/>
        <v>#N/A</v>
      </c>
      <c r="T34" s="1507" t="s">
        <v>8</v>
      </c>
      <c r="U34" s="1508" t="e">
        <f t="shared" si="13"/>
        <v>#N/A</v>
      </c>
      <c r="V34" s="1507" t="s">
        <v>8</v>
      </c>
      <c r="W34" s="1508" t="e">
        <f t="shared" si="14"/>
        <v>#N/A</v>
      </c>
      <c r="X34" s="1509"/>
      <c r="Y34" s="3883"/>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883"/>
      <c r="Q35" s="1502" t="str">
        <f t="shared" si="11"/>
        <v>建筑结构</v>
      </c>
      <c r="R35" s="1503" t="s">
        <v>8</v>
      </c>
      <c r="S35" s="1504">
        <f t="shared" si="12"/>
        <v>100</v>
      </c>
      <c r="T35" s="1503" t="s">
        <v>8</v>
      </c>
      <c r="U35" s="1504">
        <f t="shared" si="13"/>
        <v>100</v>
      </c>
      <c r="V35" s="1503" t="s">
        <v>8</v>
      </c>
      <c r="W35" s="1504">
        <f t="shared" si="14"/>
        <v>100</v>
      </c>
      <c r="X35" s="1497"/>
      <c r="Y35" s="3883"/>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883"/>
      <c r="Q36" s="1502" t="str">
        <f t="shared" si="11"/>
        <v>公共部分装修</v>
      </c>
      <c r="R36" s="1503" t="s">
        <v>8</v>
      </c>
      <c r="S36" s="1504">
        <f t="shared" si="12"/>
        <v>100</v>
      </c>
      <c r="T36" s="1503" t="s">
        <v>8</v>
      </c>
      <c r="U36" s="1504">
        <f t="shared" si="13"/>
        <v>100</v>
      </c>
      <c r="V36" s="1503" t="s">
        <v>8</v>
      </c>
      <c r="W36" s="1504">
        <f t="shared" si="14"/>
        <v>100</v>
      </c>
      <c r="X36" s="1497"/>
      <c r="Y36" s="3883"/>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883"/>
      <c r="Q37" s="1502" t="str">
        <f t="shared" si="11"/>
        <v>成新度</v>
      </c>
      <c r="R37" s="1503" t="s">
        <v>8</v>
      </c>
      <c r="S37" s="1504" t="e">
        <f t="shared" si="12"/>
        <v>#N/A</v>
      </c>
      <c r="T37" s="1503" t="s">
        <v>8</v>
      </c>
      <c r="U37" s="1504" t="e">
        <f t="shared" si="13"/>
        <v>#N/A</v>
      </c>
      <c r="V37" s="1503" t="s">
        <v>8</v>
      </c>
      <c r="W37" s="1504" t="e">
        <f t="shared" si="14"/>
        <v>#N/A</v>
      </c>
      <c r="X37" s="1497"/>
      <c r="Y37" s="3883"/>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883"/>
      <c r="Q38" s="1131" t="str">
        <f t="shared" si="11"/>
        <v>写字楼等级</v>
      </c>
      <c r="R38" s="1498" t="s">
        <v>8</v>
      </c>
      <c r="S38" s="1499">
        <f t="shared" si="12"/>
        <v>100</v>
      </c>
      <c r="T38" s="1498" t="s">
        <v>8</v>
      </c>
      <c r="U38" s="1499">
        <f t="shared" si="13"/>
        <v>100</v>
      </c>
      <c r="V38" s="1498" t="s">
        <v>8</v>
      </c>
      <c r="W38" s="1499">
        <f t="shared" si="14"/>
        <v>100</v>
      </c>
      <c r="X38" s="1500"/>
      <c r="Y38" s="3883"/>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883" t="s">
        <v>521</v>
      </c>
      <c r="Q39" s="1502" t="str">
        <f t="shared" si="11"/>
        <v>物业管理</v>
      </c>
      <c r="R39" s="1503" t="s">
        <v>8</v>
      </c>
      <c r="S39" s="1504">
        <f t="shared" si="12"/>
        <v>100</v>
      </c>
      <c r="T39" s="1503" t="s">
        <v>8</v>
      </c>
      <c r="U39" s="1504">
        <f t="shared" si="13"/>
        <v>100</v>
      </c>
      <c r="V39" s="1503" t="s">
        <v>8</v>
      </c>
      <c r="W39" s="1504">
        <f t="shared" si="14"/>
        <v>100</v>
      </c>
      <c r="X39" s="1497"/>
      <c r="Y39" s="3883"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883"/>
      <c r="Q40" s="1502" t="str">
        <f t="shared" si="11"/>
        <v>市政基础设施</v>
      </c>
      <c r="R40" s="1503" t="s">
        <v>8</v>
      </c>
      <c r="S40" s="1504">
        <f t="shared" si="12"/>
        <v>100</v>
      </c>
      <c r="T40" s="1503" t="s">
        <v>8</v>
      </c>
      <c r="U40" s="1504">
        <f t="shared" si="13"/>
        <v>100</v>
      </c>
      <c r="V40" s="1503" t="s">
        <v>8</v>
      </c>
      <c r="W40" s="1504">
        <f t="shared" si="14"/>
        <v>100</v>
      </c>
      <c r="X40" s="1497"/>
      <c r="Y40" s="3883"/>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883"/>
      <c r="Q41" s="1502" t="str">
        <f t="shared" si="11"/>
        <v>层高</v>
      </c>
      <c r="R41" s="1503" t="s">
        <v>8</v>
      </c>
      <c r="S41" s="1504">
        <f t="shared" si="12"/>
        <v>100</v>
      </c>
      <c r="T41" s="1503" t="s">
        <v>8</v>
      </c>
      <c r="U41" s="1504">
        <f t="shared" si="13"/>
        <v>100</v>
      </c>
      <c r="V41" s="1503" t="s">
        <v>8</v>
      </c>
      <c r="W41" s="1504">
        <f t="shared" si="14"/>
        <v>100</v>
      </c>
      <c r="X41" s="1497"/>
      <c r="Y41" s="3883"/>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883"/>
      <c r="Q42" s="1531" t="str">
        <f t="shared" si="11"/>
        <v>单套建筑面积</v>
      </c>
      <c r="R42" s="1507" t="s">
        <v>8</v>
      </c>
      <c r="S42" s="1508">
        <f t="shared" si="12"/>
        <v>100</v>
      </c>
      <c r="T42" s="1507" t="s">
        <v>8</v>
      </c>
      <c r="U42" s="1508">
        <f t="shared" si="13"/>
        <v>100</v>
      </c>
      <c r="V42" s="1507" t="s">
        <v>8</v>
      </c>
      <c r="W42" s="1508">
        <f t="shared" si="14"/>
        <v>100</v>
      </c>
      <c r="X42" s="1509"/>
      <c r="Y42" s="3883"/>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883"/>
      <c r="Q43" s="1502" t="str">
        <f t="shared" si="11"/>
        <v>内部装修</v>
      </c>
      <c r="R43" s="1503" t="s">
        <v>8</v>
      </c>
      <c r="S43" s="1504">
        <f t="shared" si="12"/>
        <v>100</v>
      </c>
      <c r="T43" s="1503" t="s">
        <v>8</v>
      </c>
      <c r="U43" s="1504">
        <f t="shared" si="13"/>
        <v>100</v>
      </c>
      <c r="V43" s="1503" t="s">
        <v>8</v>
      </c>
      <c r="W43" s="1504">
        <f t="shared" si="14"/>
        <v>100</v>
      </c>
      <c r="X43" s="1497"/>
      <c r="Y43" s="3883"/>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883"/>
      <c r="Q44" s="1502" t="str">
        <f t="shared" si="11"/>
        <v>内部装修维护情况</v>
      </c>
      <c r="R44" s="1503" t="s">
        <v>8</v>
      </c>
      <c r="S44" s="1504">
        <f t="shared" si="12"/>
        <v>100</v>
      </c>
      <c r="T44" s="1503" t="s">
        <v>8</v>
      </c>
      <c r="U44" s="1504">
        <f t="shared" si="13"/>
        <v>100</v>
      </c>
      <c r="V44" s="1503" t="s">
        <v>8</v>
      </c>
      <c r="W44" s="1504">
        <f t="shared" si="14"/>
        <v>100</v>
      </c>
      <c r="X44" s="1497"/>
      <c r="Y44" s="3883"/>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883"/>
      <c r="Q45" s="1131">
        <f t="shared" si="11"/>
        <v>111</v>
      </c>
      <c r="R45" s="1498" t="s">
        <v>8</v>
      </c>
      <c r="S45" s="1499">
        <f t="shared" si="12"/>
        <v>100</v>
      </c>
      <c r="T45" s="1498" t="s">
        <v>8</v>
      </c>
      <c r="U45" s="1499">
        <f t="shared" si="13"/>
        <v>100</v>
      </c>
      <c r="V45" s="1498" t="s">
        <v>8</v>
      </c>
      <c r="W45" s="1499">
        <f t="shared" si="14"/>
        <v>100</v>
      </c>
      <c r="X45" s="1500"/>
      <c r="Y45" s="3883"/>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883"/>
      <c r="Q46" s="1502">
        <f t="shared" si="11"/>
        <v>111</v>
      </c>
      <c r="R46" s="1503" t="s">
        <v>8</v>
      </c>
      <c r="S46" s="1504">
        <f t="shared" si="12"/>
        <v>100</v>
      </c>
      <c r="T46" s="1503" t="s">
        <v>8</v>
      </c>
      <c r="U46" s="1504">
        <f t="shared" si="13"/>
        <v>100</v>
      </c>
      <c r="V46" s="1503" t="s">
        <v>8</v>
      </c>
      <c r="W46" s="1504">
        <f t="shared" si="14"/>
        <v>100</v>
      </c>
      <c r="X46" s="1497"/>
      <c r="Y46" s="3883"/>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963"/>
      <c r="Q47" s="1502">
        <f t="shared" si="11"/>
        <v>111</v>
      </c>
      <c r="R47" s="1503" t="s">
        <v>8</v>
      </c>
      <c r="S47" s="1504">
        <f t="shared" si="12"/>
        <v>100</v>
      </c>
      <c r="T47" s="1503" t="s">
        <v>8</v>
      </c>
      <c r="U47" s="1504">
        <f t="shared" si="13"/>
        <v>100</v>
      </c>
      <c r="V47" s="1503" t="s">
        <v>8</v>
      </c>
      <c r="W47" s="1504">
        <f t="shared" si="14"/>
        <v>100</v>
      </c>
      <c r="X47" s="1497"/>
      <c r="Y47" s="3963"/>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900" t="str">
        <f>A48</f>
        <v>成交单价（元/平方米）</v>
      </c>
      <c r="Q48" s="3878"/>
      <c r="R48" s="3962">
        <f>E48</f>
        <v>0</v>
      </c>
      <c r="S48" s="3962"/>
      <c r="T48" s="3962">
        <f>G48</f>
        <v>0</v>
      </c>
      <c r="U48" s="3962"/>
      <c r="V48" s="3962">
        <f>I48</f>
        <v>0</v>
      </c>
      <c r="W48" s="3962"/>
      <c r="X48" s="1492"/>
      <c r="Y48" s="1511"/>
      <c r="Z48" s="1492"/>
      <c r="AA48" s="1492"/>
      <c r="AB48" s="1492"/>
      <c r="AC48" s="1492"/>
    </row>
    <row r="49" spans="1:29" ht="15.75" thickBot="1">
      <c r="A49" s="606" t="s">
        <v>2716</v>
      </c>
      <c r="B49" s="874"/>
      <c r="C49" s="2472" t="e">
        <f>R50</f>
        <v>#DIV/0!</v>
      </c>
      <c r="D49" s="3006" t="s">
        <v>2945</v>
      </c>
      <c r="E49" s="2473" t="e">
        <f>R49</f>
        <v>#DIV/0!</v>
      </c>
      <c r="F49" s="3007"/>
      <c r="G49" s="2472" t="e">
        <f>T49</f>
        <v>#DIV/0!</v>
      </c>
      <c r="H49" s="3007"/>
      <c r="I49" s="2473" t="e">
        <f>V49</f>
        <v>#DIV/0!</v>
      </c>
      <c r="J49" s="3007"/>
      <c r="K49" s="3015">
        <f>F49+H49+J49</f>
        <v>0</v>
      </c>
      <c r="L49" s="2022"/>
      <c r="M49" s="2012"/>
      <c r="N49" s="2012"/>
      <c r="O49" s="2012"/>
      <c r="P49" s="3900" t="str">
        <f>A49</f>
        <v>比较价格（元/平方米）</v>
      </c>
      <c r="Q49" s="3878"/>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1492"/>
      <c r="Y49" s="1492"/>
      <c r="Z49" s="1492"/>
      <c r="AA49" s="1492"/>
      <c r="AB49" s="1492"/>
      <c r="AC49" s="1492"/>
    </row>
    <row r="50" spans="1:29" ht="15.75" thickBot="1">
      <c r="A50" s="610" t="s">
        <v>2877</v>
      </c>
      <c r="B50" s="611"/>
      <c r="C50" s="2474" t="e">
        <f>R50</f>
        <v>#DIV/0!</v>
      </c>
      <c r="D50" s="2474"/>
      <c r="E50" s="2474"/>
      <c r="F50" s="2474"/>
      <c r="G50" s="2474"/>
      <c r="H50" s="2474"/>
      <c r="I50" s="2474"/>
      <c r="J50" s="2474"/>
      <c r="K50" s="1537"/>
      <c r="L50" s="2022"/>
      <c r="M50" s="2012"/>
      <c r="N50" s="2012"/>
      <c r="O50" s="2012"/>
      <c r="P50" s="4034" t="str">
        <f>A50</f>
        <v>估价对象XX用房的比较价格（楼面单价，元/平方米）</v>
      </c>
      <c r="Q50" s="3900"/>
      <c r="R50" s="3961" t="e">
        <f>IF(F1="售价",ROUND(IF(D49="简单平均",AVERAGE(R49:V49),R49*F49+T49*H49+V49*J49),0),ROUND(IF(D49="简单平均",AVERAGE(R49:V49),R49*F49+T49*H49+V49*J49),1))</f>
        <v>#DIV/0!</v>
      </c>
      <c r="S50" s="3961"/>
      <c r="T50" s="3961"/>
      <c r="U50" s="3961"/>
      <c r="V50" s="3961"/>
      <c r="W50" s="3961"/>
      <c r="X50" s="1492"/>
      <c r="Y50" s="1492"/>
      <c r="Z50" s="1492"/>
      <c r="AA50" s="1492"/>
      <c r="AB50" s="1492"/>
      <c r="AC50" s="1492"/>
    </row>
    <row r="51" spans="1:29">
      <c r="A51" s="3205"/>
      <c r="B51" s="3205"/>
      <c r="C51" s="3205"/>
      <c r="D51" s="3205"/>
      <c r="E51" s="3205"/>
      <c r="F51" s="3205"/>
      <c r="G51" s="3207"/>
      <c r="H51" s="3205"/>
      <c r="I51" s="3205"/>
      <c r="J51" s="3205"/>
      <c r="K51" s="3208"/>
      <c r="L51" s="2027"/>
      <c r="M51" s="2023"/>
      <c r="N51" s="2023"/>
      <c r="O51" s="2023"/>
      <c r="P51" s="2084"/>
      <c r="Q51" s="2023"/>
      <c r="R51" s="2023"/>
      <c r="S51" s="2023"/>
      <c r="T51" s="2023"/>
      <c r="U51" s="2023"/>
      <c r="V51" s="2023"/>
      <c r="W51" s="2023"/>
      <c r="X51" s="2023"/>
      <c r="Y51" s="2023"/>
      <c r="Z51" s="2023"/>
      <c r="AA51" s="2023"/>
      <c r="AB51" s="2023"/>
      <c r="AC51" s="2023"/>
    </row>
    <row r="52" spans="1:29">
      <c r="A52" s="3205"/>
      <c r="B52" s="3205"/>
      <c r="C52" s="3205"/>
      <c r="D52" s="3205"/>
      <c r="E52" s="3205"/>
      <c r="F52" s="3205"/>
      <c r="G52" s="3205"/>
      <c r="H52" s="3205"/>
      <c r="I52" s="3205"/>
      <c r="J52" s="3205"/>
      <c r="K52" s="3208"/>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8"/>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8"/>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9"/>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492</v>
      </c>
      <c r="B4" s="504"/>
      <c r="C4" s="3884" t="s">
        <v>493</v>
      </c>
      <c r="D4" s="3885"/>
      <c r="E4" s="3909" t="s">
        <v>494</v>
      </c>
      <c r="F4" s="3910"/>
      <c r="G4" s="3884" t="s">
        <v>495</v>
      </c>
      <c r="H4" s="3885"/>
      <c r="I4" s="3884" t="s">
        <v>496</v>
      </c>
      <c r="J4" s="3885"/>
      <c r="K4" s="505" t="s">
        <v>497</v>
      </c>
      <c r="L4" s="2011"/>
      <c r="M4" s="2012"/>
      <c r="N4" s="2012"/>
      <c r="O4" s="2012"/>
      <c r="P4" s="3886" t="s">
        <v>498</v>
      </c>
      <c r="Q4" s="3887"/>
      <c r="R4" s="3872" t="s">
        <v>494</v>
      </c>
      <c r="S4" s="3873"/>
      <c r="T4" s="3872" t="s">
        <v>495</v>
      </c>
      <c r="U4" s="3873"/>
      <c r="V4" s="3892" t="s">
        <v>496</v>
      </c>
      <c r="W4" s="3892"/>
      <c r="X4" s="1497"/>
      <c r="Y4" s="3872" t="s">
        <v>498</v>
      </c>
      <c r="Z4" s="3873"/>
      <c r="AA4" s="3867" t="s">
        <v>494</v>
      </c>
      <c r="AB4" s="3868" t="s">
        <v>495</v>
      </c>
      <c r="AC4" s="3867" t="s">
        <v>496</v>
      </c>
    </row>
    <row r="5" spans="1:29" ht="15">
      <c r="A5" s="506"/>
      <c r="B5" s="507"/>
      <c r="C5" s="3895" t="s">
        <v>2871</v>
      </c>
      <c r="D5" s="3896"/>
      <c r="E5" s="3911" t="s">
        <v>2872</v>
      </c>
      <c r="F5" s="3912"/>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870" t="s">
        <v>501</v>
      </c>
      <c r="Q7" s="3879"/>
      <c r="R7" s="1498" t="s">
        <v>8</v>
      </c>
      <c r="S7" s="1499">
        <f t="shared" ref="S7:S15" si="0">F7</f>
        <v>0</v>
      </c>
      <c r="T7" s="1498" t="s">
        <v>8</v>
      </c>
      <c r="U7" s="1499">
        <f t="shared" ref="U7:U15" si="1">H7</f>
        <v>0</v>
      </c>
      <c r="V7" s="1498" t="s">
        <v>8</v>
      </c>
      <c r="W7" s="1499">
        <f t="shared" ref="W7:W15"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878" t="s">
        <v>506</v>
      </c>
      <c r="Q9" s="1131" t="str">
        <f t="shared" ref="Q9:Q15" si="6">B9</f>
        <v>用途</v>
      </c>
      <c r="R9" s="1498" t="s">
        <v>8</v>
      </c>
      <c r="S9" s="1499">
        <f t="shared" si="0"/>
        <v>100</v>
      </c>
      <c r="T9" s="1498" t="s">
        <v>8</v>
      </c>
      <c r="U9" s="1499">
        <f t="shared" si="1"/>
        <v>100</v>
      </c>
      <c r="V9" s="1498" t="s">
        <v>8</v>
      </c>
      <c r="W9" s="1499">
        <f t="shared" si="2"/>
        <v>100</v>
      </c>
      <c r="X9" s="1500"/>
      <c r="Y9" s="3829"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878"/>
      <c r="Q11" s="1131" t="str">
        <f t="shared" si="6"/>
        <v>容积率</v>
      </c>
      <c r="R11" s="1498" t="s">
        <v>8</v>
      </c>
      <c r="S11" s="1499" t="e">
        <f t="shared" si="0"/>
        <v>#N/A</v>
      </c>
      <c r="T11" s="1498" t="s">
        <v>8</v>
      </c>
      <c r="U11" s="1499" t="e">
        <f t="shared" si="1"/>
        <v>#N/A</v>
      </c>
      <c r="V11" s="1498" t="s">
        <v>8</v>
      </c>
      <c r="W11" s="1499" t="e">
        <f t="shared" si="2"/>
        <v>#N/A</v>
      </c>
      <c r="X11" s="1500"/>
      <c r="Y11" s="3829"/>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878"/>
      <c r="Q14" s="1131">
        <f t="shared" si="6"/>
        <v>111</v>
      </c>
      <c r="R14" s="1498" t="s">
        <v>8</v>
      </c>
      <c r="S14" s="1499">
        <f t="shared" si="0"/>
        <v>100</v>
      </c>
      <c r="T14" s="1498" t="s">
        <v>8</v>
      </c>
      <c r="U14" s="1499">
        <f t="shared" si="1"/>
        <v>100</v>
      </c>
      <c r="V14" s="1498" t="s">
        <v>8</v>
      </c>
      <c r="W14" s="1499">
        <f t="shared" si="2"/>
        <v>100</v>
      </c>
      <c r="X14" s="1500"/>
      <c r="Y14" s="3829"/>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880" t="s">
        <v>511</v>
      </c>
      <c r="Q15" s="1502" t="str">
        <f t="shared" si="6"/>
        <v>产业集聚程度</v>
      </c>
      <c r="R15" s="1503" t="s">
        <v>8</v>
      </c>
      <c r="S15" s="1504">
        <f t="shared" si="0"/>
        <v>100</v>
      </c>
      <c r="T15" s="1503" t="s">
        <v>8</v>
      </c>
      <c r="U15" s="1504">
        <f t="shared" si="1"/>
        <v>100</v>
      </c>
      <c r="V15" s="1503" t="s">
        <v>8</v>
      </c>
      <c r="W15" s="1504">
        <f t="shared" si="2"/>
        <v>100</v>
      </c>
      <c r="X15" s="1497"/>
      <c r="Y15" s="3880"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81"/>
      <c r="Q16" s="1502"/>
      <c r="R16" s="1503"/>
      <c r="S16" s="1504"/>
      <c r="T16" s="1503"/>
      <c r="U16" s="1504"/>
      <c r="V16" s="1503"/>
      <c r="W16" s="1504"/>
      <c r="X16" s="1497"/>
      <c r="Y16" s="3881"/>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881"/>
      <c r="Q17" s="1502" t="str">
        <f>B17</f>
        <v>交通便捷度</v>
      </c>
      <c r="R17" s="1503" t="s">
        <v>8</v>
      </c>
      <c r="S17" s="1504">
        <f>F17</f>
        <v>100</v>
      </c>
      <c r="T17" s="1503" t="s">
        <v>8</v>
      </c>
      <c r="U17" s="1504">
        <f>H17</f>
        <v>100</v>
      </c>
      <c r="V17" s="1503" t="s">
        <v>8</v>
      </c>
      <c r="W17" s="1504">
        <f>J17</f>
        <v>100</v>
      </c>
      <c r="X17" s="1497"/>
      <c r="Y17" s="3881"/>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81"/>
      <c r="Q18" s="1502"/>
      <c r="R18" s="1503"/>
      <c r="S18" s="1504"/>
      <c r="T18" s="1503"/>
      <c r="U18" s="1504"/>
      <c r="V18" s="1503"/>
      <c r="W18" s="1504"/>
      <c r="X18" s="1497"/>
      <c r="Y18" s="3881"/>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881"/>
      <c r="Q19" s="1502" t="str">
        <f>B19</f>
        <v>公共配套设施</v>
      </c>
      <c r="R19" s="1503" t="s">
        <v>8</v>
      </c>
      <c r="S19" s="1504">
        <f>F19</f>
        <v>100</v>
      </c>
      <c r="T19" s="1503" t="s">
        <v>8</v>
      </c>
      <c r="U19" s="1504">
        <f>H19</f>
        <v>100</v>
      </c>
      <c r="V19" s="1503" t="s">
        <v>8</v>
      </c>
      <c r="W19" s="1504">
        <f>J19</f>
        <v>100</v>
      </c>
      <c r="X19" s="1497"/>
      <c r="Y19" s="3881"/>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881"/>
      <c r="Q20" s="1502"/>
      <c r="R20" s="1503"/>
      <c r="S20" s="1504"/>
      <c r="T20" s="1503"/>
      <c r="U20" s="1504"/>
      <c r="V20" s="1503"/>
      <c r="W20" s="1504"/>
      <c r="X20" s="1497"/>
      <c r="Y20" s="3881"/>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881"/>
      <c r="Q21" s="2425" t="str">
        <f>B21</f>
        <v>基础设施水平</v>
      </c>
      <c r="R21" s="1503" t="s">
        <v>8</v>
      </c>
      <c r="S21" s="1504">
        <f>F21</f>
        <v>100</v>
      </c>
      <c r="T21" s="1503" t="s">
        <v>8</v>
      </c>
      <c r="U21" s="1504">
        <f>H21</f>
        <v>100</v>
      </c>
      <c r="V21" s="1503" t="s">
        <v>8</v>
      </c>
      <c r="W21" s="1504">
        <f>J21</f>
        <v>100</v>
      </c>
      <c r="X21" s="2427"/>
      <c r="Y21" s="3881"/>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881"/>
      <c r="Q22" s="2425"/>
      <c r="R22" s="1503"/>
      <c r="S22" s="1504"/>
      <c r="T22" s="1503"/>
      <c r="U22" s="1504"/>
      <c r="V22" s="1503"/>
      <c r="W22" s="1504"/>
      <c r="X22" s="2427"/>
      <c r="Y22" s="3881"/>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881"/>
      <c r="Q23" s="1502" t="str">
        <f>B23</f>
        <v>环境质量</v>
      </c>
      <c r="R23" s="1503" t="s">
        <v>8</v>
      </c>
      <c r="S23" s="1504">
        <f>F23</f>
        <v>100</v>
      </c>
      <c r="T23" s="1503" t="s">
        <v>8</v>
      </c>
      <c r="U23" s="1504">
        <f>H23</f>
        <v>100</v>
      </c>
      <c r="V23" s="1503" t="s">
        <v>8</v>
      </c>
      <c r="W23" s="1504">
        <f>J23</f>
        <v>100</v>
      </c>
      <c r="X23" s="1497"/>
      <c r="Y23" s="3881"/>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881"/>
      <c r="Q24" s="1502"/>
      <c r="R24" s="1503"/>
      <c r="S24" s="1504"/>
      <c r="T24" s="1503"/>
      <c r="U24" s="1504"/>
      <c r="V24" s="1503"/>
      <c r="W24" s="1504"/>
      <c r="X24" s="1497"/>
      <c r="Y24" s="3881"/>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881"/>
      <c r="Q25" s="1502">
        <f>B25</f>
        <v>111</v>
      </c>
      <c r="R25" s="1503" t="s">
        <v>8</v>
      </c>
      <c r="S25" s="1504">
        <f>F25</f>
        <v>100</v>
      </c>
      <c r="T25" s="1503" t="s">
        <v>8</v>
      </c>
      <c r="U25" s="1504">
        <f>H25</f>
        <v>100</v>
      </c>
      <c r="V25" s="1503" t="s">
        <v>8</v>
      </c>
      <c r="W25" s="1504">
        <f>J25</f>
        <v>100</v>
      </c>
      <c r="X25" s="1497"/>
      <c r="Y25" s="3881"/>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881"/>
      <c r="Q26" s="1502">
        <f t="shared" ref="Q26:Q40" si="11">B26</f>
        <v>111</v>
      </c>
      <c r="R26" s="1503" t="s">
        <v>8</v>
      </c>
      <c r="S26" s="1504">
        <f>F26</f>
        <v>100</v>
      </c>
      <c r="T26" s="1503" t="s">
        <v>8</v>
      </c>
      <c r="U26" s="1504">
        <f>H26</f>
        <v>100</v>
      </c>
      <c r="V26" s="1503" t="s">
        <v>8</v>
      </c>
      <c r="W26" s="1504">
        <f>J26</f>
        <v>100</v>
      </c>
      <c r="X26" s="1497"/>
      <c r="Y26" s="3881"/>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881"/>
      <c r="Q27" s="1131">
        <f t="shared" si="11"/>
        <v>111</v>
      </c>
      <c r="R27" s="1498" t="s">
        <v>8</v>
      </c>
      <c r="S27" s="1499">
        <f>F27</f>
        <v>100</v>
      </c>
      <c r="T27" s="1498" t="s">
        <v>8</v>
      </c>
      <c r="U27" s="1499">
        <f>H27</f>
        <v>100</v>
      </c>
      <c r="V27" s="1498" t="s">
        <v>8</v>
      </c>
      <c r="W27" s="1499">
        <f>J27</f>
        <v>100</v>
      </c>
      <c r="X27" s="1500"/>
      <c r="Y27" s="3881"/>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881"/>
      <c r="Q28" s="1502">
        <f t="shared" si="11"/>
        <v>111</v>
      </c>
      <c r="R28" s="1503" t="s">
        <v>8</v>
      </c>
      <c r="S28" s="1504">
        <f t="shared" ref="S28:S40" si="12">F28</f>
        <v>100</v>
      </c>
      <c r="T28" s="1503" t="s">
        <v>8</v>
      </c>
      <c r="U28" s="1504">
        <f t="shared" ref="U28:U40" si="13">H28</f>
        <v>100</v>
      </c>
      <c r="V28" s="1503" t="s">
        <v>8</v>
      </c>
      <c r="W28" s="1504">
        <f t="shared" ref="W28:W40" si="14">J28</f>
        <v>100</v>
      </c>
      <c r="X28" s="1497"/>
      <c r="Y28" s="3881"/>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882" t="s">
        <v>521</v>
      </c>
      <c r="Q29" s="1502" t="str">
        <f t="shared" si="11"/>
        <v>建筑类型</v>
      </c>
      <c r="R29" s="1503" t="s">
        <v>8</v>
      </c>
      <c r="S29" s="1504">
        <f t="shared" si="12"/>
        <v>100</v>
      </c>
      <c r="T29" s="1503" t="s">
        <v>8</v>
      </c>
      <c r="U29" s="1504">
        <f t="shared" si="13"/>
        <v>100</v>
      </c>
      <c r="V29" s="1503" t="s">
        <v>8</v>
      </c>
      <c r="W29" s="1504">
        <f t="shared" si="14"/>
        <v>100</v>
      </c>
      <c r="X29" s="1497"/>
      <c r="Y29" s="3883"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883"/>
      <c r="Q30" s="1531" t="str">
        <f t="shared" si="11"/>
        <v>项目建筑规模</v>
      </c>
      <c r="R30" s="1507" t="s">
        <v>8</v>
      </c>
      <c r="S30" s="1508" t="e">
        <f t="shared" si="12"/>
        <v>#N/A</v>
      </c>
      <c r="T30" s="1507" t="s">
        <v>8</v>
      </c>
      <c r="U30" s="1508" t="e">
        <f t="shared" si="13"/>
        <v>#N/A</v>
      </c>
      <c r="V30" s="1507" t="s">
        <v>8</v>
      </c>
      <c r="W30" s="1508" t="e">
        <f t="shared" si="14"/>
        <v>#N/A</v>
      </c>
      <c r="X30" s="1509"/>
      <c r="Y30" s="3883"/>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883"/>
      <c r="Q31" s="1502" t="str">
        <f t="shared" si="11"/>
        <v>建筑结构</v>
      </c>
      <c r="R31" s="1503" t="s">
        <v>8</v>
      </c>
      <c r="S31" s="1504">
        <f t="shared" si="12"/>
        <v>100</v>
      </c>
      <c r="T31" s="1503" t="s">
        <v>8</v>
      </c>
      <c r="U31" s="1504">
        <f t="shared" si="13"/>
        <v>100</v>
      </c>
      <c r="V31" s="1503" t="s">
        <v>8</v>
      </c>
      <c r="W31" s="1504">
        <f t="shared" si="14"/>
        <v>100</v>
      </c>
      <c r="X31" s="1497"/>
      <c r="Y31" s="3883"/>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883"/>
      <c r="Q32" s="1502" t="str">
        <f t="shared" si="11"/>
        <v>公共部分装修</v>
      </c>
      <c r="R32" s="1503" t="s">
        <v>8</v>
      </c>
      <c r="S32" s="1504">
        <f t="shared" si="12"/>
        <v>100</v>
      </c>
      <c r="T32" s="1503" t="s">
        <v>8</v>
      </c>
      <c r="U32" s="1504">
        <f t="shared" si="13"/>
        <v>100</v>
      </c>
      <c r="V32" s="1503" t="s">
        <v>8</v>
      </c>
      <c r="W32" s="1504">
        <f t="shared" si="14"/>
        <v>100</v>
      </c>
      <c r="X32" s="1497"/>
      <c r="Y32" s="3883"/>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883"/>
      <c r="Q33" s="1502" t="str">
        <f t="shared" si="11"/>
        <v>成新度</v>
      </c>
      <c r="R33" s="1503" t="s">
        <v>8</v>
      </c>
      <c r="S33" s="1504" t="e">
        <f t="shared" si="12"/>
        <v>#N/A</v>
      </c>
      <c r="T33" s="1503" t="s">
        <v>8</v>
      </c>
      <c r="U33" s="1504" t="e">
        <f t="shared" si="13"/>
        <v>#N/A</v>
      </c>
      <c r="V33" s="1503" t="s">
        <v>8</v>
      </c>
      <c r="W33" s="1504" t="e">
        <f t="shared" si="14"/>
        <v>#N/A</v>
      </c>
      <c r="X33" s="1497"/>
      <c r="Y33" s="3883"/>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883"/>
      <c r="Q34" s="1131" t="str">
        <f t="shared" si="11"/>
        <v>物业管理</v>
      </c>
      <c r="R34" s="1498" t="s">
        <v>8</v>
      </c>
      <c r="S34" s="1499">
        <f t="shared" si="12"/>
        <v>100</v>
      </c>
      <c r="T34" s="1498" t="s">
        <v>8</v>
      </c>
      <c r="U34" s="1499">
        <f t="shared" si="13"/>
        <v>100</v>
      </c>
      <c r="V34" s="1498" t="s">
        <v>8</v>
      </c>
      <c r="W34" s="1499">
        <f t="shared" si="14"/>
        <v>100</v>
      </c>
      <c r="X34" s="1500"/>
      <c r="Y34" s="3883"/>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883" t="s">
        <v>521</v>
      </c>
      <c r="Q35" s="1502" t="str">
        <f t="shared" si="11"/>
        <v>市政基础设施</v>
      </c>
      <c r="R35" s="1503" t="s">
        <v>8</v>
      </c>
      <c r="S35" s="1504">
        <f t="shared" si="12"/>
        <v>100</v>
      </c>
      <c r="T35" s="1503" t="s">
        <v>8</v>
      </c>
      <c r="U35" s="1504">
        <f t="shared" si="13"/>
        <v>100</v>
      </c>
      <c r="V35" s="1503" t="s">
        <v>8</v>
      </c>
      <c r="W35" s="1504">
        <f t="shared" si="14"/>
        <v>100</v>
      </c>
      <c r="X35" s="1497"/>
      <c r="Y35" s="3883"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883"/>
      <c r="Q36" s="1502" t="str">
        <f t="shared" si="11"/>
        <v>内部装修</v>
      </c>
      <c r="R36" s="1503" t="s">
        <v>8</v>
      </c>
      <c r="S36" s="1504">
        <f t="shared" si="12"/>
        <v>100</v>
      </c>
      <c r="T36" s="1503" t="s">
        <v>8</v>
      </c>
      <c r="U36" s="1504">
        <f t="shared" si="13"/>
        <v>100</v>
      </c>
      <c r="V36" s="1503" t="s">
        <v>8</v>
      </c>
      <c r="W36" s="1504">
        <f t="shared" si="14"/>
        <v>100</v>
      </c>
      <c r="X36" s="1497"/>
      <c r="Y36" s="3883"/>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883"/>
      <c r="Q37" s="1502" t="str">
        <f t="shared" si="11"/>
        <v>内部装修状况</v>
      </c>
      <c r="R37" s="1503" t="s">
        <v>8</v>
      </c>
      <c r="S37" s="1504">
        <f t="shared" si="12"/>
        <v>100</v>
      </c>
      <c r="T37" s="1503" t="s">
        <v>8</v>
      </c>
      <c r="U37" s="1504">
        <f t="shared" si="13"/>
        <v>100</v>
      </c>
      <c r="V37" s="1503" t="s">
        <v>8</v>
      </c>
      <c r="W37" s="1504">
        <f t="shared" si="14"/>
        <v>100</v>
      </c>
      <c r="X37" s="1497"/>
      <c r="Y37" s="3883"/>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883"/>
      <c r="Q38" s="1531">
        <f t="shared" si="11"/>
        <v>111</v>
      </c>
      <c r="R38" s="1507" t="s">
        <v>8</v>
      </c>
      <c r="S38" s="1508">
        <f t="shared" si="12"/>
        <v>100</v>
      </c>
      <c r="T38" s="1507" t="s">
        <v>8</v>
      </c>
      <c r="U38" s="1508">
        <f t="shared" si="13"/>
        <v>100</v>
      </c>
      <c r="V38" s="1507" t="s">
        <v>8</v>
      </c>
      <c r="W38" s="1508">
        <f t="shared" si="14"/>
        <v>100</v>
      </c>
      <c r="X38" s="1509"/>
      <c r="Y38" s="3883"/>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883"/>
      <c r="Q39" s="1502">
        <f t="shared" si="11"/>
        <v>111</v>
      </c>
      <c r="R39" s="1503" t="s">
        <v>8</v>
      </c>
      <c r="S39" s="1504">
        <f t="shared" si="12"/>
        <v>100</v>
      </c>
      <c r="T39" s="1503" t="s">
        <v>8</v>
      </c>
      <c r="U39" s="1504">
        <f t="shared" si="13"/>
        <v>100</v>
      </c>
      <c r="V39" s="1503" t="s">
        <v>8</v>
      </c>
      <c r="W39" s="1504">
        <f t="shared" si="14"/>
        <v>100</v>
      </c>
      <c r="X39" s="1497"/>
      <c r="Y39" s="3883"/>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963"/>
      <c r="Q40" s="1502">
        <f t="shared" si="11"/>
        <v>111</v>
      </c>
      <c r="R40" s="1503" t="s">
        <v>8</v>
      </c>
      <c r="S40" s="1504">
        <f t="shared" si="12"/>
        <v>100</v>
      </c>
      <c r="T40" s="1503" t="s">
        <v>8</v>
      </c>
      <c r="U40" s="1504">
        <f t="shared" si="13"/>
        <v>100</v>
      </c>
      <c r="V40" s="1503" t="s">
        <v>8</v>
      </c>
      <c r="W40" s="1504">
        <f t="shared" si="14"/>
        <v>100</v>
      </c>
      <c r="X40" s="1497"/>
      <c r="Y40" s="3963"/>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878" t="str">
        <f>A41</f>
        <v>成交单价（元/平方米）</v>
      </c>
      <c r="Q41" s="3878"/>
      <c r="R41" s="3962">
        <f>E41</f>
        <v>0</v>
      </c>
      <c r="S41" s="3962"/>
      <c r="T41" s="3962">
        <f>G41</f>
        <v>0</v>
      </c>
      <c r="U41" s="3962"/>
      <c r="V41" s="3962">
        <f>I41</f>
        <v>0</v>
      </c>
      <c r="W41" s="3962"/>
      <c r="X41" s="1492"/>
      <c r="Y41" s="1511"/>
      <c r="Z41" s="1492"/>
      <c r="AA41" s="1492"/>
      <c r="AB41" s="1492"/>
      <c r="AC41" s="1492"/>
    </row>
    <row r="42" spans="1:29" ht="15.75" thickBot="1">
      <c r="A42" s="606" t="s">
        <v>2716</v>
      </c>
      <c r="B42" s="874"/>
      <c r="C42" s="2472" t="e">
        <f>R43</f>
        <v>#DIV/0!</v>
      </c>
      <c r="D42" s="3006" t="s">
        <v>2945</v>
      </c>
      <c r="E42" s="2473" t="e">
        <f>R42</f>
        <v>#DIV/0!</v>
      </c>
      <c r="F42" s="3007"/>
      <c r="G42" s="2472" t="e">
        <f>T42</f>
        <v>#DIV/0!</v>
      </c>
      <c r="H42" s="3007"/>
      <c r="I42" s="2473" t="e">
        <f>V42</f>
        <v>#DIV/0!</v>
      </c>
      <c r="J42" s="3007"/>
      <c r="K42" s="3015">
        <f>F42+H42+J42</f>
        <v>0</v>
      </c>
      <c r="L42" s="2022"/>
      <c r="M42" s="2023"/>
      <c r="N42" s="2012"/>
      <c r="O42" s="2023"/>
      <c r="P42" s="3878" t="str">
        <f>A42</f>
        <v>比较价格（元/平方米）</v>
      </c>
      <c r="Q42" s="3878"/>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1492"/>
      <c r="Y42" s="1492"/>
      <c r="Z42" s="1492"/>
      <c r="AA42" s="1492"/>
      <c r="AB42" s="1492"/>
      <c r="AC42" s="1492"/>
    </row>
    <row r="43" spans="1:29" ht="15.75" thickBot="1">
      <c r="A43" s="610" t="s">
        <v>2877</v>
      </c>
      <c r="B43" s="611"/>
      <c r="C43" s="2474" t="e">
        <f>R43</f>
        <v>#DIV/0!</v>
      </c>
      <c r="D43" s="2474"/>
      <c r="E43" s="2474"/>
      <c r="F43" s="2474"/>
      <c r="G43" s="2474"/>
      <c r="H43" s="2474"/>
      <c r="I43" s="2474"/>
      <c r="J43" s="2474"/>
      <c r="K43" s="1537"/>
      <c r="L43" s="2022"/>
      <c r="M43" s="2023"/>
      <c r="N43" s="2023"/>
      <c r="O43" s="2023"/>
      <c r="P43" s="3899" t="str">
        <f>A43</f>
        <v>估价对象XX用房的比较价格（楼面单价，元/平方米）</v>
      </c>
      <c r="Q43" s="3900"/>
      <c r="R43" s="3961" t="e">
        <f>IF(F1="售价",ROUND(IF(D42="简单平均",AVERAGE(R42:V42),R42*F42+T42*H42+V42*J42),0),ROUND(IF(D42="简单平均",AVERAGE(R42:V42),R42*F42+T42*H42+V42*J42),1))</f>
        <v>#DIV/0!</v>
      </c>
      <c r="S43" s="3961"/>
      <c r="T43" s="3961"/>
      <c r="U43" s="3961"/>
      <c r="V43" s="3961"/>
      <c r="W43" s="3961"/>
      <c r="X43" s="1492"/>
      <c r="Y43" s="1492"/>
      <c r="Z43" s="1492"/>
      <c r="AA43" s="1492"/>
      <c r="AB43" s="1492"/>
      <c r="AC43" s="1492"/>
    </row>
    <row r="44" spans="1:29">
      <c r="A44" s="3205"/>
      <c r="B44" s="3205"/>
      <c r="C44" s="3205"/>
      <c r="D44" s="3205"/>
      <c r="E44" s="3205"/>
      <c r="F44" s="3205"/>
      <c r="G44" s="3207"/>
      <c r="H44" s="3205"/>
      <c r="I44" s="3205"/>
      <c r="J44" s="3205"/>
      <c r="K44" s="3208"/>
      <c r="L44" s="2027"/>
      <c r="M44" s="2023"/>
      <c r="N44" s="2023"/>
      <c r="O44" s="2023"/>
      <c r="P44" s="2023"/>
      <c r="Q44" s="2023"/>
      <c r="R44" s="2023"/>
      <c r="S44" s="2023"/>
      <c r="T44" s="2023"/>
      <c r="U44" s="2023"/>
      <c r="V44" s="2023"/>
      <c r="W44" s="2023"/>
      <c r="X44" s="2023"/>
      <c r="Y44" s="2023"/>
      <c r="Z44" s="2023"/>
      <c r="AA44" s="2023"/>
      <c r="AB44" s="2023"/>
      <c r="AC44" s="2023"/>
    </row>
    <row r="45" spans="1:29">
      <c r="A45" s="3205"/>
      <c r="B45" s="3205"/>
      <c r="C45" s="3205"/>
      <c r="D45" s="3205"/>
      <c r="E45" s="3205"/>
      <c r="F45" s="3205"/>
      <c r="G45" s="3205"/>
      <c r="H45" s="3205"/>
      <c r="I45" s="3205"/>
      <c r="J45" s="3205"/>
      <c r="K45" s="3208"/>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5"/>
      <c r="B46" s="3205"/>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8"/>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5"/>
      <c r="B47" s="3205"/>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8"/>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6"/>
      <c r="B48" s="3206"/>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9"/>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IF(B37="元/平方米",C39,ROUND(B2*10000/D3,0))</f>
        <v>#DIV/0!</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84" t="s">
        <v>769</v>
      </c>
      <c r="D4" s="3885"/>
      <c r="E4" s="3884" t="s">
        <v>770</v>
      </c>
      <c r="F4" s="3885"/>
      <c r="G4" s="3884" t="s">
        <v>771</v>
      </c>
      <c r="H4" s="3885"/>
      <c r="I4" s="3884" t="s">
        <v>772</v>
      </c>
      <c r="J4" s="3885"/>
      <c r="K4" s="505" t="s">
        <v>773</v>
      </c>
      <c r="L4" s="2011"/>
      <c r="M4" s="2012"/>
      <c r="N4" s="2012"/>
      <c r="O4" s="2012"/>
      <c r="P4" s="3886" t="s">
        <v>774</v>
      </c>
      <c r="Q4" s="3887"/>
      <c r="R4" s="3872" t="s">
        <v>770</v>
      </c>
      <c r="S4" s="3873"/>
      <c r="T4" s="3872" t="s">
        <v>771</v>
      </c>
      <c r="U4" s="3873"/>
      <c r="V4" s="3892" t="s">
        <v>772</v>
      </c>
      <c r="W4" s="3892"/>
      <c r="X4" s="1497"/>
      <c r="Y4" s="3872" t="s">
        <v>774</v>
      </c>
      <c r="Z4" s="3873"/>
      <c r="AA4" s="3867" t="s">
        <v>770</v>
      </c>
      <c r="AB4" s="3868" t="s">
        <v>771</v>
      </c>
      <c r="AC4" s="3867" t="s">
        <v>772</v>
      </c>
    </row>
    <row r="5" spans="1:29" ht="15">
      <c r="A5" s="506"/>
      <c r="B5" s="507"/>
      <c r="C5" s="3895" t="s">
        <v>2871</v>
      </c>
      <c r="D5" s="3896"/>
      <c r="E5" s="3895" t="s">
        <v>2872</v>
      </c>
      <c r="F5" s="3896"/>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897" t="s">
        <v>2875</v>
      </c>
      <c r="F6" s="3898"/>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SUMIF(48:48,YEAR(E7)&amp;"-"&amp;MONTH(E7),49:49)</f>
        <v>0</v>
      </c>
      <c r="G7" s="514"/>
      <c r="H7" s="511">
        <f>SUMIF(48:48,YEAR(G7)&amp;"-"&amp;MONTH(G7),49:49)</f>
        <v>0</v>
      </c>
      <c r="I7" s="514"/>
      <c r="J7" s="511">
        <f>SUMIF(48:48,YEAR(I7)&amp;"-"&amp;MONTH(I7),49:49)</f>
        <v>0</v>
      </c>
      <c r="K7" s="515"/>
      <c r="L7" s="2013"/>
      <c r="M7" s="2014"/>
      <c r="N7" s="2014"/>
      <c r="O7" s="2014"/>
      <c r="P7" s="3870" t="s">
        <v>501</v>
      </c>
      <c r="Q7" s="3879"/>
      <c r="R7" s="1498" t="s">
        <v>8</v>
      </c>
      <c r="S7" s="1499">
        <f t="shared" ref="S7:S14" si="0">F7</f>
        <v>0</v>
      </c>
      <c r="T7" s="1498" t="s">
        <v>8</v>
      </c>
      <c r="U7" s="1499">
        <f t="shared" ref="U7:U14" si="1">H7</f>
        <v>0</v>
      </c>
      <c r="V7" s="1498" t="s">
        <v>8</v>
      </c>
      <c r="W7" s="1499">
        <f t="shared" ref="W7:W14"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SUMIF(51:51,E8,52:52)-SUMIF(51:51,C8,52:52)+100</f>
        <v>0</v>
      </c>
      <c r="G8" s="516"/>
      <c r="H8" s="511">
        <f>SUMIF(51:51,G8,52:52)-SUMIF(51:51,C8,52:52)+100</f>
        <v>0</v>
      </c>
      <c r="I8" s="516"/>
      <c r="J8" s="511">
        <f>SUMIF(51:51,I8,52:52)-SUMIF(51:51,C8,52:52)+100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36" si="3">D8/F8</f>
        <v>#DIV/0!</v>
      </c>
      <c r="AB8" s="1501" t="e">
        <f t="shared" ref="AB8:AB36" si="4">D8/H8</f>
        <v>#DIV/0!</v>
      </c>
      <c r="AC8" s="1501" t="e">
        <f t="shared" ref="AC8:AC36" si="5">D8/J8</f>
        <v>#DIV/0!</v>
      </c>
    </row>
    <row r="9" spans="1:29" s="1200" customFormat="1" ht="15">
      <c r="A9" s="2627"/>
      <c r="B9" s="2634" t="s">
        <v>2712</v>
      </c>
      <c r="C9" s="843"/>
      <c r="D9" s="250">
        <v>100</v>
      </c>
      <c r="E9" s="846"/>
      <c r="F9" s="250">
        <f>SUMIF(53:53,E9,54:54)-SUMIF(53:53,C9,54:54)+100</f>
        <v>100</v>
      </c>
      <c r="G9" s="844"/>
      <c r="H9" s="250">
        <f>SUMIF(53:53,G9,54:54)-SUMIF(53:53,C9,54:54)+100</f>
        <v>100</v>
      </c>
      <c r="I9" s="844"/>
      <c r="J9" s="250">
        <f>SUMIF(53:53,I9,54:54)-SUMIF(53:53,C9,54:54)+100</f>
        <v>100</v>
      </c>
      <c r="K9" s="515"/>
      <c r="L9" s="2013"/>
      <c r="M9" s="2014"/>
      <c r="N9" s="2014"/>
      <c r="O9" s="2015"/>
      <c r="P9" s="3878" t="s">
        <v>506</v>
      </c>
      <c r="Q9" s="1131" t="str">
        <f t="shared" ref="Q9:Q14" si="6">B9</f>
        <v>用途</v>
      </c>
      <c r="R9" s="1498" t="s">
        <v>8</v>
      </c>
      <c r="S9" s="1499">
        <f t="shared" si="0"/>
        <v>100</v>
      </c>
      <c r="T9" s="1498" t="s">
        <v>8</v>
      </c>
      <c r="U9" s="1499">
        <f t="shared" si="1"/>
        <v>100</v>
      </c>
      <c r="V9" s="1498" t="s">
        <v>8</v>
      </c>
      <c r="W9" s="1499">
        <f t="shared" si="2"/>
        <v>100</v>
      </c>
      <c r="X9" s="1500"/>
      <c r="Y9" s="382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SUMIF(55:55,E10,56:56)-SUMIF(55:55,C10,56:56)+100</f>
        <v>100</v>
      </c>
      <c r="G10" s="848"/>
      <c r="H10" s="251">
        <f>SUMIF(55:55,G10,56:56)-SUMIF(55:55,C10,56:56)+100</f>
        <v>100</v>
      </c>
      <c r="I10" s="847"/>
      <c r="J10" s="251">
        <f>SUMIF(55:55,I10,56:56)-SUMIF(55:55,C10,56:56)+100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878"/>
      <c r="Q11" s="1131">
        <f t="shared" si="6"/>
        <v>111</v>
      </c>
      <c r="R11" s="1498" t="s">
        <v>8</v>
      </c>
      <c r="S11" s="1499">
        <f t="shared" si="0"/>
        <v>100</v>
      </c>
      <c r="T11" s="1498" t="s">
        <v>8</v>
      </c>
      <c r="U11" s="1499">
        <f t="shared" si="1"/>
        <v>100</v>
      </c>
      <c r="V11" s="1498" t="s">
        <v>8</v>
      </c>
      <c r="W11" s="1499">
        <f t="shared" si="2"/>
        <v>100</v>
      </c>
      <c r="X11" s="1500"/>
      <c r="Y11" s="3829"/>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20"/>
      <c r="M14" s="2012"/>
      <c r="N14" s="2012"/>
      <c r="O14" s="2019"/>
      <c r="P14" s="3880" t="s">
        <v>511</v>
      </c>
      <c r="Q14" s="1502" t="str">
        <f t="shared" si="6"/>
        <v>交通便捷度</v>
      </c>
      <c r="R14" s="1503" t="s">
        <v>8</v>
      </c>
      <c r="S14" s="1504">
        <f t="shared" si="0"/>
        <v>100</v>
      </c>
      <c r="T14" s="1503" t="s">
        <v>8</v>
      </c>
      <c r="U14" s="1504">
        <f t="shared" si="1"/>
        <v>100</v>
      </c>
      <c r="V14" s="1503" t="s">
        <v>8</v>
      </c>
      <c r="W14" s="1504">
        <f t="shared" si="2"/>
        <v>100</v>
      </c>
      <c r="X14" s="1497"/>
      <c r="Y14" s="3880" t="s">
        <v>511</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20"/>
      <c r="M15" s="2012"/>
      <c r="N15" s="2012"/>
      <c r="O15" s="2019"/>
      <c r="P15" s="3881"/>
      <c r="Q15" s="1502"/>
      <c r="R15" s="1503"/>
      <c r="S15" s="1504"/>
      <c r="T15" s="1503"/>
      <c r="U15" s="1504"/>
      <c r="V15" s="1503"/>
      <c r="W15" s="1504"/>
      <c r="X15" s="1497"/>
      <c r="Y15" s="3881"/>
      <c r="Z15" s="1505"/>
      <c r="AA15" s="1506">
        <v>1</v>
      </c>
      <c r="AB15" s="1506">
        <v>1</v>
      </c>
      <c r="AC15" s="1506">
        <v>1</v>
      </c>
    </row>
    <row r="16" spans="1:29" ht="42.75">
      <c r="A16" s="506"/>
      <c r="B16" s="2443" t="s">
        <v>2503</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4"/>
      <c r="L16" s="2020"/>
      <c r="M16" s="2012"/>
      <c r="N16" s="2012"/>
      <c r="O16" s="2019"/>
      <c r="P16" s="3881"/>
      <c r="Q16" s="1502" t="str">
        <f>B16</f>
        <v>公共配套设施</v>
      </c>
      <c r="R16" s="1503" t="s">
        <v>8</v>
      </c>
      <c r="S16" s="1504">
        <f>F16</f>
        <v>100</v>
      </c>
      <c r="T16" s="1503" t="s">
        <v>8</v>
      </c>
      <c r="U16" s="1504">
        <f>H16</f>
        <v>100</v>
      </c>
      <c r="V16" s="1503" t="s">
        <v>8</v>
      </c>
      <c r="W16" s="1504">
        <f>J16</f>
        <v>100</v>
      </c>
      <c r="X16" s="1497"/>
      <c r="Y16" s="3881"/>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20"/>
      <c r="M17" s="2012"/>
      <c r="N17" s="2012"/>
      <c r="O17" s="2019"/>
      <c r="P17" s="3881"/>
      <c r="Q17" s="1502"/>
      <c r="R17" s="1503"/>
      <c r="S17" s="1504"/>
      <c r="T17" s="1503"/>
      <c r="U17" s="1504"/>
      <c r="V17" s="1503"/>
      <c r="W17" s="1504"/>
      <c r="X17" s="1497"/>
      <c r="Y17" s="3881"/>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4"/>
      <c r="L18" s="2020"/>
      <c r="M18" s="2012"/>
      <c r="N18" s="2012"/>
      <c r="O18" s="2019"/>
      <c r="P18" s="3881"/>
      <c r="Q18" s="2425" t="str">
        <f>B18</f>
        <v>基础设施水平</v>
      </c>
      <c r="R18" s="1503" t="s">
        <v>8</v>
      </c>
      <c r="S18" s="1504">
        <f>F18</f>
        <v>100</v>
      </c>
      <c r="T18" s="1503" t="s">
        <v>8</v>
      </c>
      <c r="U18" s="1504">
        <f>H18</f>
        <v>100</v>
      </c>
      <c r="V18" s="1503" t="s">
        <v>8</v>
      </c>
      <c r="W18" s="1504">
        <f>J18</f>
        <v>100</v>
      </c>
      <c r="X18" s="2427"/>
      <c r="Y18" s="3881"/>
      <c r="Z18" s="2426"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2"/>
      <c r="L19" s="2020"/>
      <c r="M19" s="2012"/>
      <c r="N19" s="2012"/>
      <c r="O19" s="2019"/>
      <c r="P19" s="3881"/>
      <c r="Q19" s="2425"/>
      <c r="R19" s="1503"/>
      <c r="S19" s="1504"/>
      <c r="T19" s="1503"/>
      <c r="U19" s="1504"/>
      <c r="V19" s="1503"/>
      <c r="W19" s="1504"/>
      <c r="X19" s="2427"/>
      <c r="Y19" s="3881"/>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4"/>
      <c r="L20" s="2020"/>
      <c r="M20" s="2012"/>
      <c r="N20" s="2012"/>
      <c r="O20" s="2019"/>
      <c r="P20" s="3881"/>
      <c r="Q20" s="1502" t="str">
        <f>B20</f>
        <v>自然及人文环境</v>
      </c>
      <c r="R20" s="1503" t="s">
        <v>8</v>
      </c>
      <c r="S20" s="1504">
        <f>F20</f>
        <v>100</v>
      </c>
      <c r="T20" s="1503" t="s">
        <v>8</v>
      </c>
      <c r="U20" s="1504">
        <f>H20</f>
        <v>100</v>
      </c>
      <c r="V20" s="1503" t="s">
        <v>8</v>
      </c>
      <c r="W20" s="1504">
        <f>J20</f>
        <v>100</v>
      </c>
      <c r="X20" s="1497"/>
      <c r="Y20" s="3881"/>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20"/>
      <c r="M21" s="2012"/>
      <c r="N21" s="2012"/>
      <c r="O21" s="2019"/>
      <c r="P21" s="3881"/>
      <c r="Q21" s="1502"/>
      <c r="R21" s="1503"/>
      <c r="S21" s="1504"/>
      <c r="T21" s="1503"/>
      <c r="U21" s="1504"/>
      <c r="V21" s="1503"/>
      <c r="W21" s="1504"/>
      <c r="X21" s="1497"/>
      <c r="Y21" s="3881"/>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881"/>
      <c r="Q22" s="1502" t="str">
        <f>B22</f>
        <v>楼层</v>
      </c>
      <c r="R22" s="1503" t="s">
        <v>8</v>
      </c>
      <c r="S22" s="1504">
        <f>F22</f>
        <v>100</v>
      </c>
      <c r="T22" s="1503" t="s">
        <v>8</v>
      </c>
      <c r="U22" s="1504">
        <f>H22</f>
        <v>100</v>
      </c>
      <c r="V22" s="1503" t="s">
        <v>8</v>
      </c>
      <c r="W22" s="1504">
        <f>J22</f>
        <v>100</v>
      </c>
      <c r="X22" s="1497"/>
      <c r="Y22" s="3881"/>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881"/>
      <c r="Q23" s="1502">
        <f>B23</f>
        <v>111</v>
      </c>
      <c r="R23" s="1503" t="s">
        <v>8</v>
      </c>
      <c r="S23" s="1504">
        <f>F23</f>
        <v>100</v>
      </c>
      <c r="T23" s="1503" t="s">
        <v>8</v>
      </c>
      <c r="U23" s="1504">
        <f>H23</f>
        <v>100</v>
      </c>
      <c r="V23" s="1503" t="s">
        <v>8</v>
      </c>
      <c r="W23" s="1504">
        <f>J23</f>
        <v>100</v>
      </c>
      <c r="X23" s="1497"/>
      <c r="Y23" s="3881"/>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881"/>
      <c r="Q24" s="1502">
        <f t="shared" ref="Q24:Q36" si="11">B24</f>
        <v>111</v>
      </c>
      <c r="R24" s="1503" t="s">
        <v>8</v>
      </c>
      <c r="S24" s="1504">
        <f>F24</f>
        <v>100</v>
      </c>
      <c r="T24" s="1503" t="s">
        <v>8</v>
      </c>
      <c r="U24" s="1504">
        <f>H24</f>
        <v>100</v>
      </c>
      <c r="V24" s="1503" t="s">
        <v>8</v>
      </c>
      <c r="W24" s="1504">
        <f>J24</f>
        <v>100</v>
      </c>
      <c r="X24" s="1497"/>
      <c r="Y24" s="3881"/>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881"/>
      <c r="Q25" s="1131">
        <f t="shared" si="11"/>
        <v>111</v>
      </c>
      <c r="R25" s="1498" t="s">
        <v>8</v>
      </c>
      <c r="S25" s="1499">
        <f>F25</f>
        <v>100</v>
      </c>
      <c r="T25" s="1498" t="s">
        <v>8</v>
      </c>
      <c r="U25" s="1499">
        <f>H25</f>
        <v>100</v>
      </c>
      <c r="V25" s="1498" t="s">
        <v>8</v>
      </c>
      <c r="W25" s="1499">
        <f>J25</f>
        <v>100</v>
      </c>
      <c r="X25" s="1500"/>
      <c r="Y25" s="3881"/>
      <c r="Z25" s="1130">
        <f>Q25</f>
        <v>111</v>
      </c>
      <c r="AA25" s="1506">
        <f>D25/F25</f>
        <v>1</v>
      </c>
      <c r="AB25" s="1506">
        <f>D25/H25</f>
        <v>1</v>
      </c>
      <c r="AC25" s="1506">
        <f>D25/J25</f>
        <v>1</v>
      </c>
    </row>
    <row r="26" spans="1:29" ht="15">
      <c r="A26" s="2620" t="s">
        <v>2711</v>
      </c>
      <c r="B26" s="167" t="s">
        <v>777</v>
      </c>
      <c r="C26" s="914">
        <f>B1</f>
        <v>0</v>
      </c>
      <c r="D26" s="546">
        <v>100</v>
      </c>
      <c r="E26" s="567"/>
      <c r="F26" s="548">
        <f>SUMIF(79:79,E26,80:80)-SUMIF(79:79,C26,80:80)+100</f>
        <v>100</v>
      </c>
      <c r="G26" s="567"/>
      <c r="H26" s="546">
        <f>SUMIF(79:79,G26,80:80)-SUMIF(79:79,C26,80:80)+100</f>
        <v>100</v>
      </c>
      <c r="I26" s="567"/>
      <c r="J26" s="546">
        <f>SUMIF(79:79,I26,80:80)-SUMIF(79:79,C26,80:80)+100</f>
        <v>100</v>
      </c>
      <c r="K26" s="575"/>
      <c r="L26" s="2020"/>
      <c r="M26" s="2012"/>
      <c r="N26" s="2012"/>
      <c r="O26" s="2019"/>
      <c r="P26" s="3882"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883"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883"/>
      <c r="Q27" s="1531" t="str">
        <f t="shared" si="11"/>
        <v>项目停车位配比</v>
      </c>
      <c r="R27" s="1507" t="s">
        <v>8</v>
      </c>
      <c r="S27" s="1508">
        <f t="shared" si="12"/>
        <v>100</v>
      </c>
      <c r="T27" s="1507" t="s">
        <v>8</v>
      </c>
      <c r="U27" s="1508">
        <f t="shared" si="13"/>
        <v>100</v>
      </c>
      <c r="V27" s="1507" t="s">
        <v>8</v>
      </c>
      <c r="W27" s="1508">
        <f t="shared" si="14"/>
        <v>100</v>
      </c>
      <c r="X27" s="1509"/>
      <c r="Y27" s="3883"/>
      <c r="Z27" s="1510" t="str">
        <f t="shared" si="15"/>
        <v>项目停车位配比</v>
      </c>
      <c r="AA27" s="1506">
        <f t="shared" si="3"/>
        <v>1</v>
      </c>
      <c r="AB27" s="1506">
        <f t="shared" si="4"/>
        <v>1</v>
      </c>
      <c r="AC27" s="1506">
        <f t="shared" si="5"/>
        <v>1</v>
      </c>
    </row>
    <row r="28" spans="1:29" ht="15">
      <c r="A28" s="917"/>
      <c r="B28" s="573" t="s">
        <v>779</v>
      </c>
      <c r="C28" s="565"/>
      <c r="D28" s="531">
        <v>100</v>
      </c>
      <c r="E28" s="565"/>
      <c r="F28" s="566">
        <f>SUMIF(83:83,E28,84:84)-SUMIF(83:83,C28,84:84)+100</f>
        <v>100</v>
      </c>
      <c r="G28" s="565"/>
      <c r="H28" s="531">
        <f>SUMIF(83:83,G28,84:84)-SUMIF(83:83,C28,84:84)+100</f>
        <v>100</v>
      </c>
      <c r="I28" s="565"/>
      <c r="J28" s="531">
        <f>SUMIF(83:83,I28,84:84)-SUMIF(83:83,C28,84:84)+100</f>
        <v>100</v>
      </c>
      <c r="K28" s="575"/>
      <c r="L28" s="2020"/>
      <c r="M28" s="2012"/>
      <c r="N28" s="2012"/>
      <c r="O28" s="2019"/>
      <c r="P28" s="3883"/>
      <c r="Q28" s="1502" t="str">
        <f t="shared" si="11"/>
        <v>公共部分装修</v>
      </c>
      <c r="R28" s="1503" t="s">
        <v>8</v>
      </c>
      <c r="S28" s="1504">
        <f t="shared" si="12"/>
        <v>100</v>
      </c>
      <c r="T28" s="1503" t="s">
        <v>8</v>
      </c>
      <c r="U28" s="1504">
        <f t="shared" si="13"/>
        <v>100</v>
      </c>
      <c r="V28" s="1503" t="s">
        <v>8</v>
      </c>
      <c r="W28" s="1504">
        <f t="shared" si="14"/>
        <v>100</v>
      </c>
      <c r="X28" s="1497"/>
      <c r="Y28" s="3883"/>
      <c r="Z28" s="1505" t="str">
        <f t="shared" si="15"/>
        <v>公共部分装修</v>
      </c>
      <c r="AA28" s="1506">
        <f t="shared" si="3"/>
        <v>1</v>
      </c>
      <c r="AB28" s="1506">
        <f t="shared" si="4"/>
        <v>1</v>
      </c>
      <c r="AC28" s="1506">
        <f t="shared" si="5"/>
        <v>1</v>
      </c>
    </row>
    <row r="29" spans="1:29" ht="15">
      <c r="A29" s="917"/>
      <c r="B29" s="573" t="s">
        <v>780</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20"/>
      <c r="M29" s="2012"/>
      <c r="N29" s="2012"/>
      <c r="O29" s="2019"/>
      <c r="P29" s="3883"/>
      <c r="Q29" s="1502" t="str">
        <f t="shared" si="11"/>
        <v>成新率</v>
      </c>
      <c r="R29" s="1503" t="s">
        <v>8</v>
      </c>
      <c r="S29" s="1504" t="e">
        <f t="shared" si="12"/>
        <v>#N/A</v>
      </c>
      <c r="T29" s="1503" t="s">
        <v>8</v>
      </c>
      <c r="U29" s="1504" t="e">
        <f t="shared" si="13"/>
        <v>#N/A</v>
      </c>
      <c r="V29" s="1503" t="s">
        <v>8</v>
      </c>
      <c r="W29" s="1504" t="e">
        <f t="shared" si="14"/>
        <v>#N/A</v>
      </c>
      <c r="X29" s="1497"/>
      <c r="Y29" s="3883"/>
      <c r="Z29" s="1505" t="str">
        <f t="shared" si="15"/>
        <v>成新率</v>
      </c>
      <c r="AA29" s="1506" t="e">
        <f t="shared" si="3"/>
        <v>#N/A</v>
      </c>
      <c r="AB29" s="1506" t="e">
        <f t="shared" si="4"/>
        <v>#N/A</v>
      </c>
      <c r="AC29" s="1506" t="e">
        <f t="shared" si="5"/>
        <v>#N/A</v>
      </c>
    </row>
    <row r="30" spans="1:29" ht="15">
      <c r="A30" s="917"/>
      <c r="B30" s="573" t="s">
        <v>781</v>
      </c>
      <c r="C30" s="918"/>
      <c r="D30" s="531">
        <v>100</v>
      </c>
      <c r="E30" s="918"/>
      <c r="F30" s="566">
        <f>SUMIF(88:88,E30,89:89)-SUMIF(88:88,C30,89:89)+100</f>
        <v>100</v>
      </c>
      <c r="G30" s="918"/>
      <c r="H30" s="531">
        <f>SUMIF(88:88,E30,89:89)-SUMIF(88:88,C30,89:89)+100</f>
        <v>100</v>
      </c>
      <c r="I30" s="918"/>
      <c r="J30" s="531">
        <f>SUMIF(88:88,E30,89:89)-SUMIF(88:88,C30,89:89)+100</f>
        <v>100</v>
      </c>
      <c r="K30" s="575"/>
      <c r="L30" s="2020"/>
      <c r="M30" s="2012"/>
      <c r="N30" s="2012"/>
      <c r="O30" s="2019"/>
      <c r="P30" s="3883"/>
      <c r="Q30" s="1502" t="str">
        <f t="shared" si="11"/>
        <v>物业等级</v>
      </c>
      <c r="R30" s="1503" t="s">
        <v>8</v>
      </c>
      <c r="S30" s="1504">
        <f t="shared" si="12"/>
        <v>100</v>
      </c>
      <c r="T30" s="1503" t="s">
        <v>8</v>
      </c>
      <c r="U30" s="1504">
        <f t="shared" si="13"/>
        <v>100</v>
      </c>
      <c r="V30" s="1503" t="s">
        <v>8</v>
      </c>
      <c r="W30" s="1504">
        <f t="shared" si="14"/>
        <v>100</v>
      </c>
      <c r="X30" s="1497"/>
      <c r="Y30" s="3883"/>
      <c r="Z30" s="1505" t="str">
        <f t="shared" si="15"/>
        <v>物业等级</v>
      </c>
      <c r="AA30" s="1506">
        <f t="shared" si="3"/>
        <v>1</v>
      </c>
      <c r="AB30" s="1506">
        <f t="shared" si="4"/>
        <v>1</v>
      </c>
      <c r="AC30" s="1506">
        <f t="shared" si="5"/>
        <v>1</v>
      </c>
    </row>
    <row r="31" spans="1:29" s="1200" customFormat="1" ht="15">
      <c r="A31" s="919"/>
      <c r="B31" s="573" t="s">
        <v>782</v>
      </c>
      <c r="C31" s="866"/>
      <c r="D31" s="251">
        <v>100</v>
      </c>
      <c r="E31" s="866"/>
      <c r="F31" s="566" t="e">
        <f>LOOKUP(E31,91:91,92:92)-LOOKUP(C31,91:91,92:92)+100</f>
        <v>#N/A</v>
      </c>
      <c r="G31" s="866"/>
      <c r="H31" s="531" t="e">
        <f>LOOKUP(G31,91:91,92:92)-LOOKUP(C31,91:91,92:92)+100</f>
        <v>#N/A</v>
      </c>
      <c r="I31" s="866"/>
      <c r="J31" s="531" t="e">
        <f>LOOKUP(I31,91:91,92:92)-LOOKUP(C31,91:91,92:92)+100</f>
        <v>#N/A</v>
      </c>
      <c r="K31" s="575"/>
      <c r="L31" s="2013"/>
      <c r="M31" s="2014"/>
      <c r="N31" s="2014"/>
      <c r="O31" s="2015"/>
      <c r="P31" s="3883"/>
      <c r="Q31" s="1131" t="str">
        <f t="shared" si="11"/>
        <v>停车位面积</v>
      </c>
      <c r="R31" s="1498" t="s">
        <v>8</v>
      </c>
      <c r="S31" s="1499" t="e">
        <f t="shared" si="12"/>
        <v>#N/A</v>
      </c>
      <c r="T31" s="1498" t="s">
        <v>8</v>
      </c>
      <c r="U31" s="1499" t="e">
        <f t="shared" si="13"/>
        <v>#N/A</v>
      </c>
      <c r="V31" s="1498" t="s">
        <v>8</v>
      </c>
      <c r="W31" s="1499" t="e">
        <f t="shared" si="14"/>
        <v>#N/A</v>
      </c>
      <c r="X31" s="1500"/>
      <c r="Y31" s="3883"/>
      <c r="Z31" s="1130" t="str">
        <f t="shared" si="15"/>
        <v>停车位面积</v>
      </c>
      <c r="AA31" s="1501" t="e">
        <f t="shared" si="3"/>
        <v>#N/A</v>
      </c>
      <c r="AB31" s="1501" t="e">
        <f t="shared" si="4"/>
        <v>#N/A</v>
      </c>
      <c r="AC31" s="1501" t="e">
        <f t="shared" si="5"/>
        <v>#N/A</v>
      </c>
    </row>
    <row r="32" spans="1:29" ht="15">
      <c r="A32" s="917"/>
      <c r="B32" s="573" t="s">
        <v>783</v>
      </c>
      <c r="C32" s="565"/>
      <c r="D32" s="531">
        <v>100</v>
      </c>
      <c r="E32" s="565"/>
      <c r="F32" s="566">
        <f>SUMIF(93:93,E32,94:94)-SUMIF(93:93,C32,94:94)+100</f>
        <v>100</v>
      </c>
      <c r="G32" s="565"/>
      <c r="H32" s="531">
        <f>SUMIF(93:93,G32,94:94)-SUMIF(93:93,C32,94:94)+100</f>
        <v>100</v>
      </c>
      <c r="I32" s="565"/>
      <c r="J32" s="531">
        <f>SUMIF(93:93,I32,94:94)-SUMIF(93:93,C32,94:94)+100</f>
        <v>100</v>
      </c>
      <c r="K32" s="575"/>
      <c r="L32" s="2020"/>
      <c r="M32" s="2012"/>
      <c r="N32" s="2012"/>
      <c r="O32" s="2019"/>
      <c r="P32" s="3883" t="s">
        <v>521</v>
      </c>
      <c r="Q32" s="1502" t="str">
        <f t="shared" si="11"/>
        <v>车位类型</v>
      </c>
      <c r="R32" s="1503" t="s">
        <v>8</v>
      </c>
      <c r="S32" s="1504">
        <f t="shared" si="12"/>
        <v>100</v>
      </c>
      <c r="T32" s="1503" t="s">
        <v>8</v>
      </c>
      <c r="U32" s="1504">
        <f t="shared" si="13"/>
        <v>100</v>
      </c>
      <c r="V32" s="1503" t="s">
        <v>8</v>
      </c>
      <c r="W32" s="1504">
        <f t="shared" si="14"/>
        <v>100</v>
      </c>
      <c r="X32" s="1497"/>
      <c r="Y32" s="3883"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883"/>
      <c r="Q33" s="1502" t="str">
        <f t="shared" si="11"/>
        <v>是否直接入户</v>
      </c>
      <c r="R33" s="1503" t="s">
        <v>8</v>
      </c>
      <c r="S33" s="1504">
        <f t="shared" si="12"/>
        <v>100</v>
      </c>
      <c r="T33" s="1503" t="s">
        <v>8</v>
      </c>
      <c r="U33" s="1504">
        <f t="shared" si="13"/>
        <v>100</v>
      </c>
      <c r="V33" s="1503" t="s">
        <v>8</v>
      </c>
      <c r="W33" s="1504">
        <f t="shared" si="14"/>
        <v>100</v>
      </c>
      <c r="X33" s="1497"/>
      <c r="Y33" s="3883"/>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883"/>
      <c r="Q34" s="1502">
        <f t="shared" si="11"/>
        <v>111</v>
      </c>
      <c r="R34" s="1503" t="s">
        <v>8</v>
      </c>
      <c r="S34" s="1504">
        <f t="shared" si="12"/>
        <v>100</v>
      </c>
      <c r="T34" s="1503" t="s">
        <v>8</v>
      </c>
      <c r="U34" s="1504">
        <f t="shared" si="13"/>
        <v>100</v>
      </c>
      <c r="V34" s="1503" t="s">
        <v>8</v>
      </c>
      <c r="W34" s="1504">
        <f t="shared" si="14"/>
        <v>100</v>
      </c>
      <c r="X34" s="1497"/>
      <c r="Y34" s="3883"/>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883"/>
      <c r="Q35" s="1531">
        <f t="shared" si="11"/>
        <v>111</v>
      </c>
      <c r="R35" s="1507" t="s">
        <v>8</v>
      </c>
      <c r="S35" s="1508">
        <f t="shared" si="12"/>
        <v>100</v>
      </c>
      <c r="T35" s="1507" t="s">
        <v>8</v>
      </c>
      <c r="U35" s="1508">
        <f t="shared" si="13"/>
        <v>100</v>
      </c>
      <c r="V35" s="1507" t="s">
        <v>8</v>
      </c>
      <c r="W35" s="1508">
        <f t="shared" si="14"/>
        <v>100</v>
      </c>
      <c r="X35" s="1509"/>
      <c r="Y35" s="3883"/>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883"/>
      <c r="Q36" s="1502">
        <f t="shared" si="11"/>
        <v>111</v>
      </c>
      <c r="R36" s="1503" t="s">
        <v>8</v>
      </c>
      <c r="S36" s="1504">
        <f t="shared" si="12"/>
        <v>100</v>
      </c>
      <c r="T36" s="1503" t="s">
        <v>8</v>
      </c>
      <c r="U36" s="1504">
        <f t="shared" si="13"/>
        <v>100</v>
      </c>
      <c r="V36" s="1503" t="s">
        <v>8</v>
      </c>
      <c r="W36" s="1504">
        <f t="shared" si="14"/>
        <v>100</v>
      </c>
      <c r="X36" s="1497"/>
      <c r="Y36" s="3883"/>
      <c r="Z36" s="1505">
        <f t="shared" si="15"/>
        <v>111</v>
      </c>
      <c r="AA36" s="1506">
        <f t="shared" si="3"/>
        <v>1</v>
      </c>
      <c r="AB36" s="1506">
        <f t="shared" si="4"/>
        <v>1</v>
      </c>
      <c r="AC36" s="1506">
        <f t="shared" si="5"/>
        <v>1</v>
      </c>
    </row>
    <row r="37" spans="1:29" ht="15">
      <c r="A37" s="1756" t="s">
        <v>2042</v>
      </c>
      <c r="B37" s="1757" t="s">
        <v>2043</v>
      </c>
      <c r="C37" s="2466" t="s">
        <v>1</v>
      </c>
      <c r="D37" s="2467"/>
      <c r="E37" s="2468"/>
      <c r="F37" s="2469"/>
      <c r="G37" s="2470"/>
      <c r="H37" s="2471"/>
      <c r="I37" s="2468"/>
      <c r="J37" s="2471"/>
      <c r="K37" s="1536"/>
      <c r="L37" s="2022"/>
      <c r="M37" s="2023"/>
      <c r="N37" s="2012"/>
      <c r="O37" s="2023"/>
      <c r="P37" s="3878" t="str">
        <f>A37</f>
        <v>成交单价</v>
      </c>
      <c r="Q37" s="3878"/>
      <c r="R37" s="3962">
        <f>E37</f>
        <v>0</v>
      </c>
      <c r="S37" s="3962"/>
      <c r="T37" s="3962">
        <f>G37</f>
        <v>0</v>
      </c>
      <c r="U37" s="3962"/>
      <c r="V37" s="3962">
        <f>I37</f>
        <v>0</v>
      </c>
      <c r="W37" s="3962"/>
      <c r="X37" s="1492"/>
      <c r="Y37" s="1511"/>
      <c r="Z37" s="1492"/>
      <c r="AA37" s="1492"/>
      <c r="AB37" s="1492"/>
      <c r="AC37" s="1492"/>
    </row>
    <row r="38" spans="1:29" ht="15.75" thickBot="1">
      <c r="A38" s="606" t="s">
        <v>2716</v>
      </c>
      <c r="B38" s="874"/>
      <c r="C38" s="2472" t="e">
        <f>R39</f>
        <v>#DIV/0!</v>
      </c>
      <c r="D38" s="3006" t="s">
        <v>2945</v>
      </c>
      <c r="E38" s="2473" t="e">
        <f>R38</f>
        <v>#DIV/0!</v>
      </c>
      <c r="F38" s="3007"/>
      <c r="G38" s="2472" t="e">
        <f>T38</f>
        <v>#DIV/0!</v>
      </c>
      <c r="H38" s="3007"/>
      <c r="I38" s="2473" t="e">
        <f>V38</f>
        <v>#DIV/0!</v>
      </c>
      <c r="J38" s="3007"/>
      <c r="K38" s="3015">
        <f>F38+H38+J38</f>
        <v>0</v>
      </c>
      <c r="L38" s="2022"/>
      <c r="M38" s="2023"/>
      <c r="N38" s="2023"/>
      <c r="O38" s="2023"/>
      <c r="P38" s="3878" t="str">
        <f>A38</f>
        <v>比较价格（元/平方米）</v>
      </c>
      <c r="Q38" s="3878"/>
      <c r="R38" s="3962" t="e">
        <f>IF(F1="售价",ROUND(PRODUCT(R37,AA7:AA36),0),ROUND(PRODUCT(R37,AA7:AA36),1))</f>
        <v>#DIV/0!</v>
      </c>
      <c r="S38" s="3962"/>
      <c r="T38" s="3962" t="e">
        <f>IF(F1="售价",ROUND(PRODUCT(T37,AB7:AB36),0),ROUND(PRODUCT(T37,AB7:AB36),1))</f>
        <v>#DIV/0!</v>
      </c>
      <c r="U38" s="3962"/>
      <c r="V38" s="3962" t="e">
        <f>IF(F1="售价",ROUND(PRODUCT(V37,AC7:AC36),0),ROUND(PRODUCT(V37,AC7:AC36),1))</f>
        <v>#DIV/0!</v>
      </c>
      <c r="W38" s="3962"/>
      <c r="X38" s="1492"/>
      <c r="Y38" s="1492"/>
      <c r="Z38" s="1492"/>
      <c r="AA38" s="1492"/>
      <c r="AB38" s="1492"/>
      <c r="AC38" s="1492"/>
    </row>
    <row r="39" spans="1:29" ht="15.75" thickBot="1">
      <c r="A39" s="610" t="s">
        <v>2877</v>
      </c>
      <c r="B39" s="611"/>
      <c r="C39" s="2474" t="e">
        <f>R39</f>
        <v>#DIV/0!</v>
      </c>
      <c r="D39" s="2474"/>
      <c r="E39" s="2474"/>
      <c r="F39" s="2474"/>
      <c r="G39" s="2474"/>
      <c r="H39" s="2474"/>
      <c r="I39" s="2474"/>
      <c r="J39" s="2474"/>
      <c r="K39" s="1537"/>
      <c r="L39" s="2022"/>
      <c r="M39" s="2023"/>
      <c r="N39" s="2023"/>
      <c r="O39" s="2023"/>
      <c r="P39" s="3899" t="str">
        <f>A39</f>
        <v>估价对象XX用房的比较价格（楼面单价，元/平方米）</v>
      </c>
      <c r="Q39" s="3900"/>
      <c r="R39" s="3961" t="e">
        <f>IF(F1="售价",ROUND(IF(D38="简单平均",AVERAGE(R38:W38),R38*F38+T38*H38+V38*J38),0),ROUND(IF(D38="简单平均",AVERAGE(R38:V38),R38*F38+T38*H38+V38*J38),1))</f>
        <v>#DIV/0!</v>
      </c>
      <c r="S39" s="3961"/>
      <c r="T39" s="3961"/>
      <c r="U39" s="3961"/>
      <c r="V39" s="3961"/>
      <c r="W39" s="3961"/>
      <c r="X39" s="1492"/>
      <c r="Y39" s="1492"/>
      <c r="Z39" s="1492"/>
      <c r="AA39" s="1492"/>
      <c r="AB39" s="1492"/>
      <c r="AC39" s="1492"/>
    </row>
    <row r="40" spans="1:29">
      <c r="A40" s="3205"/>
      <c r="B40" s="3205"/>
      <c r="C40" s="3205"/>
      <c r="D40" s="3205"/>
      <c r="E40" s="3205"/>
      <c r="F40" s="3205"/>
      <c r="G40" s="3207"/>
      <c r="H40" s="3205"/>
      <c r="I40" s="3205"/>
      <c r="J40" s="3205"/>
      <c r="K40" s="3208"/>
      <c r="L40" s="2027"/>
      <c r="M40" s="2023"/>
      <c r="N40" s="2023"/>
      <c r="O40" s="2023"/>
      <c r="P40" s="2023"/>
      <c r="Q40" s="2023"/>
      <c r="R40" s="2023"/>
      <c r="S40" s="2023"/>
      <c r="T40" s="2023"/>
      <c r="U40" s="2023"/>
      <c r="V40" s="2023"/>
      <c r="W40" s="2023"/>
      <c r="X40" s="2023"/>
      <c r="Y40" s="2023"/>
      <c r="Z40" s="2023"/>
      <c r="AA40" s="2023"/>
      <c r="AB40" s="2023"/>
      <c r="AC40" s="2023"/>
    </row>
    <row r="41" spans="1:29">
      <c r="A41" s="3205"/>
      <c r="B41" s="3205"/>
      <c r="C41" s="3205"/>
      <c r="D41" s="3205"/>
      <c r="E41" s="3205"/>
      <c r="F41" s="3205"/>
      <c r="G41" s="3205"/>
      <c r="H41" s="3205"/>
      <c r="I41" s="3205"/>
      <c r="J41" s="3205"/>
      <c r="K41" s="3208"/>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5"/>
      <c r="B42" s="3205"/>
      <c r="C42" s="613" t="s">
        <v>528</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08"/>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5"/>
      <c r="B43" s="3205"/>
      <c r="C43" s="613" t="s">
        <v>529</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08"/>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6"/>
      <c r="B44" s="3206"/>
      <c r="C44" s="613" t="s">
        <v>530</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09"/>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c r="E49" s="639"/>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f>C9</f>
        <v>0</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100</v>
      </c>
      <c r="G56" s="668">
        <f>F56-$K10</f>
        <v>100</v>
      </c>
      <c r="H56" s="668">
        <f>G56-$K10</f>
        <v>100</v>
      </c>
      <c r="I56" s="668">
        <f>H56-$K10</f>
        <v>100</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f>C26</f>
        <v>0</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677"/>
      <c r="D83" s="677"/>
      <c r="E83" s="707"/>
      <c r="F83" s="707"/>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C37</f>
        <v>#DIV/0!</v>
      </c>
      <c r="C3" s="838" t="s">
        <v>767</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84" t="s">
        <v>769</v>
      </c>
      <c r="D4" s="3885"/>
      <c r="E4" s="3909" t="s">
        <v>770</v>
      </c>
      <c r="F4" s="3910"/>
      <c r="G4" s="3884" t="s">
        <v>771</v>
      </c>
      <c r="H4" s="3885"/>
      <c r="I4" s="3884" t="s">
        <v>772</v>
      </c>
      <c r="J4" s="3885"/>
      <c r="K4" s="505" t="s">
        <v>773</v>
      </c>
      <c r="L4" s="2011"/>
      <c r="M4" s="2012"/>
      <c r="N4" s="2012"/>
      <c r="O4" s="2012"/>
      <c r="P4" s="3886" t="s">
        <v>774</v>
      </c>
      <c r="Q4" s="3887"/>
      <c r="R4" s="3872" t="s">
        <v>770</v>
      </c>
      <c r="S4" s="3873"/>
      <c r="T4" s="3872" t="s">
        <v>771</v>
      </c>
      <c r="U4" s="3873"/>
      <c r="V4" s="3892" t="s">
        <v>772</v>
      </c>
      <c r="W4" s="3892"/>
      <c r="X4" s="1497"/>
      <c r="Y4" s="3872" t="s">
        <v>774</v>
      </c>
      <c r="Z4" s="3873"/>
      <c r="AA4" s="3867" t="s">
        <v>770</v>
      </c>
      <c r="AB4" s="3868" t="s">
        <v>771</v>
      </c>
      <c r="AC4" s="3867" t="s">
        <v>772</v>
      </c>
    </row>
    <row r="5" spans="1:29" ht="15">
      <c r="A5" s="506"/>
      <c r="B5" s="507"/>
      <c r="C5" s="3895" t="s">
        <v>2871</v>
      </c>
      <c r="D5" s="3896"/>
      <c r="E5" s="3911" t="s">
        <v>2872</v>
      </c>
      <c r="F5" s="3912"/>
      <c r="G5" s="3895" t="s">
        <v>2873</v>
      </c>
      <c r="H5" s="3896"/>
      <c r="I5" s="3895" t="s">
        <v>2874</v>
      </c>
      <c r="J5" s="3896"/>
      <c r="K5" s="505"/>
      <c r="L5" s="2011"/>
      <c r="M5" s="2012"/>
      <c r="N5" s="2012"/>
      <c r="O5" s="2012"/>
      <c r="P5" s="3888"/>
      <c r="Q5" s="3889"/>
      <c r="R5" s="3874"/>
      <c r="S5" s="3875"/>
      <c r="T5" s="3874"/>
      <c r="U5" s="3875"/>
      <c r="V5" s="3892"/>
      <c r="W5" s="3892"/>
      <c r="X5" s="1497"/>
      <c r="Y5" s="3874"/>
      <c r="Z5" s="3875"/>
      <c r="AA5" s="3868"/>
      <c r="AB5" s="3868"/>
      <c r="AC5" s="3868"/>
    </row>
    <row r="6" spans="1:29" ht="15.75" thickBot="1">
      <c r="A6" s="508"/>
      <c r="B6" s="509"/>
      <c r="C6" s="3893" t="s">
        <v>2875</v>
      </c>
      <c r="D6" s="3894"/>
      <c r="E6" s="3913" t="s">
        <v>2875</v>
      </c>
      <c r="F6" s="3914"/>
      <c r="G6" s="3893" t="s">
        <v>2875</v>
      </c>
      <c r="H6" s="3894"/>
      <c r="I6" s="3893" t="s">
        <v>2875</v>
      </c>
      <c r="J6" s="3894"/>
      <c r="K6" s="505" t="s">
        <v>499</v>
      </c>
      <c r="L6" s="2011"/>
      <c r="M6" s="2012"/>
      <c r="N6" s="2012"/>
      <c r="O6" s="2012"/>
      <c r="P6" s="3890"/>
      <c r="Q6" s="3891"/>
      <c r="R6" s="3874"/>
      <c r="S6" s="3875"/>
      <c r="T6" s="3876"/>
      <c r="U6" s="3877"/>
      <c r="V6" s="3892"/>
      <c r="W6" s="3892"/>
      <c r="X6" s="1497"/>
      <c r="Y6" s="3876"/>
      <c r="Z6" s="3877"/>
      <c r="AA6" s="3869"/>
      <c r="AB6" s="3869"/>
      <c r="AC6" s="3869"/>
    </row>
    <row r="7" spans="1:29" s="1200" customFormat="1" ht="15.75" thickBot="1">
      <c r="A7" s="2625"/>
      <c r="B7" s="2632" t="s">
        <v>500</v>
      </c>
      <c r="C7" s="510">
        <f>'数据-取费表'!B2</f>
        <v>44557</v>
      </c>
      <c r="D7" s="511">
        <v>100</v>
      </c>
      <c r="E7" s="512"/>
      <c r="F7" s="513">
        <f>SUMIF(46:46,YEAR(E7)&amp;"-"&amp;MONTH(E7),47:47)</f>
        <v>0</v>
      </c>
      <c r="G7" s="514"/>
      <c r="H7" s="511">
        <f>SUMIF(46:46,YEAR(G7)&amp;"-"&amp;MONTH(G7),47:47)</f>
        <v>0</v>
      </c>
      <c r="I7" s="514"/>
      <c r="J7" s="511">
        <f>SUMIF(46:46,YEAR(I7)&amp;"-"&amp;MONTH(I7),47:47)</f>
        <v>0</v>
      </c>
      <c r="K7" s="515"/>
      <c r="L7" s="2013"/>
      <c r="M7" s="2014"/>
      <c r="N7" s="2014"/>
      <c r="O7" s="2014"/>
      <c r="P7" s="3870" t="s">
        <v>501</v>
      </c>
      <c r="Q7" s="3879"/>
      <c r="R7" s="1498" t="s">
        <v>8</v>
      </c>
      <c r="S7" s="1499">
        <f t="shared" ref="S7:S14" si="0">F7</f>
        <v>0</v>
      </c>
      <c r="T7" s="1498" t="s">
        <v>8</v>
      </c>
      <c r="U7" s="1499">
        <f t="shared" ref="U7:U14" si="1">H7</f>
        <v>0</v>
      </c>
      <c r="V7" s="1498" t="s">
        <v>8</v>
      </c>
      <c r="W7" s="1499">
        <f t="shared" ref="W7:W14" si="2">J7</f>
        <v>0</v>
      </c>
      <c r="X7" s="1500"/>
      <c r="Y7" s="3870" t="s">
        <v>501</v>
      </c>
      <c r="Z7" s="3871"/>
      <c r="AA7" s="1501" t="e">
        <f>D7/F7</f>
        <v>#DIV/0!</v>
      </c>
      <c r="AB7" s="1501" t="e">
        <f>D7/H7</f>
        <v>#DIV/0!</v>
      </c>
      <c r="AC7" s="1501" t="e">
        <f>D7/J7</f>
        <v>#DIV/0!</v>
      </c>
    </row>
    <row r="8" spans="1:29" s="1200" customFormat="1" ht="15.75" thickBot="1">
      <c r="A8" s="2626"/>
      <c r="B8" s="2633" t="s">
        <v>502</v>
      </c>
      <c r="C8" s="516" t="s">
        <v>547</v>
      </c>
      <c r="D8" s="511">
        <v>100</v>
      </c>
      <c r="E8" s="516"/>
      <c r="F8" s="513">
        <f>SUMIF(49:49,E8,50:50)-SUMIF(49:49,C8,50:50)+100</f>
        <v>0</v>
      </c>
      <c r="G8" s="516"/>
      <c r="H8" s="511">
        <f>SUMIF(49:49,G8,50:50)-SUMIF(49:49,C8,50:50)+100</f>
        <v>0</v>
      </c>
      <c r="I8" s="516"/>
      <c r="J8" s="511">
        <f>SUMIF(49:49,I8,50:50)-SUMIF(49:49,C8,50:50)+100</f>
        <v>0</v>
      </c>
      <c r="K8" s="515"/>
      <c r="L8" s="2013"/>
      <c r="M8" s="2014"/>
      <c r="N8" s="2014"/>
      <c r="O8" s="2014"/>
      <c r="P8" s="3870" t="s">
        <v>504</v>
      </c>
      <c r="Q8" s="3871"/>
      <c r="R8" s="1498" t="s">
        <v>8</v>
      </c>
      <c r="S8" s="1499">
        <f t="shared" si="0"/>
        <v>0</v>
      </c>
      <c r="T8" s="1498" t="s">
        <v>8</v>
      </c>
      <c r="U8" s="1499">
        <f t="shared" si="1"/>
        <v>0</v>
      </c>
      <c r="V8" s="1498" t="s">
        <v>8</v>
      </c>
      <c r="W8" s="1499">
        <f t="shared" si="2"/>
        <v>0</v>
      </c>
      <c r="X8" s="1500"/>
      <c r="Y8" s="3870" t="s">
        <v>504</v>
      </c>
      <c r="Z8" s="3871"/>
      <c r="AA8" s="1501" t="e">
        <f t="shared" ref="AA8:AA34" si="3">D8/F8</f>
        <v>#DIV/0!</v>
      </c>
      <c r="AB8" s="1501" t="e">
        <f t="shared" ref="AB8:AB34" si="4">D8/H8</f>
        <v>#DIV/0!</v>
      </c>
      <c r="AC8" s="1501" t="e">
        <f t="shared" ref="AC8:AC34" si="5">D8/J8</f>
        <v>#DIV/0!</v>
      </c>
    </row>
    <row r="9" spans="1:29" s="1200" customFormat="1" ht="15">
      <c r="A9" s="2627"/>
      <c r="B9" s="2634" t="s">
        <v>2712</v>
      </c>
      <c r="C9" s="843"/>
      <c r="D9" s="250">
        <v>100</v>
      </c>
      <c r="E9" s="846"/>
      <c r="F9" s="250">
        <f>SUMIF(51:51,E9,52:52)-SUMIF(51:51,C9,52:52)+100</f>
        <v>100</v>
      </c>
      <c r="G9" s="846"/>
      <c r="H9" s="250">
        <f>SUMIF(51:51,G9,52:52)-SUMIF(51:51,C9,52:52)+100</f>
        <v>100</v>
      </c>
      <c r="I9" s="846"/>
      <c r="J9" s="250">
        <f>SUMIF(51:51,I9,52:52)-SUMIF(51:51,C9,52:52)+100</f>
        <v>100</v>
      </c>
      <c r="K9" s="515"/>
      <c r="L9" s="2013"/>
      <c r="M9" s="2014"/>
      <c r="N9" s="2014"/>
      <c r="O9" s="2015"/>
      <c r="P9" s="3878" t="s">
        <v>506</v>
      </c>
      <c r="Q9" s="1131" t="str">
        <f t="shared" ref="Q9:Q14" si="6">B9</f>
        <v>用途</v>
      </c>
      <c r="R9" s="1498" t="s">
        <v>8</v>
      </c>
      <c r="S9" s="1499">
        <f t="shared" si="0"/>
        <v>100</v>
      </c>
      <c r="T9" s="1498" t="s">
        <v>8</v>
      </c>
      <c r="U9" s="1499">
        <f t="shared" si="1"/>
        <v>100</v>
      </c>
      <c r="V9" s="1498" t="s">
        <v>8</v>
      </c>
      <c r="W9" s="1499">
        <f t="shared" si="2"/>
        <v>100</v>
      </c>
      <c r="X9" s="1500"/>
      <c r="Y9" s="3829"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SUMIF(53:53,E10,54:54)-SUMIF(53:53,C10,54:54)+100</f>
        <v>100</v>
      </c>
      <c r="G10" s="848"/>
      <c r="H10" s="251">
        <f>SUMIF(53:53,G10,54:54)-SUMIF(53:53,C10,54:54)+100</f>
        <v>100</v>
      </c>
      <c r="I10" s="847"/>
      <c r="J10" s="251">
        <f>SUMIF(53:53,I10,54:54)-SUMIF(53:53,C10,54:54)+100</f>
        <v>100</v>
      </c>
      <c r="K10" s="575"/>
      <c r="L10" s="2016"/>
      <c r="M10" s="2055"/>
      <c r="N10" s="2055"/>
      <c r="O10" s="2017"/>
      <c r="P10" s="3878"/>
      <c r="Q10" s="1131" t="str">
        <f t="shared" si="6"/>
        <v>土地使用年限（年）</v>
      </c>
      <c r="R10" s="1498" t="s">
        <v>8</v>
      </c>
      <c r="S10" s="1499">
        <f t="shared" si="0"/>
        <v>100</v>
      </c>
      <c r="T10" s="1498" t="s">
        <v>8</v>
      </c>
      <c r="U10" s="1499">
        <f t="shared" si="1"/>
        <v>100</v>
      </c>
      <c r="V10" s="1498" t="s">
        <v>8</v>
      </c>
      <c r="W10" s="1499">
        <f t="shared" si="2"/>
        <v>100</v>
      </c>
      <c r="X10" s="1500"/>
      <c r="Y10" s="3829"/>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878"/>
      <c r="Q11" s="1131">
        <f t="shared" si="6"/>
        <v>111</v>
      </c>
      <c r="R11" s="1498" t="s">
        <v>8</v>
      </c>
      <c r="S11" s="1499">
        <f t="shared" si="0"/>
        <v>100</v>
      </c>
      <c r="T11" s="1498" t="s">
        <v>8</v>
      </c>
      <c r="U11" s="1499">
        <f t="shared" si="1"/>
        <v>100</v>
      </c>
      <c r="V11" s="1498" t="s">
        <v>8</v>
      </c>
      <c r="W11" s="1499">
        <f t="shared" si="2"/>
        <v>100</v>
      </c>
      <c r="X11" s="1500"/>
      <c r="Y11" s="3829"/>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878"/>
      <c r="Q12" s="1131">
        <f t="shared" si="6"/>
        <v>111</v>
      </c>
      <c r="R12" s="1498" t="s">
        <v>8</v>
      </c>
      <c r="S12" s="1499">
        <f t="shared" si="0"/>
        <v>100</v>
      </c>
      <c r="T12" s="1498" t="s">
        <v>8</v>
      </c>
      <c r="U12" s="1499">
        <f t="shared" si="1"/>
        <v>100</v>
      </c>
      <c r="V12" s="1498" t="s">
        <v>8</v>
      </c>
      <c r="W12" s="1499">
        <f t="shared" si="2"/>
        <v>100</v>
      </c>
      <c r="X12" s="1500"/>
      <c r="Y12" s="3829"/>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878"/>
      <c r="Q13" s="1131">
        <f t="shared" si="6"/>
        <v>111</v>
      </c>
      <c r="R13" s="1498" t="s">
        <v>8</v>
      </c>
      <c r="S13" s="1499">
        <f t="shared" si="0"/>
        <v>100</v>
      </c>
      <c r="T13" s="1498" t="s">
        <v>8</v>
      </c>
      <c r="U13" s="1499">
        <f t="shared" si="1"/>
        <v>100</v>
      </c>
      <c r="V13" s="1498" t="s">
        <v>8</v>
      </c>
      <c r="W13" s="1499">
        <f t="shared" si="2"/>
        <v>100</v>
      </c>
      <c r="X13" s="1500"/>
      <c r="Y13" s="3829"/>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20"/>
      <c r="M14" s="2012"/>
      <c r="N14" s="2012"/>
      <c r="O14" s="2019"/>
      <c r="P14" s="3880" t="s">
        <v>511</v>
      </c>
      <c r="Q14" s="1502" t="str">
        <f t="shared" si="6"/>
        <v>交通便捷度</v>
      </c>
      <c r="R14" s="1503" t="s">
        <v>8</v>
      </c>
      <c r="S14" s="1504">
        <f t="shared" si="0"/>
        <v>100</v>
      </c>
      <c r="T14" s="1503" t="s">
        <v>8</v>
      </c>
      <c r="U14" s="1504">
        <f t="shared" si="1"/>
        <v>100</v>
      </c>
      <c r="V14" s="1503" t="s">
        <v>8</v>
      </c>
      <c r="W14" s="1504">
        <f t="shared" si="2"/>
        <v>100</v>
      </c>
      <c r="X14" s="1497"/>
      <c r="Y14" s="3880" t="s">
        <v>511</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20"/>
      <c r="M15" s="2012"/>
      <c r="N15" s="2012"/>
      <c r="O15" s="2019"/>
      <c r="P15" s="3881"/>
      <c r="Q15" s="1502"/>
      <c r="R15" s="1503"/>
      <c r="S15" s="1504"/>
      <c r="T15" s="1503"/>
      <c r="U15" s="1504"/>
      <c r="V15" s="1503"/>
      <c r="W15" s="1504"/>
      <c r="X15" s="1497"/>
      <c r="Y15" s="3881"/>
      <c r="Z15" s="1505"/>
      <c r="AA15" s="1506">
        <v>1</v>
      </c>
      <c r="AB15" s="1506">
        <v>1</v>
      </c>
      <c r="AC15" s="1506">
        <v>1</v>
      </c>
    </row>
    <row r="16" spans="1:29" ht="42.75">
      <c r="A16" s="523"/>
      <c r="B16" s="2443" t="s">
        <v>2503</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4"/>
      <c r="L16" s="2020"/>
      <c r="M16" s="2012"/>
      <c r="N16" s="2012"/>
      <c r="O16" s="2019"/>
      <c r="P16" s="3881"/>
      <c r="Q16" s="1502" t="str">
        <f>B16</f>
        <v>公共配套设施</v>
      </c>
      <c r="R16" s="1503" t="s">
        <v>8</v>
      </c>
      <c r="S16" s="1504">
        <f>F16</f>
        <v>100</v>
      </c>
      <c r="T16" s="1503" t="s">
        <v>8</v>
      </c>
      <c r="U16" s="1504">
        <f>H16</f>
        <v>100</v>
      </c>
      <c r="V16" s="1503" t="s">
        <v>8</v>
      </c>
      <c r="W16" s="1504">
        <f>J16</f>
        <v>100</v>
      </c>
      <c r="X16" s="1497"/>
      <c r="Y16" s="3881"/>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20"/>
      <c r="M17" s="2012"/>
      <c r="N17" s="2012"/>
      <c r="O17" s="2019"/>
      <c r="P17" s="3881"/>
      <c r="Q17" s="1502"/>
      <c r="R17" s="1503"/>
      <c r="S17" s="1504"/>
      <c r="T17" s="1503"/>
      <c r="U17" s="1504"/>
      <c r="V17" s="1503"/>
      <c r="W17" s="1504"/>
      <c r="X17" s="1497"/>
      <c r="Y17" s="3881"/>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c r="L18" s="2020"/>
      <c r="M18" s="2012"/>
      <c r="N18" s="2012"/>
      <c r="O18" s="2019"/>
      <c r="P18" s="3881"/>
      <c r="Q18" s="2425" t="str">
        <f>B18</f>
        <v>基础设施水平</v>
      </c>
      <c r="R18" s="1503" t="s">
        <v>8</v>
      </c>
      <c r="S18" s="1504">
        <f>F18</f>
        <v>100</v>
      </c>
      <c r="T18" s="1503" t="s">
        <v>8</v>
      </c>
      <c r="U18" s="1504">
        <f>H18</f>
        <v>100</v>
      </c>
      <c r="V18" s="1503" t="s">
        <v>8</v>
      </c>
      <c r="W18" s="1504">
        <f>J18</f>
        <v>100</v>
      </c>
      <c r="X18" s="2427"/>
      <c r="Y18" s="3881"/>
      <c r="Z18" s="2426"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2"/>
      <c r="L19" s="2020"/>
      <c r="M19" s="2012"/>
      <c r="N19" s="2012"/>
      <c r="O19" s="2019"/>
      <c r="P19" s="3881"/>
      <c r="Q19" s="2425"/>
      <c r="R19" s="1503"/>
      <c r="S19" s="1504"/>
      <c r="T19" s="1503"/>
      <c r="U19" s="1504"/>
      <c r="V19" s="1503"/>
      <c r="W19" s="1504"/>
      <c r="X19" s="2427"/>
      <c r="Y19" s="3881"/>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4"/>
      <c r="L20" s="2020"/>
      <c r="M20" s="2012"/>
      <c r="N20" s="2012"/>
      <c r="O20" s="2019"/>
      <c r="P20" s="3881"/>
      <c r="Q20" s="1502" t="str">
        <f>B20</f>
        <v>自然及人文环境</v>
      </c>
      <c r="R20" s="1503" t="s">
        <v>8</v>
      </c>
      <c r="S20" s="1504">
        <f>F20</f>
        <v>100</v>
      </c>
      <c r="T20" s="1503" t="s">
        <v>8</v>
      </c>
      <c r="U20" s="1504">
        <f>H20</f>
        <v>100</v>
      </c>
      <c r="V20" s="1503" t="s">
        <v>8</v>
      </c>
      <c r="W20" s="1504">
        <f>J20</f>
        <v>100</v>
      </c>
      <c r="X20" s="1497"/>
      <c r="Y20" s="3881"/>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20"/>
      <c r="M21" s="2012"/>
      <c r="N21" s="2012"/>
      <c r="O21" s="2019"/>
      <c r="P21" s="3881"/>
      <c r="Q21" s="1502"/>
      <c r="R21" s="1503"/>
      <c r="S21" s="1504"/>
      <c r="T21" s="1503"/>
      <c r="U21" s="1504"/>
      <c r="V21" s="1503"/>
      <c r="W21" s="1504"/>
      <c r="X21" s="1497"/>
      <c r="Y21" s="3881"/>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881"/>
      <c r="Q22" s="1502" t="str">
        <f>B22</f>
        <v>楼层</v>
      </c>
      <c r="R22" s="1503" t="s">
        <v>8</v>
      </c>
      <c r="S22" s="1504">
        <f>F22</f>
        <v>100</v>
      </c>
      <c r="T22" s="1503" t="s">
        <v>8</v>
      </c>
      <c r="U22" s="1504">
        <f>H22</f>
        <v>100</v>
      </c>
      <c r="V22" s="1503" t="s">
        <v>8</v>
      </c>
      <c r="W22" s="1504">
        <f>J22</f>
        <v>100</v>
      </c>
      <c r="X22" s="1497"/>
      <c r="Y22" s="3881"/>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881"/>
      <c r="Q23" s="1502">
        <f>B23</f>
        <v>111</v>
      </c>
      <c r="R23" s="1503" t="s">
        <v>8</v>
      </c>
      <c r="S23" s="1504">
        <f>F23</f>
        <v>100</v>
      </c>
      <c r="T23" s="1503" t="s">
        <v>8</v>
      </c>
      <c r="U23" s="1504">
        <f>H23</f>
        <v>100</v>
      </c>
      <c r="V23" s="1503" t="s">
        <v>8</v>
      </c>
      <c r="W23" s="1504">
        <f>J23</f>
        <v>100</v>
      </c>
      <c r="X23" s="1497"/>
      <c r="Y23" s="3881"/>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881"/>
      <c r="Q24" s="1502">
        <f t="shared" ref="Q24:Q34" si="11">B24</f>
        <v>111</v>
      </c>
      <c r="R24" s="1503" t="s">
        <v>8</v>
      </c>
      <c r="S24" s="1504">
        <f>F24</f>
        <v>100</v>
      </c>
      <c r="T24" s="1503" t="s">
        <v>8</v>
      </c>
      <c r="U24" s="1504">
        <f>H24</f>
        <v>100</v>
      </c>
      <c r="V24" s="1503" t="s">
        <v>8</v>
      </c>
      <c r="W24" s="1504">
        <f>J24</f>
        <v>100</v>
      </c>
      <c r="X24" s="1497"/>
      <c r="Y24" s="3881"/>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881"/>
      <c r="Q25" s="1131">
        <f t="shared" si="11"/>
        <v>111</v>
      </c>
      <c r="R25" s="1498" t="s">
        <v>8</v>
      </c>
      <c r="S25" s="1499">
        <f>F25</f>
        <v>100</v>
      </c>
      <c r="T25" s="1498" t="s">
        <v>8</v>
      </c>
      <c r="U25" s="1499">
        <f>H25</f>
        <v>100</v>
      </c>
      <c r="V25" s="1498" t="s">
        <v>8</v>
      </c>
      <c r="W25" s="1499">
        <f>J25</f>
        <v>100</v>
      </c>
      <c r="X25" s="1500"/>
      <c r="Y25" s="3881"/>
      <c r="Z25" s="1130">
        <f>Q25</f>
        <v>111</v>
      </c>
      <c r="AA25" s="1506">
        <f>D25/F25</f>
        <v>1</v>
      </c>
      <c r="AB25" s="1506">
        <f>D25/H25</f>
        <v>1</v>
      </c>
      <c r="AC25" s="1506">
        <f>D25/J25</f>
        <v>1</v>
      </c>
    </row>
    <row r="26" spans="1:29" ht="15">
      <c r="A26" s="2620" t="s">
        <v>2711</v>
      </c>
      <c r="B26" s="169" t="s">
        <v>779</v>
      </c>
      <c r="C26" s="902"/>
      <c r="D26" s="588">
        <v>100</v>
      </c>
      <c r="E26" s="902"/>
      <c r="F26" s="929">
        <f>SUMIF(77:77,E26,78:78)-SUMIF(77:77,C26,78:78)+100</f>
        <v>100</v>
      </c>
      <c r="G26" s="902"/>
      <c r="H26" s="588">
        <f>SUMIF(77:77,G26,78:78)-SUMIF(77:77,C26,78:78)+100</f>
        <v>100</v>
      </c>
      <c r="I26" s="902"/>
      <c r="J26" s="588">
        <f>SUMIF(77:77,I26,78:78)-SUMIF(77:77,C26,78:78)+100</f>
        <v>100</v>
      </c>
      <c r="K26" s="575"/>
      <c r="L26" s="2020"/>
      <c r="M26" s="2012"/>
      <c r="N26" s="2012"/>
      <c r="O26" s="2019"/>
      <c r="P26" s="3882"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883" t="s">
        <v>792</v>
      </c>
      <c r="Z26" s="1505" t="str">
        <f t="shared" ref="Z26:Z34" si="15">Q26</f>
        <v>公共部分装修</v>
      </c>
      <c r="AA26" s="1506">
        <f t="shared" si="3"/>
        <v>1</v>
      </c>
      <c r="AB26" s="1506">
        <f t="shared" si="4"/>
        <v>1</v>
      </c>
      <c r="AC26" s="1506">
        <f t="shared" si="5"/>
        <v>1</v>
      </c>
    </row>
    <row r="27" spans="1:29" s="1290" customFormat="1" ht="15">
      <c r="A27" s="594"/>
      <c r="B27" s="518" t="s">
        <v>780</v>
      </c>
      <c r="C27" s="869"/>
      <c r="D27" s="251">
        <v>100</v>
      </c>
      <c r="E27" s="870"/>
      <c r="F27" s="566" t="e">
        <f>LOOKUP(E27,80:80,81:81)-LOOKUP(C27,80:80,81:81)+100</f>
        <v>#N/A</v>
      </c>
      <c r="G27" s="871"/>
      <c r="H27" s="531" t="e">
        <f>LOOKUP(G27,80:80,81:81)-LOOKUP(C27,80:80,81:81)+100</f>
        <v>#N/A</v>
      </c>
      <c r="I27" s="871"/>
      <c r="J27" s="531" t="e">
        <f>LOOKUP(I27,80:80,81:81)-LOOKUP(C27,80:80,81:81)+100</f>
        <v>#N/A</v>
      </c>
      <c r="K27" s="575"/>
      <c r="L27" s="2018"/>
      <c r="M27" s="2048"/>
      <c r="N27" s="2048"/>
      <c r="O27" s="2021"/>
      <c r="P27" s="3883"/>
      <c r="Q27" s="1531" t="str">
        <f t="shared" si="11"/>
        <v>成新率</v>
      </c>
      <c r="R27" s="1507" t="s">
        <v>8</v>
      </c>
      <c r="S27" s="1508" t="e">
        <f t="shared" si="12"/>
        <v>#N/A</v>
      </c>
      <c r="T27" s="1507" t="s">
        <v>8</v>
      </c>
      <c r="U27" s="1508" t="e">
        <f t="shared" si="13"/>
        <v>#N/A</v>
      </c>
      <c r="V27" s="1507" t="s">
        <v>8</v>
      </c>
      <c r="W27" s="1508" t="e">
        <f t="shared" si="14"/>
        <v>#N/A</v>
      </c>
      <c r="X27" s="1509"/>
      <c r="Y27" s="3883"/>
      <c r="Z27" s="1510" t="str">
        <f t="shared" si="15"/>
        <v>成新率</v>
      </c>
      <c r="AA27" s="1506" t="e">
        <f t="shared" si="3"/>
        <v>#N/A</v>
      </c>
      <c r="AB27" s="1506" t="e">
        <f t="shared" si="4"/>
        <v>#N/A</v>
      </c>
      <c r="AC27" s="1506" t="e">
        <f t="shared" si="5"/>
        <v>#N/A</v>
      </c>
    </row>
    <row r="28" spans="1:29" ht="15">
      <c r="A28" s="585"/>
      <c r="B28" s="518" t="s">
        <v>781</v>
      </c>
      <c r="C28" s="565"/>
      <c r="D28" s="531">
        <v>100</v>
      </c>
      <c r="E28" s="565"/>
      <c r="F28" s="566">
        <f>SUMIF(82:82,E28,83:83)-SUMIF(82:82,C28,83:83)+100</f>
        <v>100</v>
      </c>
      <c r="G28" s="565"/>
      <c r="H28" s="531">
        <f>SUMIF(82:82,G28,83:83)-SUMIF(82:82,C28,83:83)+100</f>
        <v>100</v>
      </c>
      <c r="I28" s="565"/>
      <c r="J28" s="531">
        <f>SUMIF(82:82,I28,83:83)-SUMIF(82:82,C28,83:83)+100</f>
        <v>100</v>
      </c>
      <c r="K28" s="575"/>
      <c r="L28" s="2020"/>
      <c r="M28" s="2012"/>
      <c r="N28" s="2012"/>
      <c r="O28" s="2019"/>
      <c r="P28" s="3883"/>
      <c r="Q28" s="1502" t="str">
        <f t="shared" si="11"/>
        <v>物业等级</v>
      </c>
      <c r="R28" s="1503" t="s">
        <v>8</v>
      </c>
      <c r="S28" s="1504">
        <f t="shared" si="12"/>
        <v>100</v>
      </c>
      <c r="T28" s="1503" t="s">
        <v>8</v>
      </c>
      <c r="U28" s="1504">
        <f t="shared" si="13"/>
        <v>100</v>
      </c>
      <c r="V28" s="1503" t="s">
        <v>8</v>
      </c>
      <c r="W28" s="1504">
        <f t="shared" si="14"/>
        <v>100</v>
      </c>
      <c r="X28" s="1497"/>
      <c r="Y28" s="3883"/>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883"/>
      <c r="Q29" s="1502" t="str">
        <f t="shared" si="11"/>
        <v>有无电梯</v>
      </c>
      <c r="R29" s="1503" t="s">
        <v>8</v>
      </c>
      <c r="S29" s="1504">
        <f t="shared" si="12"/>
        <v>100</v>
      </c>
      <c r="T29" s="1503" t="s">
        <v>8</v>
      </c>
      <c r="U29" s="1504">
        <f t="shared" si="13"/>
        <v>100</v>
      </c>
      <c r="V29" s="1503" t="s">
        <v>8</v>
      </c>
      <c r="W29" s="1504">
        <f t="shared" si="14"/>
        <v>100</v>
      </c>
      <c r="X29" s="1497"/>
      <c r="Y29" s="3883"/>
      <c r="Z29" s="1505" t="str">
        <f t="shared" si="15"/>
        <v>有无电梯</v>
      </c>
      <c r="AA29" s="1506">
        <f t="shared" si="3"/>
        <v>1</v>
      </c>
      <c r="AB29" s="1506">
        <f t="shared" si="4"/>
        <v>1</v>
      </c>
      <c r="AC29" s="1506">
        <f t="shared" si="5"/>
        <v>1</v>
      </c>
    </row>
    <row r="30" spans="1:29" ht="15">
      <c r="A30" s="585"/>
      <c r="B30" s="518" t="s">
        <v>794</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20"/>
      <c r="M30" s="2012"/>
      <c r="N30" s="2012"/>
      <c r="O30" s="2019"/>
      <c r="P30" s="3883"/>
      <c r="Q30" s="1502" t="str">
        <f t="shared" si="11"/>
        <v>建筑面积</v>
      </c>
      <c r="R30" s="1503" t="s">
        <v>8</v>
      </c>
      <c r="S30" s="1504" t="e">
        <f t="shared" si="12"/>
        <v>#N/A</v>
      </c>
      <c r="T30" s="1503" t="s">
        <v>8</v>
      </c>
      <c r="U30" s="1504" t="e">
        <f t="shared" si="13"/>
        <v>#N/A</v>
      </c>
      <c r="V30" s="1503" t="s">
        <v>8</v>
      </c>
      <c r="W30" s="1504" t="e">
        <f t="shared" si="14"/>
        <v>#N/A</v>
      </c>
      <c r="X30" s="1497"/>
      <c r="Y30" s="3883"/>
      <c r="Z30" s="1505" t="str">
        <f t="shared" si="15"/>
        <v>建筑面积</v>
      </c>
      <c r="AA30" s="1506" t="e">
        <f t="shared" si="3"/>
        <v>#N/A</v>
      </c>
      <c r="AB30" s="1506" t="e">
        <f t="shared" si="4"/>
        <v>#N/A</v>
      </c>
      <c r="AC30" s="1506" t="e">
        <f t="shared" si="5"/>
        <v>#N/A</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883"/>
      <c r="Q31" s="1131" t="str">
        <f t="shared" si="11"/>
        <v>是否封闭</v>
      </c>
      <c r="R31" s="1498" t="s">
        <v>8</v>
      </c>
      <c r="S31" s="1499">
        <f t="shared" si="12"/>
        <v>100</v>
      </c>
      <c r="T31" s="1498" t="s">
        <v>8</v>
      </c>
      <c r="U31" s="1499">
        <f t="shared" si="13"/>
        <v>100</v>
      </c>
      <c r="V31" s="1498" t="s">
        <v>8</v>
      </c>
      <c r="W31" s="1499">
        <f t="shared" si="14"/>
        <v>100</v>
      </c>
      <c r="X31" s="1500"/>
      <c r="Y31" s="3883"/>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883" t="s">
        <v>521</v>
      </c>
      <c r="Q32" s="1502">
        <f t="shared" si="11"/>
        <v>111</v>
      </c>
      <c r="R32" s="1503" t="s">
        <v>8</v>
      </c>
      <c r="S32" s="1504">
        <f t="shared" si="12"/>
        <v>100</v>
      </c>
      <c r="T32" s="1503" t="s">
        <v>8</v>
      </c>
      <c r="U32" s="1504">
        <f t="shared" si="13"/>
        <v>100</v>
      </c>
      <c r="V32" s="1503" t="s">
        <v>8</v>
      </c>
      <c r="W32" s="1504">
        <f t="shared" si="14"/>
        <v>100</v>
      </c>
      <c r="X32" s="1497"/>
      <c r="Y32" s="3883"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883"/>
      <c r="Q33" s="1502">
        <f t="shared" si="11"/>
        <v>111</v>
      </c>
      <c r="R33" s="1503" t="s">
        <v>8</v>
      </c>
      <c r="S33" s="1504">
        <f t="shared" si="12"/>
        <v>100</v>
      </c>
      <c r="T33" s="1503" t="s">
        <v>8</v>
      </c>
      <c r="U33" s="1504">
        <f t="shared" si="13"/>
        <v>100</v>
      </c>
      <c r="V33" s="1503" t="s">
        <v>8</v>
      </c>
      <c r="W33" s="1504">
        <f t="shared" si="14"/>
        <v>100</v>
      </c>
      <c r="X33" s="1497"/>
      <c r="Y33" s="3883"/>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883"/>
      <c r="Q34" s="1502">
        <f t="shared" si="11"/>
        <v>111</v>
      </c>
      <c r="R34" s="1503" t="s">
        <v>8</v>
      </c>
      <c r="S34" s="1504">
        <f t="shared" si="12"/>
        <v>100</v>
      </c>
      <c r="T34" s="1503" t="s">
        <v>8</v>
      </c>
      <c r="U34" s="1504">
        <f t="shared" si="13"/>
        <v>100</v>
      </c>
      <c r="V34" s="1503" t="s">
        <v>8</v>
      </c>
      <c r="W34" s="1504">
        <f t="shared" si="14"/>
        <v>100</v>
      </c>
      <c r="X34" s="1497"/>
      <c r="Y34" s="3883"/>
      <c r="Z34" s="1505">
        <f t="shared" si="15"/>
        <v>111</v>
      </c>
      <c r="AA34" s="1506">
        <f t="shared" si="3"/>
        <v>1</v>
      </c>
      <c r="AB34" s="1506">
        <f t="shared" si="4"/>
        <v>1</v>
      </c>
      <c r="AC34" s="1506">
        <f t="shared" si="5"/>
        <v>1</v>
      </c>
    </row>
    <row r="35" spans="1:29" ht="15">
      <c r="A35" s="598" t="s">
        <v>707</v>
      </c>
      <c r="B35" s="873"/>
      <c r="C35" s="2466" t="s">
        <v>1</v>
      </c>
      <c r="D35" s="2467"/>
      <c r="E35" s="2468"/>
      <c r="F35" s="2469"/>
      <c r="G35" s="2470"/>
      <c r="H35" s="2471"/>
      <c r="I35" s="2468"/>
      <c r="J35" s="2471"/>
      <c r="K35" s="1536"/>
      <c r="L35" s="2022"/>
      <c r="M35" s="2023"/>
      <c r="N35" s="2012"/>
      <c r="O35" s="2023"/>
      <c r="P35" s="3878" t="str">
        <f>A35</f>
        <v>成交单价（元/平方米）</v>
      </c>
      <c r="Q35" s="3878"/>
      <c r="R35" s="3962">
        <f>E35</f>
        <v>0</v>
      </c>
      <c r="S35" s="3962"/>
      <c r="T35" s="3962">
        <f>G35</f>
        <v>0</v>
      </c>
      <c r="U35" s="3962"/>
      <c r="V35" s="3962">
        <f>I35</f>
        <v>0</v>
      </c>
      <c r="W35" s="3962"/>
      <c r="X35" s="1492"/>
      <c r="Y35" s="1511"/>
      <c r="Z35" s="1492"/>
      <c r="AA35" s="1492"/>
      <c r="AB35" s="1492"/>
      <c r="AC35" s="1492"/>
    </row>
    <row r="36" spans="1:29" ht="15.75" thickBot="1">
      <c r="A36" s="606" t="s">
        <v>2716</v>
      </c>
      <c r="B36" s="874"/>
      <c r="C36" s="2472" t="e">
        <f>R37</f>
        <v>#DIV/0!</v>
      </c>
      <c r="D36" s="3006" t="s">
        <v>2946</v>
      </c>
      <c r="E36" s="2473" t="e">
        <f>R36</f>
        <v>#DIV/0!</v>
      </c>
      <c r="F36" s="3007"/>
      <c r="G36" s="2472" t="e">
        <f>T36</f>
        <v>#DIV/0!</v>
      </c>
      <c r="H36" s="3007"/>
      <c r="I36" s="2473" t="e">
        <f>V36</f>
        <v>#DIV/0!</v>
      </c>
      <c r="J36" s="3007"/>
      <c r="K36" s="3015">
        <f>F36+H36+J36</f>
        <v>0</v>
      </c>
      <c r="L36" s="2022"/>
      <c r="M36" s="2023"/>
      <c r="N36" s="2012"/>
      <c r="O36" s="2023"/>
      <c r="P36" s="3878" t="str">
        <f>A36</f>
        <v>比较价格（元/平方米）</v>
      </c>
      <c r="Q36" s="3878"/>
      <c r="R36" s="3962" t="e">
        <f>IF(F1="售价",ROUND(PRODUCT(R35,AA7:AA34),0),ROUND(PRODUCT(R35,AA7:AA34),1))</f>
        <v>#DIV/0!</v>
      </c>
      <c r="S36" s="3962"/>
      <c r="T36" s="3962" t="e">
        <f>IF(F1="售价",ROUND(PRODUCT(T35,AB7:AB34),0),ROUND(PRODUCT(T35,AB7:AB34),1))</f>
        <v>#DIV/0!</v>
      </c>
      <c r="U36" s="3962"/>
      <c r="V36" s="3962" t="e">
        <f>IF(F1="售价",ROUND(PRODUCT(V35,AC7:AC34),0),ROUND(PRODUCT(V35,AC7:AC34),1))</f>
        <v>#DIV/0!</v>
      </c>
      <c r="W36" s="3962"/>
      <c r="X36" s="1492"/>
      <c r="Y36" s="1492"/>
      <c r="Z36" s="1492"/>
      <c r="AA36" s="1492"/>
      <c r="AB36" s="1492"/>
      <c r="AC36" s="1492"/>
    </row>
    <row r="37" spans="1:29" ht="15.75" thickBot="1">
      <c r="A37" s="610" t="s">
        <v>2877</v>
      </c>
      <c r="B37" s="611"/>
      <c r="C37" s="2474" t="e">
        <f>R37</f>
        <v>#DIV/0!</v>
      </c>
      <c r="D37" s="2474"/>
      <c r="E37" s="2474"/>
      <c r="F37" s="2474"/>
      <c r="G37" s="2474"/>
      <c r="H37" s="2474"/>
      <c r="I37" s="2474"/>
      <c r="J37" s="2474"/>
      <c r="K37" s="1537"/>
      <c r="L37" s="2022"/>
      <c r="M37" s="2023"/>
      <c r="N37" s="2023"/>
      <c r="O37" s="2023"/>
      <c r="P37" s="3899" t="str">
        <f>A37</f>
        <v>估价对象XX用房的比较价格（楼面单价，元/平方米）</v>
      </c>
      <c r="Q37" s="3900"/>
      <c r="R37" s="3961" t="e">
        <f>IF(F1="售价",ROUND(IF(D36="简单平均",AVERAGE(R36:W36),R36*F36+T36*H36+V36*J36),0),ROUND(IF(D36="简单平均",AVERAGE(R36:V36),R36*F36+T36*H36+V36*J36),1))</f>
        <v>#DIV/0!</v>
      </c>
      <c r="S37" s="3961"/>
      <c r="T37" s="3961"/>
      <c r="U37" s="3961"/>
      <c r="V37" s="3961"/>
      <c r="W37" s="3961"/>
      <c r="X37" s="1492"/>
      <c r="Y37" s="1492"/>
      <c r="Z37" s="1492"/>
      <c r="AA37" s="1492"/>
      <c r="AB37" s="1492"/>
      <c r="AC37" s="1492"/>
    </row>
    <row r="38" spans="1:29">
      <c r="A38" s="3205"/>
      <c r="B38" s="3205"/>
      <c r="C38" s="3205"/>
      <c r="D38" s="3205"/>
      <c r="E38" s="3205"/>
      <c r="F38" s="3205"/>
      <c r="G38" s="3207"/>
      <c r="H38" s="3205"/>
      <c r="I38" s="3205"/>
      <c r="J38" s="3205"/>
      <c r="K38" s="3208"/>
      <c r="L38" s="2027"/>
      <c r="M38" s="2023"/>
      <c r="N38" s="2023"/>
      <c r="O38" s="2023"/>
      <c r="P38" s="2023"/>
      <c r="Q38" s="2023"/>
      <c r="R38" s="2023"/>
      <c r="S38" s="2023"/>
      <c r="T38" s="2023"/>
      <c r="U38" s="2023"/>
      <c r="V38" s="2023"/>
      <c r="W38" s="2023"/>
      <c r="X38" s="2023"/>
      <c r="Y38" s="2023"/>
      <c r="Z38" s="2023"/>
      <c r="AA38" s="2023"/>
      <c r="AB38" s="2023"/>
      <c r="AC38" s="2023"/>
    </row>
    <row r="39" spans="1:29">
      <c r="A39" s="3205"/>
      <c r="B39" s="3205"/>
      <c r="C39" s="3205"/>
      <c r="D39" s="3205"/>
      <c r="E39" s="3205"/>
      <c r="F39" s="3205"/>
      <c r="G39" s="3205"/>
      <c r="H39" s="3205"/>
      <c r="I39" s="3205"/>
      <c r="J39" s="3205"/>
      <c r="K39" s="3208"/>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5"/>
      <c r="B40" s="3205"/>
      <c r="C40" s="613" t="s">
        <v>528</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08"/>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5"/>
      <c r="B41" s="3205"/>
      <c r="C41" s="613" t="s">
        <v>529</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08"/>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6"/>
      <c r="B42" s="3206"/>
      <c r="C42" s="613" t="s">
        <v>530</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09"/>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c r="E47" s="639"/>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f>C9</f>
        <v>0</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100</v>
      </c>
      <c r="G54" s="668">
        <f>F54-$K10</f>
        <v>100</v>
      </c>
      <c r="H54" s="668">
        <f>G54-$K10</f>
        <v>100</v>
      </c>
      <c r="I54" s="668">
        <f>H54-$K10</f>
        <v>100</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677"/>
      <c r="D77" s="677"/>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677"/>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4038" t="s">
        <v>2268</v>
      </c>
      <c r="D1" s="4039"/>
      <c r="E1" s="4039"/>
      <c r="F1" s="4039"/>
      <c r="G1" s="4039"/>
      <c r="H1" s="4039"/>
      <c r="I1" s="4039"/>
      <c r="J1" s="4039"/>
      <c r="K1" s="4039"/>
      <c r="L1" s="4039"/>
      <c r="M1" s="4039"/>
      <c r="N1" s="4039"/>
      <c r="O1" s="4039"/>
      <c r="P1" s="4039"/>
      <c r="Q1" s="4039"/>
      <c r="R1" s="4039"/>
      <c r="S1" s="4040"/>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2870</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2869</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2868</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2881</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2867</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2866</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4035" t="s">
        <v>19</v>
      </c>
      <c r="D22" s="4036"/>
      <c r="E22" s="4036"/>
      <c r="F22" s="4036"/>
      <c r="G22" s="4036"/>
      <c r="H22" s="4036"/>
      <c r="I22" s="4036"/>
      <c r="J22" s="4036"/>
      <c r="K22" s="4036"/>
      <c r="L22" s="4036"/>
      <c r="M22" s="4036"/>
      <c r="N22" s="4036"/>
      <c r="O22" s="4036"/>
      <c r="P22" s="4036"/>
      <c r="Q22" s="4037"/>
      <c r="R22" s="481" t="e">
        <f>ROUND(S22*10000/B22,0)</f>
        <v>#DIV/0!</v>
      </c>
      <c r="S22" s="52">
        <f>SUM(S24:S10000)</f>
        <v>0</v>
      </c>
    </row>
    <row r="23" spans="1:45" s="1538" customFormat="1" ht="24">
      <c r="A23" s="17" t="s">
        <v>801</v>
      </c>
      <c r="B23" s="2853"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7">
        <v>1</v>
      </c>
      <c r="D24" s="3268"/>
      <c r="E24" s="3267">
        <v>1</v>
      </c>
      <c r="F24" s="3268"/>
      <c r="G24" s="3267">
        <v>1</v>
      </c>
      <c r="H24" s="3268"/>
      <c r="I24" s="3267">
        <v>1</v>
      </c>
      <c r="J24" s="3268"/>
      <c r="K24" s="3267">
        <v>1</v>
      </c>
      <c r="L24" s="3268"/>
      <c r="M24" s="3267">
        <v>1</v>
      </c>
      <c r="N24" s="3268"/>
      <c r="O24" s="3267">
        <v>1</v>
      </c>
      <c r="P24" s="3268"/>
      <c r="Q24" s="3267">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2.5</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2976</v>
      </c>
      <c r="C17" s="2705">
        <v>43697</v>
      </c>
      <c r="D17" s="3269">
        <v>4.25</v>
      </c>
      <c r="E17" s="3269">
        <v>4.25</v>
      </c>
      <c r="F17" s="3269">
        <v>4.25</v>
      </c>
      <c r="G17" s="3269">
        <v>4.25</v>
      </c>
      <c r="H17" s="3269">
        <v>4.8499999999999996</v>
      </c>
      <c r="I17" s="3269"/>
      <c r="J17" s="3269"/>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7" customFormat="1" ht="15">
      <c r="A18" s="3272"/>
      <c r="B18" s="3273"/>
      <c r="C18" s="3274">
        <v>42301</v>
      </c>
      <c r="D18" s="3275">
        <v>4.3499999999999996</v>
      </c>
      <c r="E18" s="3275">
        <v>4.3499999999999996</v>
      </c>
      <c r="F18" s="3275">
        <v>4.75</v>
      </c>
      <c r="G18" s="3275">
        <v>4.75</v>
      </c>
      <c r="H18" s="3275">
        <v>4.9000000000000004</v>
      </c>
      <c r="I18" s="3275"/>
      <c r="J18" s="3275"/>
      <c r="K18" s="2690"/>
      <c r="L18" s="3275"/>
      <c r="M18" s="3274">
        <v>41965</v>
      </c>
      <c r="N18" s="3275">
        <v>0.35</v>
      </c>
      <c r="O18" s="3275">
        <v>2.35</v>
      </c>
      <c r="P18" s="3275">
        <v>2.5499999999999998</v>
      </c>
      <c r="Q18" s="3275">
        <v>2.75</v>
      </c>
      <c r="R18" s="3275">
        <v>3.35</v>
      </c>
      <c r="S18" s="3275">
        <v>4</v>
      </c>
      <c r="T18" s="3275">
        <v>4.75</v>
      </c>
      <c r="U18" s="3276">
        <v>2.35</v>
      </c>
      <c r="V18" s="3276">
        <v>2.5499999999999998</v>
      </c>
      <c r="W18" s="3276">
        <v>2.75</v>
      </c>
      <c r="X18" s="3275"/>
      <c r="Y18" s="3276">
        <v>0.8</v>
      </c>
      <c r="Z18" s="3276">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1" customWidth="1"/>
    <col min="2" max="2" width="0" style="3291" hidden="1" customWidth="1"/>
    <col min="3" max="3" width="8.875" style="3291"/>
    <col min="4" max="4" width="8.875" style="3291" customWidth="1"/>
    <col min="5" max="6" width="8.875" style="3291"/>
    <col min="7" max="7" width="0" style="3291" hidden="1" customWidth="1"/>
    <col min="8" max="8" width="11.875" style="3291" customWidth="1"/>
    <col min="9" max="9" width="8.875" style="3291"/>
    <col min="10" max="10" width="14.125" style="3291" customWidth="1"/>
    <col min="11" max="11" width="8.875" style="3291" customWidth="1"/>
    <col min="12" max="14" width="8.875" style="3291"/>
    <col min="15" max="16" width="0" style="3291" hidden="1" customWidth="1"/>
    <col min="17" max="17" width="33.5" style="3298" customWidth="1"/>
    <col min="18" max="18" width="8.875" style="3293"/>
    <col min="19" max="19" width="12.75" style="3293" bestFit="1" customWidth="1"/>
    <col min="20" max="20" width="14.5" style="3296" bestFit="1" customWidth="1"/>
    <col min="21" max="23" width="8.875" style="3293"/>
    <col min="24" max="24" width="8.875" style="3291"/>
    <col min="25" max="25" width="8.875" style="3296"/>
    <col min="26" max="16384" width="8.875" style="3291"/>
  </cols>
  <sheetData>
    <row r="1" spans="1:26">
      <c r="A1" s="3291" t="s">
        <v>2980</v>
      </c>
      <c r="B1" s="3291" t="s">
        <v>2981</v>
      </c>
      <c r="C1" s="3291" t="s">
        <v>2982</v>
      </c>
      <c r="D1" s="3291" t="s">
        <v>2983</v>
      </c>
      <c r="E1" s="3291" t="s">
        <v>2984</v>
      </c>
      <c r="F1" s="3291" t="s">
        <v>1997</v>
      </c>
      <c r="G1" s="3291" t="s">
        <v>2985</v>
      </c>
      <c r="H1" s="3291" t="s">
        <v>2986</v>
      </c>
      <c r="I1" s="3291" t="s">
        <v>2987</v>
      </c>
      <c r="J1" s="3291" t="s">
        <v>2988</v>
      </c>
      <c r="K1" s="3291" t="s">
        <v>2989</v>
      </c>
      <c r="L1" s="3291" t="s">
        <v>2990</v>
      </c>
      <c r="M1" s="3291" t="s">
        <v>2991</v>
      </c>
      <c r="N1" s="3291" t="s">
        <v>2992</v>
      </c>
      <c r="O1" s="3291" t="s">
        <v>2993</v>
      </c>
      <c r="P1" s="3291" t="s">
        <v>2994</v>
      </c>
      <c r="Q1" s="3292" t="s">
        <v>3261</v>
      </c>
      <c r="R1" s="3295" t="s">
        <v>3265</v>
      </c>
      <c r="S1" s="3295" t="s">
        <v>3266</v>
      </c>
      <c r="T1" s="3294" t="s">
        <v>3257</v>
      </c>
      <c r="U1" s="3295" t="s">
        <v>3267</v>
      </c>
      <c r="V1" s="3295" t="s">
        <v>3268</v>
      </c>
      <c r="W1" s="3295" t="s">
        <v>3269</v>
      </c>
      <c r="Y1" s="3294" t="s">
        <v>3248</v>
      </c>
    </row>
    <row r="2" spans="1:26" ht="67.5">
      <c r="A2" s="3291" t="s">
        <v>3071</v>
      </c>
      <c r="B2" s="3291" t="s">
        <v>1910</v>
      </c>
      <c r="C2" s="3291" t="s">
        <v>3024</v>
      </c>
      <c r="D2" s="3291">
        <v>23471.66</v>
      </c>
      <c r="E2" s="3291">
        <v>70415</v>
      </c>
      <c r="F2" s="3291" t="s">
        <v>3072</v>
      </c>
      <c r="G2" s="3291" t="s">
        <v>2998</v>
      </c>
      <c r="H2" s="3291" t="s">
        <v>3025</v>
      </c>
      <c r="I2" s="3291" t="s">
        <v>3011</v>
      </c>
      <c r="J2" s="3291" t="s">
        <v>3049</v>
      </c>
      <c r="K2" s="3291">
        <v>243500</v>
      </c>
      <c r="L2" s="3291">
        <v>280000</v>
      </c>
      <c r="M2" s="3291">
        <v>39764.25</v>
      </c>
      <c r="N2" s="3291">
        <v>14.99</v>
      </c>
      <c r="O2" s="3291" t="s">
        <v>3073</v>
      </c>
      <c r="P2" s="3291" t="s">
        <v>3002</v>
      </c>
      <c r="Q2" s="3292" t="s">
        <v>3245</v>
      </c>
      <c r="R2" s="3295" t="s">
        <v>3251</v>
      </c>
      <c r="S2" s="3295" t="s">
        <v>3251</v>
      </c>
      <c r="T2" s="3295" t="s">
        <v>3251</v>
      </c>
      <c r="U2" s="3295" t="s">
        <v>3251</v>
      </c>
      <c r="V2" s="3295" t="s">
        <v>3251</v>
      </c>
      <c r="W2" s="3295" t="s">
        <v>3251</v>
      </c>
      <c r="Y2" s="3295" t="s">
        <v>3251</v>
      </c>
    </row>
    <row r="3" spans="1:26" ht="54">
      <c r="A3" s="3291" t="s">
        <v>3047</v>
      </c>
      <c r="B3" s="3291" t="s">
        <v>1910</v>
      </c>
      <c r="C3" s="3291" t="s">
        <v>2996</v>
      </c>
      <c r="D3" s="3291">
        <v>48808.67</v>
      </c>
      <c r="E3" s="3291">
        <v>122022</v>
      </c>
      <c r="F3" s="3291" t="s">
        <v>3048</v>
      </c>
      <c r="G3" s="3291" t="s">
        <v>2998</v>
      </c>
      <c r="H3" s="3291" t="s">
        <v>2999</v>
      </c>
      <c r="I3" s="3291" t="s">
        <v>3011</v>
      </c>
      <c r="J3" s="3291" t="s">
        <v>3049</v>
      </c>
      <c r="K3" s="3291">
        <v>519000</v>
      </c>
      <c r="L3" s="3291">
        <v>545000</v>
      </c>
      <c r="M3" s="3291">
        <v>44664.08</v>
      </c>
      <c r="N3" s="3291">
        <v>5.01</v>
      </c>
      <c r="O3" s="3291" t="s">
        <v>3050</v>
      </c>
      <c r="P3" s="3291" t="s">
        <v>3051</v>
      </c>
      <c r="Q3" s="3292" t="s">
        <v>3246</v>
      </c>
      <c r="R3" s="3293">
        <v>24400</v>
      </c>
      <c r="S3" s="3293">
        <f>122022-R3</f>
        <v>97622</v>
      </c>
      <c r="T3" s="3296">
        <f>(L3*10000+(V3-U3)*R3)/S3</f>
        <v>54577.861547601977</v>
      </c>
      <c r="U3" s="3293">
        <v>10000</v>
      </c>
      <c r="V3" s="3293">
        <v>5000</v>
      </c>
      <c r="W3" s="3297">
        <f t="shared" ref="W3:W4" si="0">T3/M3-1</f>
        <v>0.22196318714282204</v>
      </c>
      <c r="Y3" s="3296">
        <f>K3*10000/122022</f>
        <v>42533.313664748981</v>
      </c>
    </row>
    <row r="4" spans="1:26" ht="40.5">
      <c r="A4" s="3291" t="s">
        <v>3052</v>
      </c>
      <c r="B4" s="3291" t="s">
        <v>1910</v>
      </c>
      <c r="C4" s="3291" t="s">
        <v>3024</v>
      </c>
      <c r="D4" s="3291">
        <v>32742.57</v>
      </c>
      <c r="E4" s="3291">
        <v>73016</v>
      </c>
      <c r="F4" s="3291" t="s">
        <v>3053</v>
      </c>
      <c r="G4" s="3291" t="s">
        <v>2998</v>
      </c>
      <c r="H4" s="3291" t="s">
        <v>3054</v>
      </c>
      <c r="I4" s="3291" t="s">
        <v>3011</v>
      </c>
      <c r="J4" s="3291" t="s">
        <v>3049</v>
      </c>
      <c r="K4" s="3291">
        <v>294500</v>
      </c>
      <c r="L4" s="3291">
        <v>309500</v>
      </c>
      <c r="M4" s="3291">
        <v>42387.97</v>
      </c>
      <c r="N4" s="3291">
        <v>5.09</v>
      </c>
      <c r="O4" s="3291" t="s">
        <v>3055</v>
      </c>
      <c r="P4" s="3291" t="s">
        <v>3051</v>
      </c>
      <c r="Q4" s="3292" t="s">
        <v>3247</v>
      </c>
      <c r="R4" s="3293">
        <v>13800</v>
      </c>
      <c r="S4" s="3293">
        <f>68856-R4</f>
        <v>55056</v>
      </c>
      <c r="T4" s="3296">
        <f>(L4*10000+(V4-U4)*R4+4160*V4)/S4</f>
        <v>55340.017436791633</v>
      </c>
      <c r="U4" s="3293">
        <v>10000</v>
      </c>
      <c r="V4" s="3293">
        <v>5000</v>
      </c>
      <c r="W4" s="3297">
        <f t="shared" si="0"/>
        <v>0.3055595122104604</v>
      </c>
      <c r="Y4" s="3296">
        <f>(K4*10000+4160*V4)/68856</f>
        <v>43072.49912861624</v>
      </c>
    </row>
    <row r="5" spans="1:26" hidden="1">
      <c r="A5" s="3291" t="s">
        <v>3009</v>
      </c>
      <c r="B5" s="3291" t="s">
        <v>1910</v>
      </c>
      <c r="C5" s="3291" t="s">
        <v>2996</v>
      </c>
      <c r="D5" s="3291">
        <v>57020.91</v>
      </c>
      <c r="E5" s="3291">
        <v>92371</v>
      </c>
      <c r="F5" s="3291" t="s">
        <v>3010</v>
      </c>
      <c r="G5" s="3291" t="s">
        <v>2998</v>
      </c>
      <c r="H5" s="3291" t="s">
        <v>2999</v>
      </c>
      <c r="I5" s="3291" t="s">
        <v>3011</v>
      </c>
      <c r="J5" s="3291" t="s">
        <v>3012</v>
      </c>
      <c r="K5" s="3291">
        <v>621000</v>
      </c>
      <c r="L5" s="3291">
        <v>637000</v>
      </c>
      <c r="M5" s="3291">
        <v>68961.03</v>
      </c>
      <c r="N5" s="3291">
        <v>2.58</v>
      </c>
      <c r="O5" s="3291" t="s">
        <v>3013</v>
      </c>
      <c r="P5" s="3291" t="s">
        <v>3014</v>
      </c>
    </row>
    <row r="6" spans="1:26" ht="54">
      <c r="A6" s="3291" t="s">
        <v>3098</v>
      </c>
      <c r="B6" s="3291" t="s">
        <v>1910</v>
      </c>
      <c r="C6" s="3291" t="s">
        <v>3024</v>
      </c>
      <c r="D6" s="3291">
        <v>85059.12</v>
      </c>
      <c r="E6" s="3291">
        <v>242377.36</v>
      </c>
      <c r="F6" s="3291" t="s">
        <v>3038</v>
      </c>
      <c r="G6" s="3291" t="s">
        <v>2998</v>
      </c>
      <c r="H6" s="3291" t="s">
        <v>3025</v>
      </c>
      <c r="I6" s="3291" t="s">
        <v>3011</v>
      </c>
      <c r="J6" s="3291" t="s">
        <v>3012</v>
      </c>
      <c r="K6" s="3291">
        <v>593000</v>
      </c>
      <c r="L6" s="3291">
        <v>682000</v>
      </c>
      <c r="M6" s="3291">
        <v>28137.93</v>
      </c>
      <c r="N6" s="3291">
        <v>15.01</v>
      </c>
      <c r="O6" s="3291" t="s">
        <v>3099</v>
      </c>
      <c r="P6" s="3291" t="s">
        <v>3014</v>
      </c>
      <c r="Q6" s="3292" t="s">
        <v>3249</v>
      </c>
      <c r="R6" s="3295" t="s">
        <v>3251</v>
      </c>
      <c r="S6" s="3295" t="s">
        <v>3251</v>
      </c>
      <c r="T6" s="3295" t="s">
        <v>3251</v>
      </c>
      <c r="U6" s="3295" t="s">
        <v>3251</v>
      </c>
      <c r="V6" s="3295" t="s">
        <v>3251</v>
      </c>
      <c r="W6" s="3295" t="s">
        <v>3251</v>
      </c>
      <c r="Y6" s="3295" t="s">
        <v>3251</v>
      </c>
    </row>
    <row r="7" spans="1:26" hidden="1">
      <c r="A7" s="3291" t="s">
        <v>3015</v>
      </c>
      <c r="B7" s="3291" t="s">
        <v>1910</v>
      </c>
      <c r="C7" s="3291" t="s">
        <v>2996</v>
      </c>
      <c r="D7" s="3291">
        <v>52686.19</v>
      </c>
      <c r="E7" s="3291">
        <v>83160</v>
      </c>
      <c r="F7" s="3291" t="s">
        <v>3010</v>
      </c>
      <c r="G7" s="3291" t="s">
        <v>2998</v>
      </c>
      <c r="H7" s="3291" t="s">
        <v>2999</v>
      </c>
      <c r="I7" s="3291" t="s">
        <v>3011</v>
      </c>
      <c r="J7" s="3291" t="s">
        <v>3012</v>
      </c>
      <c r="K7" s="3291">
        <v>559000</v>
      </c>
      <c r="L7" s="3291">
        <v>573000</v>
      </c>
      <c r="M7" s="3291">
        <v>68903.320000000007</v>
      </c>
      <c r="N7" s="3291">
        <v>2.5</v>
      </c>
      <c r="O7" s="3291" t="s">
        <v>3016</v>
      </c>
      <c r="P7" s="3291" t="s">
        <v>3014</v>
      </c>
    </row>
    <row r="8" spans="1:26" ht="54">
      <c r="A8" s="3291" t="s">
        <v>3074</v>
      </c>
      <c r="B8" s="3291" t="s">
        <v>1910</v>
      </c>
      <c r="C8" s="3291" t="s">
        <v>2996</v>
      </c>
      <c r="D8" s="3291">
        <v>32382.01</v>
      </c>
      <c r="E8" s="3291">
        <v>80955</v>
      </c>
      <c r="F8" s="3291" t="s">
        <v>3048</v>
      </c>
      <c r="G8" s="3291" t="s">
        <v>2998</v>
      </c>
      <c r="H8" s="3291" t="s">
        <v>2999</v>
      </c>
      <c r="I8" s="3291" t="s">
        <v>3011</v>
      </c>
      <c r="J8" s="3291" t="s">
        <v>3075</v>
      </c>
      <c r="K8" s="3291">
        <v>300000</v>
      </c>
      <c r="L8" s="3291">
        <v>315000</v>
      </c>
      <c r="M8" s="3291">
        <v>38910.51</v>
      </c>
      <c r="N8" s="3291">
        <v>5</v>
      </c>
      <c r="O8" s="3291" t="s">
        <v>3076</v>
      </c>
      <c r="P8" s="3291" t="s">
        <v>3051</v>
      </c>
      <c r="Q8" s="3292" t="s">
        <v>3250</v>
      </c>
      <c r="R8" s="3293">
        <v>13900</v>
      </c>
      <c r="S8" s="3293">
        <f>80955-13900-8500-3000</f>
        <v>55555</v>
      </c>
      <c r="T8" s="3296">
        <f>(L8*10000+(V8-U8)*R8+(8500+3000)*V8)/S8</f>
        <v>56484.564845648456</v>
      </c>
      <c r="U8" s="3293">
        <v>10000</v>
      </c>
      <c r="V8" s="3293">
        <v>5000</v>
      </c>
      <c r="W8" s="3297">
        <f>T8/M8-1</f>
        <v>0.45165316120627708</v>
      </c>
      <c r="Y8" s="3296">
        <f>(K8*10000+(8500+3000)*V8)/(80955-8500-3000)</f>
        <v>44021.308761068314</v>
      </c>
    </row>
    <row r="9" spans="1:26" s="3299" customFormat="1" ht="67.5">
      <c r="A9" s="3299" t="s">
        <v>3090</v>
      </c>
      <c r="B9" s="3299" t="s">
        <v>1910</v>
      </c>
      <c r="C9" s="3299" t="s">
        <v>3024</v>
      </c>
      <c r="D9" s="3299">
        <v>67586.429999999993</v>
      </c>
      <c r="E9" s="3299">
        <v>149027</v>
      </c>
      <c r="F9" s="3299" t="s">
        <v>3091</v>
      </c>
      <c r="G9" s="3299" t="s">
        <v>2998</v>
      </c>
      <c r="H9" s="3299" t="s">
        <v>3029</v>
      </c>
      <c r="I9" s="3299" t="s">
        <v>3011</v>
      </c>
      <c r="J9" s="3299" t="s">
        <v>3066</v>
      </c>
      <c r="K9" s="3299">
        <v>475000</v>
      </c>
      <c r="L9" s="3299">
        <v>499000</v>
      </c>
      <c r="M9" s="3299">
        <v>33483.870000000003</v>
      </c>
      <c r="N9" s="3299">
        <v>5.05</v>
      </c>
      <c r="O9" s="3299" t="s">
        <v>3067</v>
      </c>
      <c r="P9" s="3299" t="s">
        <v>3014</v>
      </c>
      <c r="Q9" s="3300" t="s">
        <v>3252</v>
      </c>
      <c r="R9" s="3301">
        <v>29500</v>
      </c>
      <c r="S9" s="3301">
        <f>65260+77557-R9</f>
        <v>113317</v>
      </c>
      <c r="T9" s="3302">
        <f>(L9*10000+(V9-U9)*R9+6210*V9)/S9</f>
        <v>43268.441628352324</v>
      </c>
      <c r="U9" s="3301">
        <v>9000</v>
      </c>
      <c r="V9" s="3301">
        <v>5000</v>
      </c>
      <c r="W9" s="3303">
        <f>T9/M9-1</f>
        <v>0.29221746555437944</v>
      </c>
      <c r="Y9" s="3302">
        <f>(K9*10000+(V9-U9)*14100+6210*V9)/(65260+77557-14100)</f>
        <v>36705.718747329411</v>
      </c>
    </row>
    <row r="10" spans="1:26" s="3299" customFormat="1" ht="40.5">
      <c r="A10" s="3299" t="s">
        <v>3065</v>
      </c>
      <c r="B10" s="3299" t="s">
        <v>1910</v>
      </c>
      <c r="C10" s="3299" t="s">
        <v>2996</v>
      </c>
      <c r="D10" s="3299">
        <v>31537.81</v>
      </c>
      <c r="E10" s="3299">
        <v>88306</v>
      </c>
      <c r="F10" s="3299" t="s">
        <v>3038</v>
      </c>
      <c r="G10" s="3299" t="s">
        <v>2998</v>
      </c>
      <c r="H10" s="3299" t="s">
        <v>2999</v>
      </c>
      <c r="I10" s="3299" t="s">
        <v>3011</v>
      </c>
      <c r="J10" s="3299" t="s">
        <v>3066</v>
      </c>
      <c r="K10" s="3299">
        <v>343000</v>
      </c>
      <c r="L10" s="3299">
        <v>361000</v>
      </c>
      <c r="M10" s="3299">
        <v>40880.559999999998</v>
      </c>
      <c r="N10" s="3299">
        <v>5.25</v>
      </c>
      <c r="O10" s="3299" t="s">
        <v>3067</v>
      </c>
      <c r="P10" s="3299" t="s">
        <v>3051</v>
      </c>
      <c r="Q10" s="3300" t="s">
        <v>3253</v>
      </c>
      <c r="R10" s="3301">
        <v>20500</v>
      </c>
      <c r="S10" s="3301">
        <f>88306-R10</f>
        <v>67806</v>
      </c>
      <c r="T10" s="3302">
        <f>(L10*10000+(V10-U10)*R10)/S10</f>
        <v>52333.126861929624</v>
      </c>
      <c r="U10" s="3301">
        <v>8000</v>
      </c>
      <c r="V10" s="3301">
        <v>5000</v>
      </c>
      <c r="W10" s="3303">
        <f>T10/M10-1</f>
        <v>0.28014701515658369</v>
      </c>
      <c r="Y10" s="3302">
        <f>K10*10000/88306</f>
        <v>38842.20777750096</v>
      </c>
    </row>
    <row r="11" spans="1:26" ht="27">
      <c r="A11" s="3291" t="s">
        <v>3112</v>
      </c>
      <c r="B11" s="3291" t="s">
        <v>1910</v>
      </c>
      <c r="C11" s="3291" t="s">
        <v>2996</v>
      </c>
      <c r="D11" s="3291">
        <v>16028.4</v>
      </c>
      <c r="E11" s="3291">
        <v>25645.439999999999</v>
      </c>
      <c r="F11" s="3291" t="s">
        <v>3010</v>
      </c>
      <c r="G11" s="3291" t="s">
        <v>2998</v>
      </c>
      <c r="H11" s="3291" t="s">
        <v>2999</v>
      </c>
      <c r="I11" s="3291" t="s">
        <v>3011</v>
      </c>
      <c r="J11" s="3291" t="s">
        <v>3066</v>
      </c>
      <c r="K11" s="3291">
        <v>55500</v>
      </c>
      <c r="L11" s="3291">
        <v>66600</v>
      </c>
      <c r="M11" s="3291">
        <v>25969.52</v>
      </c>
      <c r="N11" s="3291">
        <v>20</v>
      </c>
      <c r="O11" s="3291" t="s">
        <v>3113</v>
      </c>
      <c r="P11" s="3291" t="s">
        <v>3002</v>
      </c>
      <c r="Q11" s="3292" t="s">
        <v>3254</v>
      </c>
      <c r="R11" s="3293">
        <v>10600</v>
      </c>
      <c r="S11" s="3293">
        <f>25645.44-R11</f>
        <v>15045.439999999999</v>
      </c>
      <c r="T11" s="3296">
        <f>(L11*10000+(V11-U11)*R11)/S11</f>
        <v>42152.306612501867</v>
      </c>
      <c r="U11" s="3293">
        <v>8000</v>
      </c>
      <c r="V11" s="3293">
        <v>5000</v>
      </c>
      <c r="W11" s="3297">
        <f>T11/M11-1</f>
        <v>0.62314538784320495</v>
      </c>
      <c r="Y11" s="3296">
        <f>K11*10000/25645.44</f>
        <v>21641.274238227146</v>
      </c>
    </row>
    <row r="12" spans="1:26" ht="54">
      <c r="A12" s="3291" t="s">
        <v>3035</v>
      </c>
      <c r="B12" s="3291" t="s">
        <v>1910</v>
      </c>
      <c r="C12" s="3291" t="s">
        <v>2996</v>
      </c>
      <c r="D12" s="3291">
        <v>41186.94</v>
      </c>
      <c r="E12" s="3291">
        <v>102967</v>
      </c>
      <c r="F12" s="3291" t="s">
        <v>3032</v>
      </c>
      <c r="G12" s="3291" t="s">
        <v>2998</v>
      </c>
      <c r="H12" s="3291" t="s">
        <v>2999</v>
      </c>
      <c r="I12" s="3291" t="s">
        <v>3011</v>
      </c>
      <c r="J12" s="3291" t="s">
        <v>3019</v>
      </c>
      <c r="K12" s="3291">
        <v>443000</v>
      </c>
      <c r="L12" s="3291">
        <v>509400</v>
      </c>
      <c r="M12" s="3291">
        <v>49472.160000000003</v>
      </c>
      <c r="N12" s="3291">
        <v>14.99</v>
      </c>
      <c r="O12" s="3291" t="s">
        <v>3036</v>
      </c>
      <c r="P12" s="3291" t="s">
        <v>3002</v>
      </c>
      <c r="Q12" s="3292" t="s">
        <v>3255</v>
      </c>
      <c r="R12" s="3293">
        <v>30900</v>
      </c>
      <c r="S12" s="3293">
        <f>102967-R12</f>
        <v>72067</v>
      </c>
      <c r="T12" s="3296">
        <f>(L12*10000+(V12-U12)*R12)/S12</f>
        <v>67682.850680616655</v>
      </c>
      <c r="U12" s="3293">
        <v>12000</v>
      </c>
      <c r="V12" s="3293">
        <v>5000</v>
      </c>
      <c r="W12" s="3297">
        <f>T12/M12-1</f>
        <v>0.36809976925641918</v>
      </c>
      <c r="Y12" s="3296">
        <f>(K12*10000+(V12-U12)*10300)/(102967-10300)</f>
        <v>47027.528677954397</v>
      </c>
    </row>
    <row r="13" spans="1:26">
      <c r="A13" s="3291" t="s">
        <v>3017</v>
      </c>
      <c r="B13" s="3291" t="s">
        <v>1910</v>
      </c>
      <c r="C13" s="3291" t="s">
        <v>2996</v>
      </c>
      <c r="D13" s="3291">
        <v>57008.47</v>
      </c>
      <c r="E13" s="3291">
        <v>74111</v>
      </c>
      <c r="F13" s="3291" t="s">
        <v>3018</v>
      </c>
      <c r="G13" s="3291" t="s">
        <v>2998</v>
      </c>
      <c r="H13" s="3291" t="s">
        <v>2999</v>
      </c>
      <c r="I13" s="3291" t="s">
        <v>3011</v>
      </c>
      <c r="J13" s="3291" t="s">
        <v>3019</v>
      </c>
      <c r="K13" s="3291">
        <v>378000</v>
      </c>
      <c r="L13" s="3291">
        <v>392700</v>
      </c>
      <c r="M13" s="3291">
        <v>52988.08</v>
      </c>
      <c r="N13" s="3291">
        <v>3.89</v>
      </c>
      <c r="O13" s="3291" t="s">
        <v>3020</v>
      </c>
      <c r="P13" s="3291" t="s">
        <v>3014</v>
      </c>
      <c r="Q13" s="3292" t="s">
        <v>3242</v>
      </c>
      <c r="R13" s="3295" t="s">
        <v>3251</v>
      </c>
      <c r="S13" s="3295" t="s">
        <v>3251</v>
      </c>
      <c r="T13" s="3295" t="s">
        <v>3251</v>
      </c>
      <c r="U13" s="3295" t="s">
        <v>3251</v>
      </c>
      <c r="V13" s="3295" t="s">
        <v>3251</v>
      </c>
      <c r="W13" s="3295" t="s">
        <v>3251</v>
      </c>
      <c r="Y13" s="3295" t="s">
        <v>3251</v>
      </c>
    </row>
    <row r="14" spans="1:26" s="3304" customFormat="1" ht="54">
      <c r="A14" s="3304" t="s">
        <v>3237</v>
      </c>
      <c r="B14" s="3304" t="s">
        <v>1910</v>
      </c>
      <c r="C14" s="3304" t="s">
        <v>2996</v>
      </c>
      <c r="D14" s="3304">
        <v>34118.69</v>
      </c>
      <c r="E14" s="3304">
        <v>85297</v>
      </c>
      <c r="F14" s="3304" t="s">
        <v>3032</v>
      </c>
      <c r="G14" s="3304" t="s">
        <v>2998</v>
      </c>
      <c r="H14" s="3304" t="s">
        <v>2999</v>
      </c>
      <c r="I14" s="3304" t="s">
        <v>3011</v>
      </c>
      <c r="J14" s="3304" t="s">
        <v>3019</v>
      </c>
      <c r="K14" s="3304">
        <v>367000</v>
      </c>
      <c r="L14" s="3304">
        <v>422000</v>
      </c>
      <c r="M14" s="3304">
        <v>49474.19</v>
      </c>
      <c r="N14" s="3304">
        <v>14.99</v>
      </c>
      <c r="O14" s="3304" t="s">
        <v>3033</v>
      </c>
      <c r="P14" s="3304" t="s">
        <v>3034</v>
      </c>
      <c r="Q14" s="3305" t="s">
        <v>3256</v>
      </c>
      <c r="R14" s="3306">
        <v>28600</v>
      </c>
      <c r="S14" s="3306">
        <f>85297-R14</f>
        <v>56697</v>
      </c>
      <c r="T14" s="3307">
        <f>(L14*10000+(V14-U14)*R14)/S14</f>
        <v>70899.69486921707</v>
      </c>
      <c r="U14" s="3306">
        <v>12000</v>
      </c>
      <c r="V14" s="3306">
        <v>5000</v>
      </c>
      <c r="W14" s="3308">
        <f>T14/M14-1</f>
        <v>0.43306428805033637</v>
      </c>
      <c r="Y14" s="3307">
        <f>(K14*10000+(V14-U14)*8600)/(85297-8600)</f>
        <v>47065.72616921131</v>
      </c>
    </row>
    <row r="15" spans="1:26">
      <c r="A15" s="3291" t="s">
        <v>3021</v>
      </c>
      <c r="B15" s="3291" t="s">
        <v>1910</v>
      </c>
      <c r="C15" s="3291" t="s">
        <v>2996</v>
      </c>
      <c r="D15" s="3291">
        <v>38953.300000000003</v>
      </c>
      <c r="E15" s="3291">
        <v>50639</v>
      </c>
      <c r="F15" s="3291" t="s">
        <v>3018</v>
      </c>
      <c r="G15" s="3291" t="s">
        <v>2998</v>
      </c>
      <c r="H15" s="3291" t="s">
        <v>2999</v>
      </c>
      <c r="I15" s="3291" t="s">
        <v>3011</v>
      </c>
      <c r="J15" s="3291" t="s">
        <v>3019</v>
      </c>
      <c r="K15" s="3291">
        <v>258300</v>
      </c>
      <c r="L15" s="3291">
        <v>268300</v>
      </c>
      <c r="M15" s="3291">
        <v>52982.87</v>
      </c>
      <c r="N15" s="3291">
        <v>3.87</v>
      </c>
      <c r="O15" s="3291" t="s">
        <v>3022</v>
      </c>
      <c r="P15" s="3291" t="s">
        <v>3002</v>
      </c>
      <c r="Q15" s="3292" t="s">
        <v>3241</v>
      </c>
      <c r="R15" s="3295" t="s">
        <v>3251</v>
      </c>
      <c r="S15" s="3295" t="s">
        <v>3251</v>
      </c>
      <c r="T15" s="3295" t="s">
        <v>3251</v>
      </c>
      <c r="U15" s="3295" t="s">
        <v>3251</v>
      </c>
      <c r="V15" s="3295" t="s">
        <v>3251</v>
      </c>
      <c r="W15" s="3295" t="s">
        <v>3251</v>
      </c>
      <c r="X15" s="3309"/>
      <c r="Y15" s="3295" t="s">
        <v>3251</v>
      </c>
      <c r="Z15" s="3309"/>
    </row>
    <row r="16" spans="1:26" s="3313" customFormat="1" ht="40.5">
      <c r="A16" s="3291" t="s">
        <v>3037</v>
      </c>
      <c r="B16" s="3291" t="s">
        <v>1910</v>
      </c>
      <c r="C16" s="3291" t="s">
        <v>2996</v>
      </c>
      <c r="D16" s="3291">
        <v>17102.490000000002</v>
      </c>
      <c r="E16" s="3291">
        <v>47887</v>
      </c>
      <c r="F16" s="3291" t="s">
        <v>3038</v>
      </c>
      <c r="G16" s="3291" t="s">
        <v>2998</v>
      </c>
      <c r="H16" s="3291" t="s">
        <v>2999</v>
      </c>
      <c r="I16" s="3291" t="s">
        <v>3011</v>
      </c>
      <c r="J16" s="3291" t="s">
        <v>3019</v>
      </c>
      <c r="K16" s="3291">
        <v>217000</v>
      </c>
      <c r="L16" s="3291">
        <v>228000</v>
      </c>
      <c r="M16" s="3291">
        <v>47612.08</v>
      </c>
      <c r="N16" s="3291">
        <v>5.07</v>
      </c>
      <c r="O16" s="3291" t="s">
        <v>3039</v>
      </c>
      <c r="P16" s="3291" t="s">
        <v>3014</v>
      </c>
      <c r="Q16" s="3292" t="s">
        <v>3258</v>
      </c>
      <c r="R16" s="3311">
        <v>14100</v>
      </c>
      <c r="S16" s="3311">
        <f>47887-R16</f>
        <v>33787</v>
      </c>
      <c r="T16" s="3310">
        <f>(L16*10000+(V16-U16)*V16)/S16</f>
        <v>66741.646195282214</v>
      </c>
      <c r="U16" s="3311">
        <v>10000</v>
      </c>
      <c r="V16" s="3311">
        <v>5000</v>
      </c>
      <c r="W16" s="3312">
        <f>T16/M16-1</f>
        <v>0.40177967850348506</v>
      </c>
      <c r="X16" s="3309"/>
      <c r="Y16" s="3310">
        <f>K16*10000/47887</f>
        <v>45315.012425084053</v>
      </c>
      <c r="Z16" s="3309"/>
    </row>
    <row r="17" spans="1:26" ht="40.5">
      <c r="A17" s="3291" t="s">
        <v>3040</v>
      </c>
      <c r="B17" s="3291" t="s">
        <v>1910</v>
      </c>
      <c r="C17" s="3291" t="s">
        <v>2996</v>
      </c>
      <c r="D17" s="3291">
        <v>26609.75</v>
      </c>
      <c r="E17" s="3291">
        <v>74507</v>
      </c>
      <c r="F17" s="3291" t="s">
        <v>3038</v>
      </c>
      <c r="G17" s="3291" t="s">
        <v>2998</v>
      </c>
      <c r="H17" s="3291" t="s">
        <v>2999</v>
      </c>
      <c r="I17" s="3291">
        <v>0</v>
      </c>
      <c r="J17" s="3291" t="s">
        <v>3041</v>
      </c>
      <c r="K17" s="3291">
        <v>338400</v>
      </c>
      <c r="L17" s="3291">
        <v>350244</v>
      </c>
      <c r="M17" s="3291">
        <v>47008.19</v>
      </c>
      <c r="N17" s="3291">
        <v>3.5</v>
      </c>
      <c r="O17" s="3291" t="s">
        <v>3042</v>
      </c>
      <c r="P17" s="3291" t="s">
        <v>3014</v>
      </c>
      <c r="Q17" s="3292" t="s">
        <v>3259</v>
      </c>
      <c r="R17" s="3295" t="s">
        <v>3251</v>
      </c>
      <c r="S17" s="3295" t="s">
        <v>3251</v>
      </c>
      <c r="T17" s="3295" t="s">
        <v>3251</v>
      </c>
      <c r="U17" s="3295" t="s">
        <v>3251</v>
      </c>
      <c r="V17" s="3295" t="s">
        <v>3251</v>
      </c>
      <c r="W17" s="3295" t="s">
        <v>3251</v>
      </c>
      <c r="X17" s="3309"/>
      <c r="Y17" s="3310">
        <f>K17*10000/(74507-200)</f>
        <v>45540.796963946872</v>
      </c>
      <c r="Z17" s="3309"/>
    </row>
    <row r="18" spans="1:26" ht="54">
      <c r="A18" s="3291" t="s">
        <v>3137</v>
      </c>
      <c r="B18" s="3291" t="s">
        <v>1910</v>
      </c>
      <c r="C18" s="3291" t="s">
        <v>3024</v>
      </c>
      <c r="D18" s="3291">
        <v>37445.06</v>
      </c>
      <c r="E18" s="3291">
        <v>142000</v>
      </c>
      <c r="F18" s="3291" t="s">
        <v>3138</v>
      </c>
      <c r="G18" s="3291" t="s">
        <v>2998</v>
      </c>
      <c r="H18" s="3291" t="s">
        <v>3139</v>
      </c>
      <c r="I18" s="3291">
        <v>0</v>
      </c>
      <c r="J18" s="3291" t="s">
        <v>3140</v>
      </c>
      <c r="K18" s="3291">
        <v>300500</v>
      </c>
      <c r="L18" s="3291">
        <v>300500</v>
      </c>
      <c r="M18" s="3291">
        <v>21161.97</v>
      </c>
      <c r="N18" s="3291">
        <v>0</v>
      </c>
      <c r="O18" s="3291" t="s">
        <v>3141</v>
      </c>
      <c r="P18" s="3291" t="s">
        <v>3014</v>
      </c>
      <c r="Q18" s="3292" t="s">
        <v>3243</v>
      </c>
      <c r="R18" s="3295" t="s">
        <v>3251</v>
      </c>
      <c r="S18" s="3295" t="s">
        <v>3251</v>
      </c>
      <c r="T18" s="3295" t="s">
        <v>3251</v>
      </c>
      <c r="U18" s="3295" t="s">
        <v>3251</v>
      </c>
      <c r="V18" s="3295" t="s">
        <v>3251</v>
      </c>
      <c r="W18" s="3295" t="s">
        <v>3251</v>
      </c>
      <c r="X18" s="3309"/>
      <c r="Y18" s="3295" t="s">
        <v>3251</v>
      </c>
      <c r="Z18" s="3309"/>
    </row>
    <row r="19" spans="1:26" ht="54">
      <c r="A19" s="3291" t="s">
        <v>3056</v>
      </c>
      <c r="B19" s="3291" t="s">
        <v>1910</v>
      </c>
      <c r="C19" s="3291" t="s">
        <v>3024</v>
      </c>
      <c r="D19" s="3291">
        <v>20188.580000000002</v>
      </c>
      <c r="E19" s="3291">
        <v>48528</v>
      </c>
      <c r="F19" s="3291" t="s">
        <v>3057</v>
      </c>
      <c r="G19" s="3291" t="s">
        <v>2998</v>
      </c>
      <c r="H19" s="3291" t="s">
        <v>3029</v>
      </c>
      <c r="I19" s="3291">
        <v>0</v>
      </c>
      <c r="J19" s="3291" t="s">
        <v>3058</v>
      </c>
      <c r="K19" s="3291">
        <v>205500</v>
      </c>
      <c r="L19" s="3291">
        <v>205500</v>
      </c>
      <c r="M19" s="3291">
        <v>42346.69</v>
      </c>
      <c r="N19" s="3291">
        <v>0</v>
      </c>
      <c r="O19" s="3291" t="s">
        <v>3059</v>
      </c>
      <c r="P19" s="3291" t="s">
        <v>3014</v>
      </c>
      <c r="Q19" s="3292" t="s">
        <v>3260</v>
      </c>
      <c r="R19" s="3311"/>
      <c r="S19" s="3311">
        <v>45328</v>
      </c>
      <c r="T19" s="3310">
        <f>(L19*10000+3200*V19)/S19</f>
        <v>45689.198729262265</v>
      </c>
      <c r="U19" s="3311"/>
      <c r="V19" s="3311">
        <v>5000</v>
      </c>
      <c r="W19" s="3312">
        <f>T19/M19-1</f>
        <v>7.8931995139697175E-2</v>
      </c>
      <c r="X19" s="3309"/>
      <c r="Y19" s="3310">
        <f>(K19*10000+3200*V19)/45328</f>
        <v>45689.198729262265</v>
      </c>
      <c r="Z19" s="3309"/>
    </row>
    <row r="20" spans="1:26" ht="27">
      <c r="A20" s="3291" t="s">
        <v>3060</v>
      </c>
      <c r="B20" s="3291" t="s">
        <v>1910</v>
      </c>
      <c r="C20" s="3291" t="s">
        <v>3024</v>
      </c>
      <c r="D20" s="3291">
        <v>80892.990000000005</v>
      </c>
      <c r="E20" s="3291">
        <v>112042</v>
      </c>
      <c r="F20" s="3291" t="s">
        <v>3061</v>
      </c>
      <c r="G20" s="3291" t="s">
        <v>2998</v>
      </c>
      <c r="H20" s="3291" t="s">
        <v>3062</v>
      </c>
      <c r="I20" s="3291">
        <v>0</v>
      </c>
      <c r="J20" s="3291" t="s">
        <v>3063</v>
      </c>
      <c r="K20" s="3291">
        <v>460000</v>
      </c>
      <c r="L20" s="3291">
        <v>460000</v>
      </c>
      <c r="M20" s="3291">
        <v>41056.019999999997</v>
      </c>
      <c r="N20" s="3291">
        <v>0</v>
      </c>
      <c r="O20" s="3291" t="s">
        <v>3064</v>
      </c>
      <c r="P20" s="3291" t="s">
        <v>3002</v>
      </c>
      <c r="Q20" s="3292" t="s">
        <v>3262</v>
      </c>
      <c r="R20" s="3311"/>
      <c r="S20" s="3311">
        <v>96508</v>
      </c>
      <c r="T20" s="3310">
        <f>(L20*10000+(4080+2454+9000)*V20)/S20</f>
        <v>48469.246072864429</v>
      </c>
      <c r="U20" s="3311"/>
      <c r="V20" s="3311">
        <v>5000</v>
      </c>
      <c r="W20" s="3312">
        <f>T20/M20-1</f>
        <v>0.1805636803777968</v>
      </c>
      <c r="X20" s="3309"/>
      <c r="Y20" s="3310">
        <f>(K20*10000+(4080+2454+9000)*V20)/S20</f>
        <v>48469.246072864429</v>
      </c>
      <c r="Z20" s="3309"/>
    </row>
    <row r="21" spans="1:26" s="3304" customFormat="1" ht="108">
      <c r="A21" s="3304" t="s">
        <v>3312</v>
      </c>
      <c r="B21" s="3304" t="s">
        <v>1910</v>
      </c>
      <c r="C21" s="3304" t="s">
        <v>3024</v>
      </c>
      <c r="D21" s="3304">
        <v>67309.960000000006</v>
      </c>
      <c r="E21" s="3304">
        <v>162845</v>
      </c>
      <c r="F21" s="3304" t="s">
        <v>3043</v>
      </c>
      <c r="G21" s="3304" t="s">
        <v>2998</v>
      </c>
      <c r="H21" s="3304" t="s">
        <v>3044</v>
      </c>
      <c r="I21" s="3304">
        <v>0</v>
      </c>
      <c r="J21" s="3304" t="s">
        <v>3045</v>
      </c>
      <c r="K21" s="3304">
        <v>603400</v>
      </c>
      <c r="L21" s="3304">
        <v>760000</v>
      </c>
      <c r="M21" s="3304">
        <v>46670.15</v>
      </c>
      <c r="N21" s="3304">
        <v>25.95</v>
      </c>
      <c r="O21" s="3304" t="s">
        <v>3046</v>
      </c>
      <c r="P21" s="3304" t="s">
        <v>3002</v>
      </c>
      <c r="Q21" s="3305" t="s">
        <v>3280</v>
      </c>
      <c r="R21" s="3306"/>
      <c r="S21" s="3306">
        <v>135025</v>
      </c>
      <c r="T21" s="3307">
        <f>(L21*10000+V21*(4000+3120+2000))/S21</f>
        <v>56623.588224402891</v>
      </c>
      <c r="U21" s="3306"/>
      <c r="V21" s="3306">
        <v>5000</v>
      </c>
      <c r="W21" s="3308">
        <f>T21/M21-1</f>
        <v>0.2132720427168735</v>
      </c>
      <c r="Y21" s="3310">
        <f>(K21*10000+(4000+3120+2000)*V21)/S21</f>
        <v>45025.735974819479</v>
      </c>
    </row>
    <row r="22" spans="1:26" s="3304" customFormat="1">
      <c r="A22" s="3304" t="s">
        <v>3240</v>
      </c>
      <c r="B22" s="3304" t="s">
        <v>1910</v>
      </c>
      <c r="C22" s="3304" t="s">
        <v>3024</v>
      </c>
      <c r="D22" s="3304">
        <v>48727.09</v>
      </c>
      <c r="E22" s="3304">
        <v>107538</v>
      </c>
      <c r="F22" s="3304" t="s">
        <v>3028</v>
      </c>
      <c r="G22" s="3304" t="s">
        <v>2998</v>
      </c>
      <c r="H22" s="3304" t="s">
        <v>3029</v>
      </c>
      <c r="I22" s="3304">
        <v>0</v>
      </c>
      <c r="J22" s="3304" t="s">
        <v>3030</v>
      </c>
      <c r="K22" s="3304">
        <v>431000</v>
      </c>
      <c r="L22" s="3304">
        <v>544000</v>
      </c>
      <c r="M22" s="3304">
        <v>50586.76</v>
      </c>
      <c r="N22" s="3304">
        <v>26.22</v>
      </c>
      <c r="O22" s="3304" t="s">
        <v>3031</v>
      </c>
      <c r="P22" s="3304" t="s">
        <v>3002</v>
      </c>
      <c r="Q22" s="3305" t="s">
        <v>3263</v>
      </c>
      <c r="R22" s="3306"/>
      <c r="S22" s="3306">
        <v>100818</v>
      </c>
      <c r="T22" s="3307">
        <f>(L22*10000+V22*6720)/S22</f>
        <v>54291.892320815728</v>
      </c>
      <c r="U22" s="3306"/>
      <c r="V22" s="3306">
        <v>5000</v>
      </c>
      <c r="W22" s="3308">
        <f>T22/M22-1</f>
        <v>7.3243123710941882E-2</v>
      </c>
      <c r="Y22" s="3310">
        <f>(K22*10000+6720*V22)/S22</f>
        <v>43083.576345493857</v>
      </c>
    </row>
    <row r="23" spans="1:26" ht="40.5">
      <c r="A23" s="3291" t="s">
        <v>3081</v>
      </c>
      <c r="B23" s="3291" t="s">
        <v>1910</v>
      </c>
      <c r="C23" s="3291" t="s">
        <v>2996</v>
      </c>
      <c r="D23" s="3291">
        <v>68008.75</v>
      </c>
      <c r="E23" s="3291">
        <v>170022</v>
      </c>
      <c r="F23" s="3291" t="s">
        <v>3032</v>
      </c>
      <c r="G23" s="3291" t="s">
        <v>2998</v>
      </c>
      <c r="H23" s="3291" t="s">
        <v>2999</v>
      </c>
      <c r="I23" s="3291">
        <v>0</v>
      </c>
      <c r="J23" s="3291" t="s">
        <v>3030</v>
      </c>
      <c r="K23" s="3291">
        <v>490000</v>
      </c>
      <c r="L23" s="3291">
        <v>636000</v>
      </c>
      <c r="M23" s="3291">
        <v>37406.910000000003</v>
      </c>
      <c r="N23" s="3291">
        <v>29.8</v>
      </c>
      <c r="O23" s="3291" t="s">
        <v>3082</v>
      </c>
      <c r="P23" s="3291" t="s">
        <v>3014</v>
      </c>
      <c r="Q23" s="3292" t="s">
        <v>3244</v>
      </c>
      <c r="R23" s="3311"/>
      <c r="S23" s="3311">
        <f>79084+90938</f>
        <v>170022</v>
      </c>
      <c r="T23" s="3310">
        <f>L23*10000/S23</f>
        <v>37406.923809859902</v>
      </c>
      <c r="U23" s="3311"/>
      <c r="V23" s="3311"/>
      <c r="W23" s="3311"/>
      <c r="X23" s="3309"/>
      <c r="Y23" s="3310">
        <f>K23*10000/S23</f>
        <v>28819.799790615332</v>
      </c>
      <c r="Z23" s="3309"/>
    </row>
    <row r="24" spans="1:26" ht="40.5">
      <c r="A24" s="3291" t="s">
        <v>3079</v>
      </c>
      <c r="B24" s="3291" t="s">
        <v>1910</v>
      </c>
      <c r="C24" s="3291" t="s">
        <v>3024</v>
      </c>
      <c r="D24" s="3291">
        <v>77022.149999999994</v>
      </c>
      <c r="E24" s="3291">
        <v>207262</v>
      </c>
      <c r="F24" s="3291" t="s">
        <v>3057</v>
      </c>
      <c r="G24" s="3291" t="s">
        <v>2998</v>
      </c>
      <c r="H24" s="3291" t="s">
        <v>3029</v>
      </c>
      <c r="I24" s="3291">
        <v>0</v>
      </c>
      <c r="J24" s="3291" t="s">
        <v>3030</v>
      </c>
      <c r="K24" s="3291">
        <v>587000</v>
      </c>
      <c r="L24" s="3291">
        <v>788000</v>
      </c>
      <c r="M24" s="3291">
        <v>38019.51</v>
      </c>
      <c r="N24" s="3291">
        <v>34.24</v>
      </c>
      <c r="O24" s="3291" t="s">
        <v>3080</v>
      </c>
      <c r="P24" s="3291" t="s">
        <v>3014</v>
      </c>
      <c r="Q24" s="3292" t="s">
        <v>3264</v>
      </c>
      <c r="R24" s="3311">
        <v>3360</v>
      </c>
      <c r="S24" s="3311">
        <v>203902</v>
      </c>
      <c r="T24" s="3310">
        <f>(L24*10000+3360*V24)/S24</f>
        <v>38728.408745377681</v>
      </c>
      <c r="U24" s="3311"/>
      <c r="V24" s="3311">
        <v>5000</v>
      </c>
      <c r="W24" s="3312">
        <f>T24/M24-1</f>
        <v>1.8645657068638632E-2</v>
      </c>
      <c r="X24" s="3309"/>
      <c r="Y24" s="3310">
        <f>(K24*10000+3360*V24)/S24</f>
        <v>28870.732018322527</v>
      </c>
      <c r="Z24" s="3309"/>
    </row>
    <row r="25" spans="1:26">
      <c r="A25" s="3291" t="s">
        <v>3100</v>
      </c>
      <c r="B25" s="3291" t="s">
        <v>1910</v>
      </c>
      <c r="C25" s="3291" t="s">
        <v>3024</v>
      </c>
      <c r="D25" s="3291">
        <v>47115.37</v>
      </c>
      <c r="E25" s="3291">
        <v>99865</v>
      </c>
      <c r="F25" s="3291" t="s">
        <v>3101</v>
      </c>
      <c r="G25" s="3291" t="s">
        <v>3102</v>
      </c>
      <c r="H25" s="3291" t="s">
        <v>3029</v>
      </c>
      <c r="I25" s="3291">
        <v>0</v>
      </c>
      <c r="J25" s="3291" t="s">
        <v>3103</v>
      </c>
      <c r="K25" s="3291" t="s">
        <v>2773</v>
      </c>
      <c r="L25" s="3291">
        <v>278800</v>
      </c>
      <c r="M25" s="3291">
        <v>27917.68</v>
      </c>
      <c r="N25" s="3291" t="s">
        <v>2773</v>
      </c>
      <c r="O25" s="3291" t="s">
        <v>3104</v>
      </c>
      <c r="P25" s="3291" t="s">
        <v>3014</v>
      </c>
      <c r="Q25" s="3292" t="s">
        <v>3270</v>
      </c>
      <c r="R25" s="3295" t="s">
        <v>3251</v>
      </c>
      <c r="S25" s="3295" t="s">
        <v>3251</v>
      </c>
      <c r="T25" s="3295" t="s">
        <v>3251</v>
      </c>
      <c r="U25" s="3295" t="s">
        <v>3251</v>
      </c>
      <c r="V25" s="3295" t="s">
        <v>3251</v>
      </c>
      <c r="W25" s="3295" t="s">
        <v>3251</v>
      </c>
      <c r="Y25" s="3295" t="s">
        <v>3251</v>
      </c>
    </row>
    <row r="26" spans="1:26" hidden="1">
      <c r="A26" s="3291" t="s">
        <v>2995</v>
      </c>
      <c r="B26" s="3291" t="s">
        <v>1910</v>
      </c>
      <c r="C26" s="3291" t="s">
        <v>2996</v>
      </c>
      <c r="D26" s="3291">
        <v>51339.15</v>
      </c>
      <c r="E26" s="3291">
        <v>77009</v>
      </c>
      <c r="F26" s="3291" t="s">
        <v>2997</v>
      </c>
      <c r="G26" s="3291" t="s">
        <v>2998</v>
      </c>
      <c r="H26" s="3291" t="s">
        <v>2999</v>
      </c>
      <c r="I26" s="3291">
        <v>0</v>
      </c>
      <c r="J26" s="3291" t="s">
        <v>3000</v>
      </c>
      <c r="K26" s="3291">
        <v>539600</v>
      </c>
      <c r="L26" s="3291">
        <v>539600</v>
      </c>
      <c r="M26" s="3291">
        <v>70069.72</v>
      </c>
      <c r="N26" s="3291">
        <v>0</v>
      </c>
      <c r="O26" s="3291" t="s">
        <v>3001</v>
      </c>
      <c r="P26" s="3291" t="s">
        <v>3002</v>
      </c>
    </row>
    <row r="27" spans="1:26" s="3299" customFormat="1" hidden="1">
      <c r="A27" s="3291" t="s">
        <v>3003</v>
      </c>
      <c r="B27" s="3291" t="s">
        <v>1910</v>
      </c>
      <c r="C27" s="3291" t="s">
        <v>2996</v>
      </c>
      <c r="D27" s="3291">
        <v>44507.26</v>
      </c>
      <c r="E27" s="3291">
        <v>66760</v>
      </c>
      <c r="F27" s="3291" t="s">
        <v>2997</v>
      </c>
      <c r="G27" s="3291" t="s">
        <v>2998</v>
      </c>
      <c r="H27" s="3291" t="s">
        <v>2999</v>
      </c>
      <c r="I27" s="3291">
        <v>0</v>
      </c>
      <c r="J27" s="3291" t="s">
        <v>3000</v>
      </c>
      <c r="K27" s="3291">
        <v>467500</v>
      </c>
      <c r="L27" s="3291">
        <v>467500</v>
      </c>
      <c r="M27" s="3291">
        <v>70026.960000000006</v>
      </c>
      <c r="N27" s="3291">
        <v>0</v>
      </c>
      <c r="O27" s="3291" t="s">
        <v>3004</v>
      </c>
      <c r="P27" s="3291" t="s">
        <v>3002</v>
      </c>
      <c r="Q27" s="3298"/>
      <c r="R27" s="3293"/>
      <c r="S27" s="3293"/>
      <c r="T27" s="3296"/>
      <c r="U27" s="3293"/>
      <c r="V27" s="3293"/>
      <c r="W27" s="3301"/>
      <c r="Y27" s="3302"/>
    </row>
    <row r="28" spans="1:26" ht="27">
      <c r="A28" s="3291" t="s">
        <v>3114</v>
      </c>
      <c r="B28" s="3291" t="s">
        <v>1910</v>
      </c>
      <c r="C28" s="3291" t="s">
        <v>3024</v>
      </c>
      <c r="D28" s="3291">
        <v>65039.11</v>
      </c>
      <c r="E28" s="3291">
        <v>132382.13</v>
      </c>
      <c r="F28" s="3291" t="s">
        <v>3115</v>
      </c>
      <c r="G28" s="3291" t="s">
        <v>2998</v>
      </c>
      <c r="H28" s="3291" t="s">
        <v>3029</v>
      </c>
      <c r="I28" s="3291">
        <v>0</v>
      </c>
      <c r="J28" s="3291" t="s">
        <v>3000</v>
      </c>
      <c r="K28" s="3291">
        <v>329000</v>
      </c>
      <c r="L28" s="3291">
        <v>329000</v>
      </c>
      <c r="M28" s="3291">
        <v>24852.29</v>
      </c>
      <c r="N28" s="3291">
        <v>0</v>
      </c>
      <c r="O28" s="3291" t="s">
        <v>3116</v>
      </c>
      <c r="P28" s="3291" t="s">
        <v>3002</v>
      </c>
      <c r="Q28" s="3292" t="s">
        <v>3271</v>
      </c>
      <c r="R28" s="3295" t="s">
        <v>3251</v>
      </c>
      <c r="S28" s="3295" t="s">
        <v>3251</v>
      </c>
      <c r="T28" s="3295" t="s">
        <v>3251</v>
      </c>
      <c r="U28" s="3295" t="s">
        <v>3251</v>
      </c>
      <c r="V28" s="3295" t="s">
        <v>3251</v>
      </c>
      <c r="W28" s="3295" t="s">
        <v>3251</v>
      </c>
      <c r="Y28" s="3295" t="s">
        <v>3251</v>
      </c>
    </row>
    <row r="29" spans="1:26" hidden="1">
      <c r="A29" s="3291" t="s">
        <v>3023</v>
      </c>
      <c r="B29" s="3291" t="s">
        <v>1910</v>
      </c>
      <c r="C29" s="3291" t="s">
        <v>3024</v>
      </c>
      <c r="D29" s="3291">
        <v>31917.24</v>
      </c>
      <c r="E29" s="3291">
        <v>47876</v>
      </c>
      <c r="F29" s="3291" t="s">
        <v>2997</v>
      </c>
      <c r="G29" s="3291" t="s">
        <v>2998</v>
      </c>
      <c r="H29" s="3291" t="s">
        <v>3025</v>
      </c>
      <c r="I29" s="3291">
        <v>0</v>
      </c>
      <c r="J29" s="3291" t="s">
        <v>3026</v>
      </c>
      <c r="K29" s="3291">
        <v>238900</v>
      </c>
      <c r="L29" s="3291">
        <v>242500</v>
      </c>
      <c r="M29" s="3291">
        <v>50651.68</v>
      </c>
      <c r="N29" s="3291">
        <v>1.51</v>
      </c>
      <c r="O29" s="3291" t="s">
        <v>3027</v>
      </c>
      <c r="P29" s="3291" t="s">
        <v>3002</v>
      </c>
    </row>
    <row r="30" spans="1:26" ht="27">
      <c r="A30" s="3291" t="s">
        <v>3128</v>
      </c>
      <c r="B30" s="3291" t="s">
        <v>1910</v>
      </c>
      <c r="C30" s="3291" t="s">
        <v>3024</v>
      </c>
      <c r="D30" s="3291">
        <v>31314.23</v>
      </c>
      <c r="E30" s="3291">
        <v>85543</v>
      </c>
      <c r="F30" s="3291" t="s">
        <v>3129</v>
      </c>
      <c r="G30" s="3291" t="s">
        <v>2998</v>
      </c>
      <c r="H30" s="3291" t="s">
        <v>3110</v>
      </c>
      <c r="I30" s="3291">
        <v>0</v>
      </c>
      <c r="J30" s="3291" t="s">
        <v>3130</v>
      </c>
      <c r="K30" s="3291">
        <v>189700</v>
      </c>
      <c r="L30" s="3291">
        <v>189700</v>
      </c>
      <c r="M30" s="3291">
        <v>22175.97</v>
      </c>
      <c r="N30" s="3291">
        <v>0</v>
      </c>
      <c r="O30" s="3291" t="s">
        <v>3131</v>
      </c>
      <c r="P30" s="3291" t="s">
        <v>3051</v>
      </c>
      <c r="Q30" s="3292" t="s">
        <v>3272</v>
      </c>
      <c r="R30" s="3295" t="s">
        <v>3251</v>
      </c>
      <c r="S30" s="3295" t="s">
        <v>3251</v>
      </c>
      <c r="T30" s="3295" t="s">
        <v>3251</v>
      </c>
      <c r="U30" s="3295" t="s">
        <v>3251</v>
      </c>
      <c r="V30" s="3295" t="s">
        <v>3251</v>
      </c>
      <c r="W30" s="3295" t="s">
        <v>3251</v>
      </c>
      <c r="Y30" s="3295" t="s">
        <v>3251</v>
      </c>
    </row>
    <row r="31" spans="1:26" hidden="1">
      <c r="A31" s="3291" t="s">
        <v>3095</v>
      </c>
      <c r="B31" s="3291" t="s">
        <v>1910</v>
      </c>
      <c r="C31" s="3291" t="s">
        <v>2996</v>
      </c>
      <c r="D31" s="3291">
        <v>96884.68</v>
      </c>
      <c r="E31" s="3291">
        <v>145327</v>
      </c>
      <c r="F31" s="3291" t="s">
        <v>2997</v>
      </c>
      <c r="G31" s="3291" t="s">
        <v>2998</v>
      </c>
      <c r="H31" s="3291" t="s">
        <v>2999</v>
      </c>
      <c r="I31" s="3291">
        <v>0</v>
      </c>
      <c r="J31" s="3291" t="s">
        <v>3096</v>
      </c>
      <c r="K31" s="3291">
        <v>340000</v>
      </c>
      <c r="L31" s="3291">
        <v>410000</v>
      </c>
      <c r="M31" s="3291">
        <v>28212.240000000002</v>
      </c>
      <c r="N31" s="3291">
        <v>20.59</v>
      </c>
      <c r="O31" s="3291" t="s">
        <v>3097</v>
      </c>
      <c r="P31" s="3291" t="s">
        <v>3034</v>
      </c>
      <c r="R31" s="3295" t="s">
        <v>3251</v>
      </c>
      <c r="S31" s="3295" t="s">
        <v>3251</v>
      </c>
      <c r="T31" s="3295" t="s">
        <v>3251</v>
      </c>
      <c r="U31" s="3295" t="s">
        <v>3251</v>
      </c>
      <c r="V31" s="3295" t="s">
        <v>3251</v>
      </c>
      <c r="W31" s="3295" t="s">
        <v>3251</v>
      </c>
      <c r="Y31" s="3295" t="s">
        <v>3251</v>
      </c>
    </row>
    <row r="32" spans="1:26">
      <c r="A32" s="3291" t="s">
        <v>3108</v>
      </c>
      <c r="B32" s="3291" t="s">
        <v>1910</v>
      </c>
      <c r="C32" s="3291" t="s">
        <v>3024</v>
      </c>
      <c r="D32" s="3291">
        <v>34507.51</v>
      </c>
      <c r="E32" s="3291">
        <v>94282.53</v>
      </c>
      <c r="F32" s="3291" t="s">
        <v>3109</v>
      </c>
      <c r="G32" s="3291" t="s">
        <v>2998</v>
      </c>
      <c r="H32" s="3291" t="s">
        <v>3110</v>
      </c>
      <c r="I32" s="3291">
        <v>0</v>
      </c>
      <c r="J32" s="3291" t="s">
        <v>3007</v>
      </c>
      <c r="K32" s="3291">
        <v>256450</v>
      </c>
      <c r="L32" s="3291">
        <v>256450</v>
      </c>
      <c r="M32" s="3291">
        <v>27200.15</v>
      </c>
      <c r="N32" s="3291">
        <v>0</v>
      </c>
      <c r="O32" s="3291" t="s">
        <v>3111</v>
      </c>
      <c r="P32" s="3291" t="s">
        <v>3002</v>
      </c>
      <c r="Q32" s="3292" t="s">
        <v>3273</v>
      </c>
      <c r="R32" s="3295" t="s">
        <v>3251</v>
      </c>
      <c r="S32" s="3295" t="s">
        <v>3251</v>
      </c>
      <c r="T32" s="3295" t="s">
        <v>3251</v>
      </c>
      <c r="U32" s="3295" t="s">
        <v>3251</v>
      </c>
      <c r="V32" s="3295" t="s">
        <v>3251</v>
      </c>
      <c r="W32" s="3295" t="s">
        <v>3251</v>
      </c>
      <c r="Y32" s="3295" t="s">
        <v>3251</v>
      </c>
    </row>
    <row r="33" spans="1:17" hidden="1">
      <c r="A33" s="3291" t="s">
        <v>3005</v>
      </c>
      <c r="B33" s="3291" t="s">
        <v>1910</v>
      </c>
      <c r="C33" s="3291" t="s">
        <v>2996</v>
      </c>
      <c r="D33" s="3291">
        <v>39479.050000000003</v>
      </c>
      <c r="E33" s="3291">
        <v>43427</v>
      </c>
      <c r="F33" s="3291" t="s">
        <v>3006</v>
      </c>
      <c r="G33" s="3291" t="s">
        <v>2998</v>
      </c>
      <c r="H33" s="3291" t="s">
        <v>2999</v>
      </c>
      <c r="I33" s="3291">
        <v>0</v>
      </c>
      <c r="J33" s="3291" t="s">
        <v>3007</v>
      </c>
      <c r="K33" s="3291">
        <v>244900</v>
      </c>
      <c r="L33" s="3291">
        <v>302000</v>
      </c>
      <c r="M33" s="3291">
        <v>69541.990000000005</v>
      </c>
      <c r="N33" s="3291">
        <v>23.32</v>
      </c>
      <c r="O33" s="3291" t="s">
        <v>3008</v>
      </c>
      <c r="P33" s="3291" t="s">
        <v>3002</v>
      </c>
    </row>
    <row r="34" spans="1:17" ht="27">
      <c r="A34" s="3291" t="s">
        <v>3132</v>
      </c>
      <c r="B34" s="3291" t="s">
        <v>1910</v>
      </c>
      <c r="C34" s="3291" t="s">
        <v>3024</v>
      </c>
      <c r="D34" s="3291">
        <v>60678.01</v>
      </c>
      <c r="E34" s="3291">
        <v>160145</v>
      </c>
      <c r="F34" s="3291" t="s">
        <v>3133</v>
      </c>
      <c r="G34" s="3291" t="s">
        <v>2998</v>
      </c>
      <c r="H34" s="3291" t="s">
        <v>3134</v>
      </c>
      <c r="I34" s="3291">
        <v>0</v>
      </c>
      <c r="J34" s="3291" t="s">
        <v>3135</v>
      </c>
      <c r="K34" s="3291">
        <v>339100</v>
      </c>
      <c r="L34" s="3291">
        <v>340800</v>
      </c>
      <c r="M34" s="3291">
        <v>21280.7</v>
      </c>
      <c r="N34" s="3291">
        <v>0.5</v>
      </c>
      <c r="O34" s="3291" t="s">
        <v>3136</v>
      </c>
      <c r="P34" s="3291" t="s">
        <v>3051</v>
      </c>
      <c r="Q34" s="3292" t="s">
        <v>3274</v>
      </c>
    </row>
    <row r="35" spans="1:17" ht="27">
      <c r="A35" s="3291" t="s">
        <v>3105</v>
      </c>
      <c r="B35" s="3291" t="s">
        <v>1910</v>
      </c>
      <c r="C35" s="3291" t="s">
        <v>3024</v>
      </c>
      <c r="D35" s="3291">
        <v>68981.53</v>
      </c>
      <c r="E35" s="3291">
        <v>141907</v>
      </c>
      <c r="F35" s="3291">
        <v>2.06</v>
      </c>
      <c r="G35" s="3291" t="s">
        <v>3102</v>
      </c>
      <c r="H35" s="3291" t="s">
        <v>3106</v>
      </c>
      <c r="I35" s="3291">
        <v>0</v>
      </c>
      <c r="J35" s="3291" t="s">
        <v>3107</v>
      </c>
      <c r="K35" s="3291" t="s">
        <v>2773</v>
      </c>
      <c r="L35" s="3291">
        <v>389000</v>
      </c>
      <c r="M35" s="3291">
        <v>27412.31</v>
      </c>
      <c r="N35" s="3291" t="s">
        <v>2773</v>
      </c>
      <c r="O35" s="3291" t="s">
        <v>3104</v>
      </c>
      <c r="P35" s="3291" t="s">
        <v>3014</v>
      </c>
      <c r="Q35" s="3292" t="s">
        <v>3276</v>
      </c>
    </row>
    <row r="36" spans="1:17" ht="27">
      <c r="A36" s="3291" t="s">
        <v>3117</v>
      </c>
      <c r="B36" s="3291" t="s">
        <v>1910</v>
      </c>
      <c r="C36" s="3291" t="s">
        <v>3024</v>
      </c>
      <c r="D36" s="3291">
        <v>14680.08</v>
      </c>
      <c r="E36" s="3291">
        <v>31629</v>
      </c>
      <c r="F36" s="3291">
        <v>2.15</v>
      </c>
      <c r="G36" s="3291" t="s">
        <v>3102</v>
      </c>
      <c r="H36" s="3291" t="s">
        <v>3118</v>
      </c>
      <c r="I36" s="3291">
        <v>0</v>
      </c>
      <c r="J36" s="3291" t="s">
        <v>3107</v>
      </c>
      <c r="K36" s="3291" t="s">
        <v>2773</v>
      </c>
      <c r="L36" s="3291">
        <v>76000</v>
      </c>
      <c r="M36" s="3291">
        <v>24028.58</v>
      </c>
      <c r="N36" s="3291" t="s">
        <v>2773</v>
      </c>
      <c r="O36" s="3291" t="s">
        <v>3104</v>
      </c>
      <c r="P36" s="3291" t="s">
        <v>3014</v>
      </c>
      <c r="Q36" s="3292" t="s">
        <v>3275</v>
      </c>
    </row>
    <row r="37" spans="1:17" hidden="1">
      <c r="A37" s="3291" t="s">
        <v>3151</v>
      </c>
      <c r="B37" s="3291" t="s">
        <v>1910</v>
      </c>
      <c r="C37" s="3291" t="s">
        <v>3024</v>
      </c>
      <c r="D37" s="3291">
        <v>239378.2</v>
      </c>
      <c r="E37" s="3291">
        <v>302600</v>
      </c>
      <c r="F37" s="3291">
        <v>1.26</v>
      </c>
      <c r="G37" s="3291" t="s">
        <v>3102</v>
      </c>
      <c r="H37" s="3291" t="s">
        <v>3152</v>
      </c>
      <c r="I37" s="3291">
        <v>0</v>
      </c>
      <c r="J37" s="3291" t="s">
        <v>3107</v>
      </c>
      <c r="K37" s="3291" t="s">
        <v>2773</v>
      </c>
      <c r="L37" s="3291">
        <v>630000</v>
      </c>
      <c r="M37" s="3291">
        <v>20819.560000000001</v>
      </c>
      <c r="N37" s="3291" t="s">
        <v>2773</v>
      </c>
      <c r="O37" s="3291" t="s">
        <v>3153</v>
      </c>
      <c r="P37" s="3291" t="s">
        <v>3002</v>
      </c>
    </row>
    <row r="38" spans="1:17" ht="27">
      <c r="A38" s="3291" t="s">
        <v>3121</v>
      </c>
      <c r="B38" s="3291" t="s">
        <v>1910</v>
      </c>
      <c r="C38" s="3291" t="s">
        <v>2996</v>
      </c>
      <c r="D38" s="3291">
        <v>41541.339999999997</v>
      </c>
      <c r="E38" s="3291">
        <v>87237</v>
      </c>
      <c r="F38" s="3291">
        <v>2.1</v>
      </c>
      <c r="G38" s="3291" t="s">
        <v>2998</v>
      </c>
      <c r="H38" s="3291" t="s">
        <v>2999</v>
      </c>
      <c r="I38" s="3291">
        <v>0</v>
      </c>
      <c r="J38" s="3291" t="s">
        <v>3122</v>
      </c>
      <c r="K38" s="3291">
        <v>150000</v>
      </c>
      <c r="L38" s="3291">
        <v>206000</v>
      </c>
      <c r="M38" s="3291">
        <v>23613.83</v>
      </c>
      <c r="N38" s="3291">
        <v>37.33</v>
      </c>
      <c r="O38" s="3291" t="s">
        <v>3123</v>
      </c>
      <c r="P38" s="3291" t="s">
        <v>3014</v>
      </c>
      <c r="Q38" s="3292" t="s">
        <v>3277</v>
      </c>
    </row>
    <row r="39" spans="1:17" ht="67.5">
      <c r="A39" s="3291" t="s">
        <v>3147</v>
      </c>
      <c r="B39" s="3291" t="s">
        <v>1910</v>
      </c>
      <c r="C39" s="3291" t="s">
        <v>3024</v>
      </c>
      <c r="D39" s="3291">
        <v>121729.8</v>
      </c>
      <c r="E39" s="3291">
        <v>327948</v>
      </c>
      <c r="F39" s="3291">
        <v>2.69</v>
      </c>
      <c r="G39" s="3291" t="s">
        <v>2998</v>
      </c>
      <c r="H39" s="3291" t="s">
        <v>3148</v>
      </c>
      <c r="I39" s="3291">
        <v>0</v>
      </c>
      <c r="J39" s="3291" t="s">
        <v>3149</v>
      </c>
      <c r="K39" s="3291">
        <v>609400</v>
      </c>
      <c r="L39" s="3291">
        <v>690000</v>
      </c>
      <c r="M39" s="3291">
        <v>21039.91</v>
      </c>
      <c r="N39" s="3291">
        <v>13.23</v>
      </c>
      <c r="O39" s="3291" t="s">
        <v>3150</v>
      </c>
      <c r="P39" s="3291" t="s">
        <v>3014</v>
      </c>
      <c r="Q39" s="3292" t="s">
        <v>3278</v>
      </c>
    </row>
    <row r="40" spans="1:17" hidden="1">
      <c r="A40" s="3291" t="s">
        <v>3092</v>
      </c>
      <c r="B40" s="3291" t="s">
        <v>1910</v>
      </c>
      <c r="C40" s="3291" t="s">
        <v>2996</v>
      </c>
      <c r="D40" s="3291">
        <v>43325.9</v>
      </c>
      <c r="E40" s="3291">
        <v>64988</v>
      </c>
      <c r="F40" s="3291">
        <v>1.5</v>
      </c>
      <c r="G40" s="3291" t="s">
        <v>2998</v>
      </c>
      <c r="H40" s="3291" t="s">
        <v>2999</v>
      </c>
      <c r="I40" s="3291">
        <v>0</v>
      </c>
      <c r="J40" s="3291" t="s">
        <v>3093</v>
      </c>
      <c r="K40" s="3291">
        <v>190000</v>
      </c>
      <c r="L40" s="3291">
        <v>204000</v>
      </c>
      <c r="M40" s="3291">
        <v>31390.400000000001</v>
      </c>
      <c r="N40" s="3291">
        <v>7.37</v>
      </c>
      <c r="O40" s="3291" t="s">
        <v>3094</v>
      </c>
      <c r="P40" s="3291" t="s">
        <v>3034</v>
      </c>
    </row>
    <row r="41" spans="1:17" hidden="1">
      <c r="A41" s="3291" t="s">
        <v>3119</v>
      </c>
      <c r="B41" s="3291" t="s">
        <v>1910</v>
      </c>
      <c r="C41" s="3291" t="s">
        <v>2996</v>
      </c>
      <c r="D41" s="3291">
        <v>21403.13</v>
      </c>
      <c r="E41" s="3291">
        <v>38526</v>
      </c>
      <c r="F41" s="3291">
        <v>1.8</v>
      </c>
      <c r="G41" s="3291" t="s">
        <v>2998</v>
      </c>
      <c r="H41" s="3291" t="s">
        <v>2999</v>
      </c>
      <c r="I41" s="3291">
        <v>0</v>
      </c>
      <c r="J41" s="3291" t="s">
        <v>3093</v>
      </c>
      <c r="K41" s="3291">
        <v>71000</v>
      </c>
      <c r="L41" s="3291">
        <v>92000</v>
      </c>
      <c r="M41" s="3291">
        <v>23879.97</v>
      </c>
      <c r="N41" s="3291">
        <v>29.58</v>
      </c>
      <c r="O41" s="3291" t="s">
        <v>3120</v>
      </c>
      <c r="P41" s="3291" t="s">
        <v>3002</v>
      </c>
    </row>
    <row r="42" spans="1:17" hidden="1">
      <c r="A42" s="3291" t="s">
        <v>3124</v>
      </c>
      <c r="B42" s="3291" t="s">
        <v>1910</v>
      </c>
      <c r="C42" s="3291" t="s">
        <v>3024</v>
      </c>
      <c r="D42" s="3291">
        <v>69856.02</v>
      </c>
      <c r="E42" s="3291">
        <v>104180</v>
      </c>
      <c r="F42" s="3291">
        <v>1.49</v>
      </c>
      <c r="G42" s="3291" t="s">
        <v>2998</v>
      </c>
      <c r="H42" s="3291" t="s">
        <v>3125</v>
      </c>
      <c r="I42" s="3291">
        <v>0</v>
      </c>
      <c r="J42" s="3291" t="s">
        <v>3126</v>
      </c>
      <c r="K42" s="3291">
        <v>190000</v>
      </c>
      <c r="L42" s="3291">
        <v>233000</v>
      </c>
      <c r="M42" s="3291">
        <v>22365.13</v>
      </c>
      <c r="N42" s="3291">
        <v>22.63</v>
      </c>
      <c r="O42" s="3291" t="s">
        <v>3127</v>
      </c>
      <c r="P42" s="3291" t="s">
        <v>3002</v>
      </c>
    </row>
    <row r="43" spans="1:17" hidden="1">
      <c r="A43" s="3291" t="s">
        <v>3145</v>
      </c>
      <c r="B43" s="3291" t="s">
        <v>1910</v>
      </c>
      <c r="C43" s="3291" t="s">
        <v>3024</v>
      </c>
      <c r="D43" s="3291">
        <v>28367.279999999999</v>
      </c>
      <c r="E43" s="3291">
        <v>42028</v>
      </c>
      <c r="F43" s="3291">
        <v>1.48</v>
      </c>
      <c r="G43" s="3291" t="s">
        <v>2998</v>
      </c>
      <c r="H43" s="3291" t="s">
        <v>3029</v>
      </c>
      <c r="I43" s="3291">
        <v>0</v>
      </c>
      <c r="J43" s="3291" t="s">
        <v>3126</v>
      </c>
      <c r="K43" s="3291">
        <v>76000</v>
      </c>
      <c r="L43" s="3291">
        <v>88500</v>
      </c>
      <c r="M43" s="3291">
        <v>21057.38</v>
      </c>
      <c r="N43" s="3291">
        <v>16.45</v>
      </c>
      <c r="O43" s="3291" t="s">
        <v>3146</v>
      </c>
      <c r="P43" s="3291" t="s">
        <v>3002</v>
      </c>
    </row>
    <row r="44" spans="1:17" ht="81">
      <c r="A44" s="3291" t="s">
        <v>3142</v>
      </c>
      <c r="B44" s="3291" t="s">
        <v>1910</v>
      </c>
      <c r="C44" s="3291" t="s">
        <v>3024</v>
      </c>
      <c r="D44" s="3291">
        <v>97107.81</v>
      </c>
      <c r="E44" s="3291">
        <v>194226</v>
      </c>
      <c r="F44" s="3291">
        <v>2</v>
      </c>
      <c r="G44" s="3291" t="s">
        <v>2998</v>
      </c>
      <c r="H44" s="3291" t="s">
        <v>3143</v>
      </c>
      <c r="I44" s="3291">
        <v>0</v>
      </c>
      <c r="J44" s="3291" t="s">
        <v>3088</v>
      </c>
      <c r="K44" s="3291">
        <v>406000</v>
      </c>
      <c r="L44" s="3291">
        <v>410000</v>
      </c>
      <c r="M44" s="3291">
        <v>21109.43</v>
      </c>
      <c r="N44" s="3291">
        <v>0.99</v>
      </c>
      <c r="O44" s="3291" t="s">
        <v>3144</v>
      </c>
      <c r="P44" s="3291" t="s">
        <v>3002</v>
      </c>
      <c r="Q44" s="3292" t="s">
        <v>3279</v>
      </c>
    </row>
    <row r="45" spans="1:17">
      <c r="A45" s="3291" t="s">
        <v>3087</v>
      </c>
      <c r="B45" s="3291" t="s">
        <v>1910</v>
      </c>
      <c r="C45" s="3291" t="s">
        <v>2996</v>
      </c>
      <c r="D45" s="3291">
        <v>66475.23</v>
      </c>
      <c r="E45" s="3291">
        <v>132950</v>
      </c>
      <c r="F45" s="3291">
        <v>2</v>
      </c>
      <c r="G45" s="3291" t="s">
        <v>2998</v>
      </c>
      <c r="H45" s="3291" t="s">
        <v>2999</v>
      </c>
      <c r="I45" s="3291">
        <v>0</v>
      </c>
      <c r="J45" s="3291" t="s">
        <v>3088</v>
      </c>
      <c r="K45" s="3291">
        <v>380000</v>
      </c>
      <c r="L45" s="3291">
        <v>450000</v>
      </c>
      <c r="M45" s="3291">
        <v>33847.300000000003</v>
      </c>
      <c r="N45" s="3291">
        <v>18.420000000000002</v>
      </c>
      <c r="O45" s="3291" t="s">
        <v>3089</v>
      </c>
      <c r="P45" s="3291" t="s">
        <v>3002</v>
      </c>
    </row>
    <row r="46" spans="1:17">
      <c r="A46" s="3291" t="s">
        <v>3077</v>
      </c>
      <c r="B46" s="3291" t="s">
        <v>1910</v>
      </c>
      <c r="C46" s="3291" t="s">
        <v>3024</v>
      </c>
      <c r="D46" s="3291">
        <v>22975.03</v>
      </c>
      <c r="E46" s="3291">
        <v>68925</v>
      </c>
      <c r="F46" s="3291">
        <v>3</v>
      </c>
      <c r="G46" s="3291" t="s">
        <v>2998</v>
      </c>
      <c r="H46" s="3291" t="s">
        <v>3025</v>
      </c>
      <c r="I46" s="3291">
        <v>0</v>
      </c>
      <c r="J46" s="3291" t="s">
        <v>3069</v>
      </c>
      <c r="K46" s="3291">
        <v>208000</v>
      </c>
      <c r="L46" s="3291">
        <v>264000</v>
      </c>
      <c r="M46" s="3291">
        <v>38302.5</v>
      </c>
      <c r="N46" s="3291">
        <v>26.92</v>
      </c>
      <c r="O46" s="3291" t="s">
        <v>3078</v>
      </c>
      <c r="P46" s="3291" t="s">
        <v>3051</v>
      </c>
    </row>
    <row r="47" spans="1:17">
      <c r="A47" s="3291" t="s">
        <v>3068</v>
      </c>
      <c r="B47" s="3291" t="s">
        <v>1910</v>
      </c>
      <c r="C47" s="3291" t="s">
        <v>3024</v>
      </c>
      <c r="D47" s="3291">
        <v>19200.669999999998</v>
      </c>
      <c r="E47" s="3291">
        <v>57602</v>
      </c>
      <c r="F47" s="3291">
        <v>3</v>
      </c>
      <c r="G47" s="3291" t="s">
        <v>2998</v>
      </c>
      <c r="H47" s="3291" t="s">
        <v>3025</v>
      </c>
      <c r="I47" s="3291">
        <v>0</v>
      </c>
      <c r="J47" s="3291" t="s">
        <v>3069</v>
      </c>
      <c r="K47" s="3291">
        <v>200000</v>
      </c>
      <c r="L47" s="3291">
        <v>234000</v>
      </c>
      <c r="M47" s="3291">
        <v>40623.58</v>
      </c>
      <c r="N47" s="3291">
        <v>17</v>
      </c>
      <c r="O47" s="3291" t="s">
        <v>3070</v>
      </c>
      <c r="P47" s="3291" t="s">
        <v>3051</v>
      </c>
    </row>
    <row r="48" spans="1:17">
      <c r="A48" s="3291" t="s">
        <v>3083</v>
      </c>
      <c r="B48" s="3291" t="s">
        <v>1910</v>
      </c>
      <c r="C48" s="3291" t="s">
        <v>3024</v>
      </c>
      <c r="D48" s="3291">
        <v>74979.98</v>
      </c>
      <c r="E48" s="3291">
        <v>84324</v>
      </c>
      <c r="F48" s="3291">
        <v>1.1200000000000001</v>
      </c>
      <c r="G48" s="3291" t="s">
        <v>2998</v>
      </c>
      <c r="H48" s="3291" t="s">
        <v>3084</v>
      </c>
      <c r="I48" s="3291">
        <v>0</v>
      </c>
      <c r="J48" s="3291" t="s">
        <v>3085</v>
      </c>
      <c r="K48" s="3291">
        <v>205000</v>
      </c>
      <c r="L48" s="3291">
        <v>291000</v>
      </c>
      <c r="M48" s="3291">
        <v>34509.75</v>
      </c>
      <c r="N48" s="3291">
        <v>41.95</v>
      </c>
      <c r="O48" s="3291" t="s">
        <v>3086</v>
      </c>
      <c r="P48" s="3291"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0" t="s">
        <v>2003</v>
      </c>
      <c r="B1" s="3690"/>
      <c r="C1" s="3690"/>
      <c r="D1" s="3690"/>
      <c r="E1" s="3690"/>
      <c r="F1" s="3690"/>
      <c r="G1" s="3690"/>
      <c r="H1" s="3690"/>
      <c r="I1" s="3690"/>
      <c r="J1" s="3690"/>
      <c r="K1" s="3690"/>
      <c r="L1" s="3690"/>
      <c r="M1" s="3690"/>
      <c r="N1" s="3690"/>
      <c r="O1" s="3690"/>
      <c r="P1" s="3690"/>
      <c r="Q1" s="3690"/>
      <c r="R1" s="3690"/>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691" t="s">
        <v>1994</v>
      </c>
      <c r="B3" s="3691" t="s">
        <v>2687</v>
      </c>
      <c r="C3" s="3692" t="s">
        <v>1995</v>
      </c>
      <c r="D3" s="3691" t="s">
        <v>2691</v>
      </c>
      <c r="E3" s="3694" t="s">
        <v>1996</v>
      </c>
      <c r="F3" s="3694"/>
      <c r="G3" s="3694"/>
      <c r="H3" s="3694" t="s">
        <v>1997</v>
      </c>
      <c r="I3" s="3694"/>
      <c r="J3" s="3694"/>
      <c r="K3" s="3692" t="s">
        <v>1998</v>
      </c>
      <c r="L3" s="3692" t="s">
        <v>1999</v>
      </c>
      <c r="M3" s="3691" t="s">
        <v>2688</v>
      </c>
      <c r="N3" s="3693" t="str">
        <f>"（分摊）"&amp;项目基本情况!B16&amp;"国有建设用地使用权面积/㎡"</f>
        <v>（分摊）出让国有建设用地使用权面积/㎡</v>
      </c>
      <c r="O3" s="3691" t="s">
        <v>2028</v>
      </c>
      <c r="P3" s="3692" t="s">
        <v>2008</v>
      </c>
      <c r="Q3" s="3692" t="s">
        <v>2029</v>
      </c>
      <c r="R3" s="3692" t="s">
        <v>2000</v>
      </c>
    </row>
    <row r="4" spans="1:18" ht="36.75" customHeight="1">
      <c r="A4" s="3691"/>
      <c r="B4" s="3691"/>
      <c r="C4" s="3692"/>
      <c r="D4" s="3691"/>
      <c r="E4" s="2487" t="s">
        <v>2007</v>
      </c>
      <c r="F4" s="2487" t="s">
        <v>2700</v>
      </c>
      <c r="G4" s="2487" t="s">
        <v>2001</v>
      </c>
      <c r="H4" s="2487" t="s">
        <v>2002</v>
      </c>
      <c r="I4" s="2487" t="s">
        <v>2701</v>
      </c>
      <c r="J4" s="2487" t="s">
        <v>2001</v>
      </c>
      <c r="K4" s="3692"/>
      <c r="L4" s="3692"/>
      <c r="M4" s="3691"/>
      <c r="N4" s="3693"/>
      <c r="O4" s="3691"/>
      <c r="P4" s="3692"/>
      <c r="Q4" s="3692"/>
      <c r="R4" s="3692"/>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19077.810000000001</v>
      </c>
      <c r="O5" s="1721">
        <f>项目基本情况!C21</f>
        <v>82153.719999999972</v>
      </c>
      <c r="P5" s="1721">
        <f ca="1">结果表!E42</f>
        <v>122277</v>
      </c>
      <c r="Q5" s="1721">
        <f ca="1">结果表!D42</f>
        <v>28395</v>
      </c>
      <c r="R5" s="1722">
        <f ca="1">结果表!C42</f>
        <v>233278</v>
      </c>
    </row>
    <row r="6" spans="1:18">
      <c r="A6" s="3687" t="str">
        <f>IF(项目基本情况!B9="市场价格","——","抵押价格")</f>
        <v>抵押价格</v>
      </c>
      <c r="B6" s="3688"/>
      <c r="C6" s="3688"/>
      <c r="D6" s="3688"/>
      <c r="E6" s="3688"/>
      <c r="F6" s="3688"/>
      <c r="G6" s="3688"/>
      <c r="H6" s="3688"/>
      <c r="I6" s="3688"/>
      <c r="J6" s="3688"/>
      <c r="K6" s="3688"/>
      <c r="L6" s="3688"/>
      <c r="M6" s="3688"/>
      <c r="N6" s="3688"/>
      <c r="O6" s="3688"/>
      <c r="P6" s="3688"/>
      <c r="Q6" s="3689"/>
      <c r="R6" s="1723">
        <f ca="1">结果表!O39</f>
        <v>233278</v>
      </c>
    </row>
    <row r="7" spans="1:18">
      <c r="A7" s="3687" t="str">
        <f>IF(项目基本情况!B9="市场价格","——",IF(项目基本情况!E8="已注销及未注销","抵押担保权已注销时的抵押价格","——"))</f>
        <v>——</v>
      </c>
      <c r="B7" s="3688"/>
      <c r="C7" s="3688"/>
      <c r="D7" s="3688"/>
      <c r="E7" s="3688"/>
      <c r="F7" s="3688"/>
      <c r="G7" s="3688"/>
      <c r="H7" s="3688"/>
      <c r="I7" s="3688"/>
      <c r="J7" s="3688"/>
      <c r="K7" s="3688"/>
      <c r="L7" s="3688"/>
      <c r="M7" s="3688"/>
      <c r="N7" s="3688"/>
      <c r="O7" s="3688"/>
      <c r="P7" s="3688"/>
      <c r="Q7" s="3689"/>
      <c r="R7" s="1723" t="str">
        <f>结果表!O40</f>
        <v>——</v>
      </c>
    </row>
    <row r="8" spans="1:18">
      <c r="A8" s="3687" t="str">
        <f>IF(项目基本情况!B9="市场价格","——",项目基本情况!E9)</f>
        <v>抵押净值</v>
      </c>
      <c r="B8" s="3688"/>
      <c r="C8" s="3688"/>
      <c r="D8" s="3688"/>
      <c r="E8" s="3688"/>
      <c r="F8" s="3688"/>
      <c r="G8" s="3688"/>
      <c r="H8" s="3688"/>
      <c r="I8" s="3688"/>
      <c r="J8" s="3688"/>
      <c r="K8" s="3688"/>
      <c r="L8" s="3688"/>
      <c r="M8" s="3688"/>
      <c r="N8" s="3688"/>
      <c r="O8" s="3688"/>
      <c r="P8" s="3688"/>
      <c r="Q8" s="3689"/>
      <c r="R8" s="1723">
        <f ca="1">结果表!O41</f>
        <v>220942</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695" t="s">
        <v>2030</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8" t="s">
        <v>2031</v>
      </c>
      <c r="B5" s="3698"/>
      <c r="C5" s="3698"/>
      <c r="D5" s="3698"/>
    </row>
    <row r="6" spans="1:4">
      <c r="A6" s="3695" t="s">
        <v>2009</v>
      </c>
      <c r="B6" s="3695"/>
      <c r="C6" s="3695"/>
      <c r="D6" s="3695"/>
    </row>
    <row r="7" spans="1:4" ht="33" customHeight="1">
      <c r="A7" s="3695" t="s">
        <v>2531</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5"/>
      <c r="C8" s="3695"/>
      <c r="D8" s="3695"/>
    </row>
    <row r="9" spans="1:4" ht="33.75" customHeight="1">
      <c r="A9" s="36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5"/>
      <c r="C9" s="3695"/>
      <c r="D9" s="3695"/>
    </row>
    <row r="10" spans="1:4">
      <c r="A10" s="3695" t="str">
        <f>IF(项目基本情况!B8="抵押","4.估价师所知悉的法定优先受偿款情况为：","——")</f>
        <v>4.估价师所知悉的法定优先受偿款情况为：</v>
      </c>
      <c r="B10" s="3695"/>
      <c r="C10" s="3695"/>
      <c r="D10" s="3695"/>
    </row>
    <row r="11" spans="1:4" ht="37.5" customHeight="1">
      <c r="A11" s="3697" t="str">
        <f>IF(项目基本情况!B8="抵押","（1）"&amp;CONCATENATE(项目基本情况!L24,项目基本情况!L25,项目基本情况!L26),"——")</f>
        <v>（1）根据估价对象《不动产权证书》原件、《国有土地使用权》复印件，截至估价期日，估价对象抵押权未见登记。</v>
      </c>
      <c r="B11" s="3697"/>
      <c r="C11" s="3697"/>
      <c r="D11" s="3697"/>
    </row>
    <row r="12" spans="1:4" ht="168" customHeight="1">
      <c r="A12" s="3698" t="s">
        <v>2033</v>
      </c>
      <c r="B12" s="3698"/>
      <c r="C12" s="3698"/>
      <c r="D12" s="3698"/>
    </row>
    <row r="13" spans="1:4">
      <c r="A13" s="3696" t="s">
        <v>2702</v>
      </c>
      <c r="B13" s="3696"/>
      <c r="C13" s="3696"/>
      <c r="D13" s="3696"/>
    </row>
    <row r="14" spans="1:4">
      <c r="A14" s="3697" t="str">
        <f>IF(项目基本情况!B8="抵押","综上，"&amp;结果表!K47,"——")</f>
        <v>综上，本次评估不存在估价师知悉的法定优先受偿款</v>
      </c>
      <c r="B14" s="3697"/>
      <c r="C14" s="3697"/>
      <c r="D14" s="3697"/>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2658</v>
      </c>
      <c r="B17" s="3695"/>
      <c r="C17" s="3695"/>
      <c r="D17" s="3695"/>
    </row>
    <row r="18" spans="1:4">
      <c r="A18" s="3695" t="s">
        <v>2650</v>
      </c>
      <c r="B18" s="3695"/>
      <c r="C18" s="3695"/>
      <c r="D18" s="3695"/>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695" t="s">
        <v>2655</v>
      </c>
      <c r="B23" s="3695"/>
      <c r="C23" s="3695"/>
      <c r="D23" s="3695"/>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707" t="s">
        <v>52</v>
      </c>
      <c r="B15" s="3708" t="s">
        <v>815</v>
      </c>
      <c r="C15" s="3704"/>
    </row>
    <row r="16" spans="1:7" ht="14.25">
      <c r="A16" s="3707"/>
      <c r="B16" s="3705" t="s">
        <v>53</v>
      </c>
      <c r="C16" s="1152" t="s">
        <v>52</v>
      </c>
    </row>
    <row r="17" spans="1:3" ht="14.25">
      <c r="A17" s="3707"/>
      <c r="B17" s="3705"/>
      <c r="C17" s="1152" t="s">
        <v>54</v>
      </c>
    </row>
    <row r="18" spans="1:3" ht="14.25">
      <c r="A18" s="3707"/>
      <c r="B18" s="3705"/>
      <c r="C18" s="1152" t="s">
        <v>55</v>
      </c>
    </row>
    <row r="19" spans="1:3" ht="14.25">
      <c r="A19" s="3707"/>
      <c r="B19" s="3703" t="s">
        <v>56</v>
      </c>
      <c r="C19" s="3704"/>
    </row>
    <row r="20" spans="1:3" ht="14.25">
      <c r="A20" s="1153" t="s">
        <v>57</v>
      </c>
      <c r="B20" s="1154"/>
      <c r="C20" s="1155"/>
    </row>
    <row r="21" spans="1:3" ht="14.25">
      <c r="A21" s="3706" t="s">
        <v>58</v>
      </c>
      <c r="B21" s="3703" t="s">
        <v>59</v>
      </c>
      <c r="C21" s="3704"/>
    </row>
    <row r="22" spans="1:3" ht="14.25">
      <c r="A22" s="3706"/>
      <c r="B22" s="3703" t="s">
        <v>60</v>
      </c>
      <c r="C22" s="3704"/>
    </row>
    <row r="23" spans="1:3" ht="14.25">
      <c r="A23" s="3706"/>
      <c r="B23" s="3703" t="s">
        <v>61</v>
      </c>
      <c r="C23" s="3704"/>
    </row>
    <row r="24" spans="1:3" ht="14.25">
      <c r="A24" s="3706"/>
      <c r="B24" s="3709" t="s">
        <v>62</v>
      </c>
      <c r="C24" s="1156" t="s">
        <v>806</v>
      </c>
    </row>
    <row r="25" spans="1:3" ht="14.25">
      <c r="A25" s="3706"/>
      <c r="B25" s="3710"/>
      <c r="C25" s="1156" t="s">
        <v>807</v>
      </c>
    </row>
    <row r="26" spans="1:3" ht="14.25">
      <c r="A26" s="3706"/>
      <c r="B26" s="3710"/>
      <c r="C26" s="1156" t="s">
        <v>808</v>
      </c>
    </row>
    <row r="27" spans="1:3" ht="14.25">
      <c r="A27" s="3706"/>
      <c r="B27" s="3710"/>
      <c r="C27" s="1156" t="s">
        <v>809</v>
      </c>
    </row>
    <row r="28" spans="1:3" ht="14.25">
      <c r="A28" s="3706"/>
      <c r="B28" s="3710"/>
      <c r="C28" s="1156" t="s">
        <v>810</v>
      </c>
    </row>
    <row r="29" spans="1:3" ht="14.25">
      <c r="A29" s="3706"/>
      <c r="B29" s="3710"/>
      <c r="C29" s="1156" t="s">
        <v>811</v>
      </c>
    </row>
    <row r="30" spans="1:3" ht="14.25">
      <c r="A30" s="3706"/>
      <c r="B30" s="3710"/>
      <c r="C30" s="1156" t="s">
        <v>812</v>
      </c>
    </row>
    <row r="31" spans="1:3" ht="14.25">
      <c r="A31" s="3706"/>
      <c r="B31" s="3710"/>
      <c r="C31" s="1156" t="s">
        <v>813</v>
      </c>
    </row>
    <row r="32" spans="1:3" ht="14.25">
      <c r="A32" s="3706"/>
      <c r="B32" s="3710"/>
      <c r="C32" s="1156" t="s">
        <v>1614</v>
      </c>
    </row>
    <row r="33" spans="1:3" ht="14.25">
      <c r="A33" s="3706"/>
      <c r="B33" s="3700" t="s">
        <v>1620</v>
      </c>
      <c r="C33" s="1156" t="s">
        <v>1615</v>
      </c>
    </row>
    <row r="34" spans="1:3" ht="14.25">
      <c r="A34" s="3706"/>
      <c r="B34" s="3701"/>
      <c r="C34" s="1161" t="s">
        <v>1616</v>
      </c>
    </row>
    <row r="35" spans="1:3" ht="14.25">
      <c r="A35" s="3706"/>
      <c r="B35" s="3701"/>
      <c r="C35" s="1162" t="s">
        <v>1617</v>
      </c>
    </row>
    <row r="36" spans="1:3" ht="14.25">
      <c r="A36" s="3706"/>
      <c r="B36" s="3701"/>
      <c r="C36" s="1162" t="s">
        <v>1618</v>
      </c>
    </row>
    <row r="37" spans="1:3" ht="14.25">
      <c r="A37" s="3706"/>
      <c r="B37" s="3702"/>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44942</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t="str">
        <f ca="1">IF(C4&lt;B2,"已过期",1119970066)</f>
        <v>已过期</v>
      </c>
      <c r="C4" s="3025">
        <v>44876</v>
      </c>
      <c r="D4" s="3033" t="s">
        <v>1881</v>
      </c>
      <c r="E4" s="3022">
        <f ca="1">IF(F4&lt;B2,"已过期",96010014)</f>
        <v>96010014</v>
      </c>
      <c r="F4" s="3024">
        <v>47118</v>
      </c>
      <c r="G4" s="3017"/>
    </row>
    <row r="5" spans="1:7" ht="20.25" customHeight="1">
      <c r="A5" s="3022" t="s">
        <v>1882</v>
      </c>
      <c r="B5" s="3022" t="str">
        <f ca="1">IF(C5&lt;B2,"已过期",1119970111)</f>
        <v>已过期</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t="str">
        <f ca="1">IF(C7&lt;B2,"已过期",1120000080)</f>
        <v>已过期</v>
      </c>
      <c r="C7" s="3025">
        <v>44876</v>
      </c>
      <c r="D7" s="3033" t="s">
        <v>1884</v>
      </c>
      <c r="E7" s="3022">
        <f ca="1">IF(F7&lt;B2,"已过期",2000110082)</f>
        <v>2000110082</v>
      </c>
      <c r="F7" s="3024">
        <v>46387</v>
      </c>
      <c r="G7" s="3017"/>
    </row>
    <row r="8" spans="1:7" ht="20.25" customHeight="1">
      <c r="A8" s="3022" t="s">
        <v>1885</v>
      </c>
      <c r="B8" s="3022" t="str">
        <f ca="1">IF(C8&lt;B2,"已过期",1419970001)</f>
        <v>已过期</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t="str">
        <f ca="1">IF(C10&lt;B2,"已过期",1120100036)</f>
        <v>已过期</v>
      </c>
      <c r="C10" s="3025">
        <v>44675</v>
      </c>
      <c r="D10" s="3033" t="s">
        <v>1887</v>
      </c>
      <c r="E10" s="3022">
        <f ca="1">IF(F10&lt;B2,"已过期",2010110070)</f>
        <v>2010110070</v>
      </c>
      <c r="F10" s="3024">
        <v>47907</v>
      </c>
      <c r="G10" s="3017"/>
    </row>
    <row r="11" spans="1:7" ht="20.25" customHeight="1">
      <c r="A11" s="3022" t="s">
        <v>1888</v>
      </c>
      <c r="B11" s="3022" t="str">
        <f ca="1">IF(C11&lt;B2,"已过期",1120070131)</f>
        <v>已过期</v>
      </c>
      <c r="C11" s="3025">
        <v>44849</v>
      </c>
      <c r="D11" s="3033" t="s">
        <v>1888</v>
      </c>
      <c r="E11" s="3022">
        <f ca="1">IF(F11&lt;B2,"已过期",2014110011)</f>
        <v>2014110011</v>
      </c>
      <c r="F11" s="3024">
        <v>49302</v>
      </c>
      <c r="G11" s="3017"/>
    </row>
    <row r="12" spans="1:7" ht="20.25" customHeight="1">
      <c r="A12" s="3022" t="s">
        <v>2919</v>
      </c>
      <c r="B12" s="3022" t="str">
        <f ca="1">IF(C12&lt;B2,"已过期",1120040230)</f>
        <v>已过期</v>
      </c>
      <c r="C12" s="3025">
        <v>44864</v>
      </c>
      <c r="D12" s="3033" t="s">
        <v>2920</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2934</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714" t="s">
        <v>1891</v>
      </c>
      <c r="B17" s="3715"/>
      <c r="C17" s="3715"/>
      <c r="D17" s="3715"/>
      <c r="E17" s="3715"/>
      <c r="F17" s="3715"/>
      <c r="G17" s="3026"/>
    </row>
    <row r="18" spans="1:7" ht="20.25" customHeight="1">
      <c r="A18" s="3711" t="s">
        <v>1892</v>
      </c>
      <c r="B18" s="3711"/>
      <c r="C18" s="3712"/>
      <c r="D18" s="3713" t="s">
        <v>1893</v>
      </c>
      <c r="E18" s="3711"/>
      <c r="F18" s="3711"/>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2933</v>
      </c>
      <c r="F21" s="3030">
        <v>44012</v>
      </c>
      <c r="G21" s="3018"/>
    </row>
    <row r="22" spans="1:7" ht="20.25" customHeight="1">
      <c r="A22" s="3017"/>
      <c r="B22" s="3017"/>
      <c r="C22" s="3031"/>
      <c r="D22" s="3039"/>
      <c r="E22" s="3040"/>
      <c r="F22" s="3032" t="s">
        <v>2947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9" sqref="A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3175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3231</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3298</v>
      </c>
      <c r="B7" s="8" t="s">
        <v>99</v>
      </c>
      <c r="C7" s="1485" t="s">
        <v>1681</v>
      </c>
      <c r="F7" s="9" t="s">
        <v>132</v>
      </c>
      <c r="H7" s="9" t="s">
        <v>100</v>
      </c>
      <c r="I7" s="9" t="s">
        <v>101</v>
      </c>
    </row>
    <row r="8" spans="1:23">
      <c r="A8" s="2784" t="s">
        <v>3446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329" t="s">
        <v>3303</v>
      </c>
      <c r="C16" s="1488"/>
    </row>
    <row r="17" spans="1:3">
      <c r="A17" s="8"/>
      <c r="B17" s="8" t="s">
        <v>1650</v>
      </c>
      <c r="C17" s="1488"/>
    </row>
    <row r="18" spans="1:3">
      <c r="A18" s="8"/>
      <c r="B18" s="2784" t="s">
        <v>2895</v>
      </c>
      <c r="C18" s="1488"/>
    </row>
    <row r="19" spans="1:3">
      <c r="A19" s="8"/>
      <c r="B19" s="2784" t="s">
        <v>2902</v>
      </c>
      <c r="C19" s="1488"/>
    </row>
    <row r="20" spans="1:3">
      <c r="A20" s="8"/>
      <c r="B20" s="2784" t="s">
        <v>2948</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716"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716"/>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16"/>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16"/>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16"/>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不动产比较法-仓储2</vt:lpstr>
      <vt:lpstr>不动产比较法-车位2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'不动产比较法-仓储2'!Print_Area</vt:lpstr>
      <vt:lpstr>'不动产比较法-车位'!Print_Area</vt:lpstr>
      <vt:lpstr>'不动产比较法-车位2'!Print_Area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2023-01-16T07:13:24Z</dcterms:modified>
</cp:coreProperties>
</file>