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80" windowHeight="9264"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<sst xmlns="http://schemas.openxmlformats.org/spreadsheetml/2006/main" count="7724" uniqueCount="2652">
  <si>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</si>
  <si>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</si>
  <si>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</si>
  <si>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</si>
  <si>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</si>
  <si>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</si>
  <si>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</si>
  <si>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</si>
  <si>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</si>
  <si>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</si>
  <si>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</si>
  <si>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</si>
  <si>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</si>
  <si>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</si>
  <si>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</si>
  <si>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</si>
  <si>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</si>
  <si>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</si>
  <si>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</si>
  <si>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</si>
  <si>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</si>
  <si>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</si>
  <si>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</si>
  <si>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</si>
  <si>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</si>
  <si>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</si>
  <si>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</si>
  <si>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</si>
  <si>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</si>
  <si>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</si>
  <si>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</si>
  <si>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</si>
  <si>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</si>
  <si>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</si>
  <si>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</si>
  <si>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</si>
  <si>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</si>
  <si>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</si>
  <si>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</si>
  <si>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</si>
  <si>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</si>
  <si>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</si>
  <si>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</si>
  <si>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</si>
  <si>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</si>
  <si>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</si>
  <si>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</si>
  <si>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</si>
  <si>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</si>
  <si>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</si>
  <si>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</si>
  <si>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</si>
  <si>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</si>
  <si>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</si>
  <si>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</si>
  <si>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</si>
  <si>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</si>
  <si>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</si>
  <si>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</si>
  <si>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</si>
  <si>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</si>
  <si>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</si>
  <si>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</si>
  <si>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</si>
  <si>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</si>
  <si>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</si>
  <si>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</si>
  <si>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</si>
  <si>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</si>
  <si>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</si>
  <si>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</si>
  <si>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</si>
  <si>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</si>
  <si>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</si>
  <si>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</si>
  <si>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</si>
  <si>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</si>
  <si>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</si>
  <si>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</si>
  <si>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</si>
  <si>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</si>
  <si>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</si>
  <si>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</si>
  <si>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</si>
  <si>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</si>
  <si>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</si>
  <si>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</si>
  <si>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</si>
  <si>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</si>
  <si>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</si>
  <si>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</si>
  <si>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</si>
  <si>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</si>
  <si>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</si>
  <si>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</si>
  <si>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</si>
  <si>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</si>
  <si>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</si>
  <si>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</si>
  <si>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</si>
  <si>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</si>
  <si>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</si>
  <si>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</si>
  <si>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</si>
  <si>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</si>
  <si>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</si>
  <si>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</si>
  <si>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</si>
  <si>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</si>
  <si>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</si>
  <si>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</si>
  <si>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</si>
  <si>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</si>
  <si>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</si>
  <si>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</si>
  <si>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</si>
  <si>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</si>
  <si>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</si>
  <si>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</si>
  <si>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</si>
  <si>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</si>
  <si>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</si>
  <si>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</si>
  <si>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</si>
  <si>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</si>
  <si>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</si>
  <si>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</si>
  <si>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</si>
  <si>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</si>
  <si>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</si>
  <si>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</si>
  <si>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</si>
  <si>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</si>
  <si>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</si>
  <si>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</si>
  <si>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</si>
  <si>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</si>
  <si>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</si>
  <si>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</si>
  <si>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</si>
  <si>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</si>
  <si>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</si>
  <si>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</si>
  <si>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</si>
  <si>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</si>
  <si>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</si>
  <si>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</si>
  <si>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</si>
  <si>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</si>
  <si>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</si>
  <si>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</si>
  <si>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</si>
  <si>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</si>
  <si>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</si>
  <si>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</si>
  <si>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</si>
  <si>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</si>
  <si>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</si>
  <si>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</si>
  <si>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</si>
  <si>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</si>
  <si>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</si>
  <si>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</si>
  <si>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</si>
  <si>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</si>
  <si>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</si>
  <si>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</si>
  <si>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</si>
  <si>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</si>
  <si>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</si>
  <si>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</si>
  <si>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</si>
  <si>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</si>
  <si>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</si>
  <si>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</si>
  <si>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</si>
  <si>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</si>
  <si>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</si>
  <si>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</si>
  <si>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</si>
  <si>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</si>
  <si>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</si>
  <si>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</si>
  <si>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</si>
  <si>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</si>
  <si>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</si>
  <si>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</si>
  <si>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</si>
  <si>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</si>
  <si>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</si>
  <si>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</si>
  <si>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</si>
  <si>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</si>
  <si>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</si>
  <si>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</si>
  <si>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</si>
  <si>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</si>
  <si>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</si>
  <si>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</si>
  <si>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</si>
  <si>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</si>
  <si>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</si>
  <si>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</si>
  <si>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</si>
  <si>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</si>
  <si>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</si>
  <si>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</si>
  <si>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</si>
  <si>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</si>
  <si>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</si>
  <si>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</si>
  <si>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</si>
  <si>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</si>
  <si>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</si>
  <si>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</si>
  <si>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</si>
  <si>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</si>
  <si>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</si>
  <si>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</si>
  <si>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</si>
  <si>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</si>
  <si>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</si>
  <si>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</si>
  <si>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</si>
  <si>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</si>
  <si>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</si>
  <si>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</si>
  <si>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</si>
  <si>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</si>
  <si>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</si>
  <si>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</si>
  <si>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</si>
  <si>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</si>
  <si>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</si>
  <si>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</si>
  <si>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</si>
  <si>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</si>
  <si>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</si>
  <si>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</si>
  <si>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</si>
  <si>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</si>
  <si>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</si>
  <si>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</si>
  <si>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</si>
  <si>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</si>
  <si>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</si>
  <si>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</si>
  <si>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</si>
  <si>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</si>
  <si>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</si>
  <si>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</si>
  <si>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</si>
  <si>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</si>
  <si>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</si>
  <si>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</si>
  <si>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</si>
  <si>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</si>
  <si>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</si>
  <si>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</si>
  <si>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</si>
  <si>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</si>
  <si>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</si>
  <si>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</si>
  <si>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</si>
  <si>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</si>
  <si>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</si>
  <si>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</si>
  <si>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</si>
  <si>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</si>
  <si>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</si>
  <si>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</si>
  <si>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</si>
  <si>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</si>
  <si>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</si>
  <si>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</si>
  <si>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</si>
  <si>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</si>
  <si>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</si>
  <si>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</si>
  <si>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</si>
  <si>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</si>
  <si>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</si>
  <si>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</si>
  <si>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</si>
  <si>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</si>
  <si>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</si>
  <si>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</si>
  <si>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</si>
  <si>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</si>
  <si>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</si>
  <si>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</si>
  <si>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</si>
  <si>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</si>
  <si>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</si>
  <si>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</si>
  <si>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</si>
  <si>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</si>
  <si>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</si>
  <si>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</si>
  <si>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</si>
  <si>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</si>
  <si>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</si>
  <si>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</si>
  <si>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</si>
  <si>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</si>
  <si>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</si>
  <si>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</si>
  <si>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</si>
  <si>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</si>
  <si>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</si>
  <si>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</si>
  <si>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</si>
  <si>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</si>
  <si>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</si>
  <si>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</si>
  <si>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</si>
  <si>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</si>
  <si>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</si>
  <si>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</si>
  <si>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</si>
  <si>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</si>
  <si>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</si>
  <si>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</si>
  <si>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</si>
  <si>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</si>
  <si>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</si>
  <si>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</si>
  <si>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</si>
  <si>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</si>
  <si>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</si>
  <si>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</si>
  <si>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</si>
  <si>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</si>
  <si>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</si>
  <si>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</si>
  <si>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</si>
  <si>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</si>
  <si>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</si>
  <si>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</si>
  <si>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</si>
  <si>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</si>
  <si>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</si>
  <si>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</si>
  <si>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</si>
  <si>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</si>
  <si>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</si>
  <si>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</si>
  <si>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</si>
  <si>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</si>
  <si>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</si>
  <si>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</si>
  <si>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</si>
  <si>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</si>
  <si>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</si>
  <si>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</si>
  <si>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</si>
  <si>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</si>
  <si>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</si>
  <si>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</si>
  <si>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</si>
  <si>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</si>
  <si>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</si>
  <si>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</si>
  <si>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</si>
  <si>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</si>
  <si>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</si>
  <si>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</si>
  <si>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</si>
  <si>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</si>
  <si>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</si>
  <si>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</si>
  <si>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</si>
  <si>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</si>
  <si>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</si>
  <si>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</si>
  <si>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</si>
  <si>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</si>
  <si>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</si>
  <si>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</si>
  <si>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</si>
  <si>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</si>
  <si>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</si>
  <si>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</si>
  <si>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</si>
  <si>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</si>
  <si>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</si>
  <si>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</si>
  <si>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</si>
  <si>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</si>
  <si>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</si>
  <si>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</si>
  <si>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</si>
  <si>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</si>
  <si>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</si>
  <si>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</si>
  <si>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</si>
  <si>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</si>
  <si>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</si>
  <si>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</si>
  <si>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</si>
  <si>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</si>
  <si>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</si>
  <si>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</si>
  <si>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</si>
  <si>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</si>
  <si>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</si>
  <si>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</si>
  <si>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</si>
  <si>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</si>
  <si>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</si>
  <si>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</si>
  <si>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</si>
  <si>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</si>
  <si>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</si>
  <si>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</si>
  <si>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</si>
  <si>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</si>
  <si>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</si>
  <si>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</si>
  <si>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</si>
  <si>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</si>
  <si>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</si>
  <si>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</si>
  <si>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</si>
  <si>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</si>
  <si>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</si>
  <si>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</si>
  <si>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</si>
  <si>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</si>
  <si>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</si>
  <si>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</si>
  <si>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</si>
  <si>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</si>
  <si>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</si>
  <si>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</si>
  <si>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</si>
  <si>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</si>
  <si>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</si>
  <si>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</si>
  <si>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</si>
  <si>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</si>
  <si>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</si>
  <si>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</si>
  <si>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</si>
  <si>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</si>
  <si>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</si>
  <si>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</si>
  <si>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</si>
  <si>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</si>
  <si>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</si>
  <si>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</si>
  <si>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</si>
  <si>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</si>
  <si>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</si>
  <si>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</si>
  <si>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</si>
  <si>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</si>
  <si>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</si>
  <si>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</si>
  <si>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</si>
  <si>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</si>
  <si>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</si>
  <si>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</si>
  <si>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</si>
  <si>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</si>
  <si>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</si>
  <si>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</si>
  <si>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</si>
  <si>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</si>
  <si>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</si>
  <si>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</si>
  <si>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</si>
  <si>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</si>
  <si>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</si>
  <si>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</si>
  <si>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</si>
  <si>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</si>
  <si>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</si>
  <si>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</si>
  <si>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</si>
  <si>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</si>
  <si>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</si>
  <si>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</si>
  <si>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</si>
  <si>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</si>
  <si>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</si>
  <si>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</si>
  <si>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</si>
  <si>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</si>
  <si>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</si>
  <si>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</si>
  <si>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</si>
  <si>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</si>
  <si>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</si>
  <si>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</si>
  <si>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</si>
  <si>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</si>
  <si>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</si>
  <si>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</si>
  <si>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</si>
  <si>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</si>
  <si>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</si>
  <si>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</si>
  <si>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</si>
  <si>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</si>
  <si>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</si>
  <si>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</si>
  <si>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</si>
  <si>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</si>
  <si>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</si>
  <si>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</si>
  <si>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</si>
  <si>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</si>
  <si>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</si>
  <si>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</si>
  <si>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</si>
  <si>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</si>
  <si>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</si>
  <si>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</si>
  <si>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</si>
  <si>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</si>
  <si>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</si>
  <si>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</si>
  <si>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</si>
  <si>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</si>
  <si>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</si>
  <si>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</si>
  <si>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</si>
  <si>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</si>
  <si>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</si>
  <si>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</si>
  <si>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</si>
  <si>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</si>
  <si>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</si>
  <si>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</si>
  <si>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</si>
  <si>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</si>
  <si>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</si>
  <si>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</si>
  <si>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</si>
  <si>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</si>
  <si>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</si>
  <si>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</si>
  <si>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</si>
  <si>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</si>
  <si>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</si>
  <si>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</si>
  <si>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</si>
  <si>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</si>
  <si>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</si>
  <si>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</si>
  <si>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</si>
  <si>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</si>
  <si>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</si>
  <si>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</si>
  <si>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</si>
  <si>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</si>
  <si>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</si>
  <si>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</si>
  <si>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</si>
  <si>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</si>
  <si>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</si>
  <si>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</si>
  <si>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</si>
  <si>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</si>
  <si>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</si>
  <si>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</si>
  <si>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</si>
  <si>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</si>
  <si>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</si>
  <si>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</si>
  <si>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</si>
  <si>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</si>
  <si>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</si>
  <si>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</si>
  <si>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</si>
  <si>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</si>
  <si>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</si>
  <si>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</si>
  <si>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</si>
  <si>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</si>
  <si>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</si>
  <si>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</si>
  <si>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</si>
  <si>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</si>
  <si>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</si>
  <si>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</si>
  <si>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</si>
  <si>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</si>
  <si>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</si>
  <si>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</si>
  <si>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</si>
  <si>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</si>
  <si>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</si>
  <si>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</si>
  <si>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</si>
  <si>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</si>
  <si>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</si>
  <si>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</si>
  <si>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</si>
  <si>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</si>
  <si>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</si>
  <si>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</si>
  <si>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</si>
  <si>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</si>
  <si>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</si>
  <si>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</si>
  <si>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</si>
  <si>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</si>
  <si>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</si>
  <si>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</si>
  <si>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</si>
  <si>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</si>
  <si>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</si>
  <si>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</si>
  <si>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</si>
  <si>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</si>
  <si>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</si>
  <si>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</si>
  <si>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</si>
  <si>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</si>
  <si>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</si>
  <si>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</si>
  <si>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</si>
  <si>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</si>
  <si>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</si>
  <si>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</si>
  <si>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</si>
  <si>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</si>
  <si>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</si>
  <si>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</si>
  <si>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</si>
  <si>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</si>
  <si>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</si>
  <si>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</si>
  <si>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</si>
  <si>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</si>
  <si>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</si>
  <si>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</si>
  <si>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</si>
  <si>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</si>
  <si>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</si>
  <si>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</si>
  <si>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</si>
  <si>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</si>
  <si>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</si>
  <si>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</si>
  <si>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</si>
  <si>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</si>
  <si>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</si>
  <si>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</si>
  <si>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</si>
  <si>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</si>
  <si>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</si>
  <si>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</si>
  <si>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</si>
  <si>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</si>
  <si>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</si>
  <si>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</si>
  <si>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</si>
  <si>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</si>
  <si>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</si>
  <si>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</si>
  <si>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</si>
  <si>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</si>
  <si>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</si>
  <si>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</si>
  <si>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</si>
  <si>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</si>
  <si>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</si>
  <si>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</si>
  <si>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</si>
  <si>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</si>
  <si>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</si>
  <si>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</si>
  <si>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</si>
  <si>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</si>
  <si>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</si>
  <si>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</si>
  <si>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</si>
  <si>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</si>
  <si>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</si>
  <si>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</si>
  <si>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</si>
  <si>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</si>
  <si>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</si>
  <si>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</si>
  <si>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</si>
  <si>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</si>
  <si>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</si>
  <si>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</si>
  <si>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</si>
  <si>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</si>
  <si>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</si>
  <si>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</si>
  <si>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</si>
  <si>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</si>
  <si>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</si>
  <si>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</si>
  <si>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</si>
  <si>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</si>
  <si>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</si>
  <si>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</si>
  <si>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</si>
  <si>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</si>
  <si>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</si>
  <si>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</si>
  <si>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</si>
  <si>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</si>
  <si>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</si>
  <si>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</si>
  <si>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</si>
  <si>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</si>
  <si>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</si>
  <si>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</si>
  <si>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</si>
  <si>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</si>
  <si>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</si>
  <si>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</si>
  <si>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</si>
  <si>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</si>
  <si>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</si>
  <si>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</si>
  <si>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</si>
  <si>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</si>
  <si>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</si>
  <si>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</si>
  <si>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</si>
  <si>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</si>
  <si>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</si>
  <si>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</si>
  <si>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</si>
  <si>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</si>
  <si>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</si>
  <si>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</si>
  <si>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</si>
  <si>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</si>
  <si>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</si>
  <si>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</si>
  <si>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</si>
  <si>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</si>
  <si>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</si>
  <si>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</si>
  <si>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</si>
  <si>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</si>
  <si>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</si>
  <si>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</si>
  <si>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</si>
  <si>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</si>
  <si>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</si>
  <si>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</si>
  <si>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</si>
  <si>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</si>
  <si>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</si>
  <si>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</si>
  <si>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</si>
  <si>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</si>
  <si>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</si>
  <si>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</si>
  <si>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</si>
  <si>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</si>
  <si>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</si>
  <si>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</si>
  <si>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</si>
  <si>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</si>
  <si>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</si>
  <si>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</si>
  <si>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</si>
  <si>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</si>
  <si>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</si>
  <si>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</si>
  <si>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</si>
  <si>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</si>
  <si>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</si>
  <si>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</si>
  <si>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</si>
  <si>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</si>
  <si>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</si>
  <si>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</si>
  <si>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</si>
  <si>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</si>
  <si>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</si>
  <si>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</si>
  <si>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</si>
  <si>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</si>
  <si>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</si>
  <si>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</si>
  <si>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</si>
  <si>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</si>
  <si>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</si>
  <si>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</si>
  <si>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</si>
  <si>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</si>
  <si>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</si>
  <si>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</si>
  <si>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</si>
  <si>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</si>
  <si>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</si>
  <si>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</si>
  <si>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</si>
  <si>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</si>
  <si>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</si>
  <si>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</si>
  <si>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</si>
  <si>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</si>
  <si>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</si>
  <si>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</si>
  <si>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</si>
  <si>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</si>
  <si>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</si>
  <si>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</si>
  <si>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</si>
  <si>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</si>
  <si>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</si>
  <si>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</si>
  <si>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</si>
  <si>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</si>
  <si>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</si>
  <si>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</si>
  <si>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</si>
  <si>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</si>
  <si>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</si>
  <si>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</si>
  <si>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</si>
  <si>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</si>
  <si>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</si>
  <si>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</si>
  <si>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</si>
  <si>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</si>
  <si>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</si>
  <si>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</si>
  <si>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</si>
  <si>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</si>
  <si>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</si>
  <si>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</si>
  <si>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</si>
  <si>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</si>
  <si>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</si>
  <si>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</si>
  <si>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</si>
  <si>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</si>
  <si>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</si>
  <si>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</si>
  <si>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</si>
  <si>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</si>
  <si>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</si>
  <si>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</si>
  <si>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</si>
  <si>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</si>
  <si>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</si>
  <si>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</si>
  <si>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</si>
  <si>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</si>
  <si>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</si>
  <si>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</si>
  <si>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</si>
  <si>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</si>
  <si>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</si>
  <si>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</si>
  <si>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</si>
  <si>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</si>
  <si>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</si>
  <si>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</si>
  <si>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</si>
  <si>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</si>
  <si>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</si>
  <si>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</si>
  <si>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</si>
  <si>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</si>
  <si>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</si>
  <si>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</si>
  <si>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</si>
  <si>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</si>
  <si>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</si>
  <si>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</si>
  <si>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</si>
  <si>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</si>
  <si>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</si>
  <si>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</si>
  <si>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</si>
  <si>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</si>
  <si>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</si>
  <si>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</si>
  <si>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</si>
  <si>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</si>
  <si>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</si>
  <si>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</si>
  <si>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</si>
  <si>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</si>
  <si>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</si>
  <si>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</si>
  <si>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</si>
  <si>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</si>
  <si>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</si>
  <si>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</si>
  <si>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</si>
  <si>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</si>
  <si>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</si>
  <si>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</si>
  <si>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</si>
  <si>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</si>
  <si>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</si>
  <si>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</si>
  <si>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</si>
  <si>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</si>
  <si>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</si>
  <si>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</si>
  <si>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</si>
  <si>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</si>
  <si>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</si>
  <si>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</si>
  <si>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</si>
  <si>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</si>
  <si>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</si>
  <si>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</si>
  <si>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</si>
  <si>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</si>
  <si>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</si>
  <si>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</si>
  <si>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</si>
  <si>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</si>
  <si>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</si>
  <si>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</si>
  <si>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</si>
  <si>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</si>
  <si>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</si>
  <si>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</si>
  <si>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</si>
  <si>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</si>
  <si>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</si>
  <si>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</si>
  <si>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</si>
  <si>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</si>
  <si>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</si>
  <si>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</si>
  <si>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</si>
  <si>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</si>
  <si>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</si>
  <si>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</si>
  <si>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</si>
  <si>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</si>
  <si>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</si>
  <si>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</si>
  <si>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</si>
  <si>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</si>
  <si>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</si>
  <si>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</si>
  <si>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</si>
  <si>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</si>
  <si>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</si>
  <si>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</si>
  <si>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</si>
  <si>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</si>
  <si>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</si>
  <si>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</si>
  <si>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</si>
  <si>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</si>
  <si>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</si>
  <si>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</si>
  <si>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</si>
  <si>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</si>
  <si>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</si>
  <si>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</si>
  <si>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</si>
  <si>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</si>
  <si>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</si>
  <si>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</si>
  <si>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</si>
  <si>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</si>
  <si>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</si>
  <si>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</si>
  <si>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</si>
  <si>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</si>
  <si>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</si>
  <si>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</si>
  <si>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</si>
  <si>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</si>
  <si>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</si>
  <si>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</si>
  <si>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</si>
  <si>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</si>
  <si>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</si>
  <si>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</si>
  <si>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</si>
  <si>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</si>
  <si>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</si>
  <si>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</si>
  <si>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</si>
  <si>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</si>
  <si>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</si>
  <si>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</si>
  <si>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</si>
  <si>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</si>
  <si>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</si>
  <si>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</si>
  <si>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</si>
  <si>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</si>
  <si>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</si>
  <si>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</si>
  <si>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</si>
  <si>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</si>
  <si>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</si>
  <si>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</si>
  <si>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</si>
  <si>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</si>
  <si>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</si>
  <si>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</si>
  <si>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</si>
  <si>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</si>
  <si>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</si>
  <si>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</si>
  <si>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</si>
  <si>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</si>
  <si>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</si>
  <si>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</si>
  <si>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</si>
  <si>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</si>
  <si>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</si>
  <si>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</si>
  <si>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</si>
  <si>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</si>
  <si>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</si>
  <si>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</si>
  <si>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</si>
  <si>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</si>
  <si>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</si>
  <si>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</si>
  <si>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</si>
  <si>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</si>
  <si>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</si>
  <si>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</si>
  <si>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</si>
  <si>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</si>
  <si>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</si>
  <si>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</si>
  <si>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</si>
  <si>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</si>
  <si>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</si>
  <si>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</si>
  <si>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</si>
  <si>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</si>
  <si>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</si>
  <si>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</si>
  <si>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</si>
  <si>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</si>
  <si>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</si>
  <si>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</si>
  <si>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</si>
  <si>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</si>
  <si>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</si>
  <si>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</si>
  <si>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</si>
  <si>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</si>
  <si>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</si>
  <si>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</si>
  <si>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</si>
  <si>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</si>
  <si>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</si>
  <si>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</si>
  <si>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</si>
  <si>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</si>
  <si>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</si>
  <si>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</si>
  <si>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</si>
  <si>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</si>
  <si>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</si>
  <si>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</si>
  <si>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</si>
  <si>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</si>
  <si>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</si>
  <si>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</si>
  <si>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</si>
  <si>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</si>
  <si>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</si>
  <si>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</si>
  <si>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</si>
  <si>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</si>
  <si>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</si>
  <si>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</si>
  <si>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</si>
  <si>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</si>
  <si>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</si>
  <si>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</si>
  <si>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</si>
  <si>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</si>
  <si>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</si>
  <si>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</si>
  <si>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</si>
  <si>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</si>
  <si>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</si>
  <si>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</si>
  <si>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</si>
  <si>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</si>
  <si>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</si>
  <si>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</si>
  <si>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</si>
  <si>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</si>
  <si>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</si>
  <si>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</si>
  <si>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</si>
  <si>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</si>
  <si>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</si>
  <si>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</si>
  <si>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</si>
  <si>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</si>
  <si>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</si>
  <si>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</si>
  <si>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</si>
  <si>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</si>
  <si>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</si>
  <si>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</si>
  <si>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</si>
  <si>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</si>
  <si>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</si>
  <si>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</si>
  <si>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</si>
  <si>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</si>
  <si>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</si>
  <si>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</si>
  <si>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</si>
  <si>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</si>
  <si>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</si>
  <si>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</si>
  <si>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</si>
  <si>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</si>
  <si>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</si>
  <si>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</si>
  <si>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</si>
  <si>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</si>
  <si>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</si>
  <si>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</si>
  <si>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</si>
  <si>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</si>
  <si>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</si>
  <si>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</si>
  <si>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</si>
  <si>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</si>
  <si>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</si>
  <si>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</si>
  <si>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</si>
  <si>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</si>
  <si>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</si>
  <si>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</si>
  <si>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</si>
  <si>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</si>
  <si>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</si>
  <si>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</si>
  <si>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</si>
  <si>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</si>
  <si>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</si>
  <si>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</si>
  <si>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</si>
  <si>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</si>
  <si>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</si>
  <si>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</si>
  <si>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</si>
  <si>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</si>
  <si>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</si>
  <si>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</si>
  <si>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</si>
  <si>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</si>
  <si>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</si>
  <si>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</si>
  <si>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</si>
  <si>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</si>
  <si>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</si>
  <si>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</si>
  <si>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</si>
  <si>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</si>
  <si>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</si>
  <si>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</si>
  <si>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</si>
  <si>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</si>
  <si>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</si>
  <si>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</si>
  <si>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</si>
  <si>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</si>
  <si>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</si>
  <si>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</si>
  <si>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</si>
  <si>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</si>
  <si>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</si>
  <si>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</si>
  <si>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</si>
  <si>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</si>
  <si>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</si>
  <si>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</si>
  <si>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</si>
  <si>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</si>
  <si>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</si>
  <si>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</si>
  <si>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</si>
  <si>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</si>
  <si>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</si>
  <si>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</si>
  <si>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</si>
  <si>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</si>
  <si>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</si>
  <si>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</si>
  <si>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</si>
  <si>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</si>
  <si>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</si>
  <si>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</si>
  <si>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</si>
  <si>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</si>
  <si>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</si>
  <si>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</si>
  <si>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</si>
  <si>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</si>
  <si>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</si>
  <si>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</si>
  <si>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</si>
  <si>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</si>
  <si>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</si>
  <si>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</si>
  <si>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</si>
  <si>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</si>
  <si>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</si>
  <si>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</si>
  <si>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</si>
  <si>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</si>
  <si>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</si>
  <si>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</si>
  <si>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</si>
  <si>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</si>
  <si>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</si>
  <si>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</si>
  <si>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</si>
  <si>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</si>
  <si>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</si>
  <si>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</si>
  <si>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</si>
  <si>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</si>
  <si>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</si>
  <si>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</si>
  <si>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</si>
  <si>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</si>
  <si>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</si>
  <si>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</si>
  <si>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</si>
  <si>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</si>
  <si>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</si>
  <si>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</si>
  <si>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</si>
  <si>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</si>
  <si>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</si>
  <si>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</si>
  <si>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</si>
  <si>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</si>
  <si>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</si>
  <si>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</si>
  <si>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</si>
  <si>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</si>
  <si>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</si>
  <si>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</si>
  <si>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</si>
  <si>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</si>
  <si>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</si>
  <si>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</si>
  <si>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</si>
  <si>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</si>
  <si>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</si>
  <si>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</si>
  <si>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</si>
  <si>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</si>
  <si>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</si>
  <si>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</si>
  <si>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</si>
  <si>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</si>
  <si>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</si>
  <si>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</si>
  <si>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</si>
  <si>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</si>
  <si>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</si>
  <si>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</si>
  <si>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</si>
  <si>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</si>
  <si>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</si>
  <si>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</si>
  <si>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</si>
  <si>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</si>
  <si>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</si>
  <si>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</si>
  <si>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</si>
  <si>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</si>
  <si>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</si>
  <si>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</si>
  <si>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</si>
  <si>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</si>
  <si>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</si>
  <si>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</si>
  <si>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</si>
  <si>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</si>
  <si>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</si>
  <si>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</si>
  <si>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</si>
  <si>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</si>
  <si>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</si>
  <si>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</si>
  <si>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</si>
  <si>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</si>
  <si>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</si>
  <si>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</si>
  <si>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</si>
  <si>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</si>
  <si>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</si>
  <si>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</si>
  <si>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</si>
  <si>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</si>
  <si>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</si>
  <si>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</si>
  <si>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</si>
  <si>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</si>
  <si>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</si>
  <si>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</si>
  <si>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</si>
  <si>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</si>
  <si>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</si>
  <si>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</si>
  <si>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</si>
  <si>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</si>
  <si>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</si>
  <si>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</si>
  <si>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</si>
  <si>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</si>
  <si>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</si>
  <si>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</si>
  <si>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</si>
  <si>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</si>
  <si>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</si>
  <si>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</si>
  <si>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</si>
  <si>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</si>
  <si>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</si>
  <si>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</si>
  <si>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</si>
  <si>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</si>
  <si>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</si>
  <si>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</si>
  <si>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</si>
  <si>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</si>
  <si>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</si>
  <si>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</si>
  <si>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</si>
  <si>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</si>
  <si>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</si>
  <si>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</si>
  <si>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</si>
  <si>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</si>
  <si>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</si>
  <si>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</si>
  <si>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</si>
  <si>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</si>
  <si>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</si>
  <si>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</si>
  <si>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</si>
  <si>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</si>
  <si>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</si>
  <si>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</si>
  <si>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</si>
  <si>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</si>
  <si>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</si>
  <si>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</si>
  <si>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</si>
  <si>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</si>
  <si>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</si>
  <si>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</si>
  <si>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</si>
  <si>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</si>
  <si>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</si>
  <si>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</si>
  <si>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</si>
  <si>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</si>
  <si>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</si>
  <si>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</si>
  <si>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</si>
  <si>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</si>
  <si>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</si>
  <si>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</si>
  <si>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</si>
  <si>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</si>
  <si>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</si>
  <si>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</si>
  <si>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</si>
  <si>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</si>
  <si>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</si>
  <si>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</si>
  <si>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</si>
  <si>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</si>
  <si>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</si>
  <si>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</si>
  <si>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</si>
  <si>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</si>
  <si>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</si>
  <si>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</si>
  <si>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</si>
  <si>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</si>
  <si>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</si>
  <si>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</si>
  <si>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</si>
  <si>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</si>
  <si>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</si>
  <si>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</si>
  <si>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</si>
  <si>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</si>
  <si>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</si>
  <si>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</si>
  <si>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</si>
  <si>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</si>
  <si>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</si>
  <si>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</si>
  <si>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</si>
  <si>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</si>
  <si>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</si>
  <si>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</si>
  <si>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</si>
  <si>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</si>
  <si>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</si>
  <si>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</si>
  <si>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</si>
  <si>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</si>
  <si>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</si>
  <si>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</si>
  <si>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</si>
  <si>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</si>
  <si>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</si>
  <si>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</si>
  <si>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</si>
  <si>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</si>
  <si>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</si>
  <si>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</si>
  <si>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</si>
  <si>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</si>
  <si>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</si>
  <si>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</si>
  <si>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</si>
  <si>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</si>
  <si>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</si>
  <si>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</si>
  <si>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</si>
  <si>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</si>
  <si>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</si>
  <si>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</si>
  <si>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</si>
  <si>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</si>
  <si>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</si>
  <si>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</si>
  <si>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</si>
  <si>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</si>
  <si>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</si>
  <si>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</si>
  <si>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</si>
  <si>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</si>
  <si>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</si>
  <si>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</si>
  <si>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</si>
  <si>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</si>
  <si>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</si>
  <si>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</si>
  <si>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</si>
  <si>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</si>
  <si>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</si>
  <si>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</si>
  <si>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</si>
  <si>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</si>
  <si>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</si>
  <si>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</si>
  <si>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</si>
  <si>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</si>
  <si>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</si>
  <si>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</si>
  <si>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</si>
  <si>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</si>
  <si>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</si>
  <si>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</si>
  <si>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</si>
  <si>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</si>
  <si>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</si>
  <si>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</si>
  <si>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</si>
  <si>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</si>
  <si>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</si>
  <si>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</si>
  <si>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</si>
  <si>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</si>
  <si>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</si>
  <si>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</si>
  <si>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</si>
  <si>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</si>
  <si>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</si>
  <si>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</si>
  <si>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</si>
  <si>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</si>
  <si>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</si>
  <si>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</si>
  <si>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</si>
  <si>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</si>
  <si>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</si>
  <si>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</si>
  <si>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</si>
  <si>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</si>
  <si>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</si>
  <si>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</si>
  <si>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</si>
  <si>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</si>
  <si>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</si>
  <si>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</si>
  <si>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</si>
  <si>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</si>
  <si>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</si>
  <si>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</si>
  <si>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</si>
  <si>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</si>
  <si>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</si>
  <si>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</si>
  <si>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</si>
  <si>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</si>
  <si>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</si>
  <si>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</si>
  <si>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</si>
  <si>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</si>
  <si>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</si>
  <si>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</si>
  <si>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</si>
  <si>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</si>
  <si>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</si>
  <si>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</si>
  <si>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</si>
  <si>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</si>
  <si>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</si>
  <si>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</si>
  <si>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</si>
  <si>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</si>
  <si>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</si>
  <si>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</si>
  <si>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</si>
  <si>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</si>
  <si>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</si>
  <si>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</si>
  <si>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</si>
  <si>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</si>
  <si>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</si>
  <si>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</si>
  <si>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</si>
  <si>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</si>
  <si>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</si>
  <si>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</si>
  <si>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</si>
  <si>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</si>
  <si>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</si>
  <si>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</si>
  <si>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</si>
  <si>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</si>
  <si>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</si>
  <si>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</si>
  <si>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</si>
  <si>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</si>
  <si>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</si>
  <si>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</si>
  <si>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</si>
  <si>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</si>
  <si>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</si>
  <si>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</si>
  <si>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</si>
  <si>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</si>
  <si>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</si>
  <si>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</si>
  <si>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</si>
  <si>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</si>
  <si>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</si>
  <si>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</si>
  <si>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</si>
  <si>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</si>
  <si>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</si>
  <si>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</si>
  <si>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</si>
  <si>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</si>
  <si>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</si>
  <si>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</si>
  <si>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</si>
  <si>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</si>
  <si>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</si>
  <si>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</si>
  <si>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</si>
  <si>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</si>
  <si>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</si>
  <si>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</si>
  <si>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</si>
  <si>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</si>
  <si>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</si>
  <si>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</si>
  <si>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</si>
  <si>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</si>
  <si>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</si>
  <si>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</si>
  <si>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</si>
  <si>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</si>
  <si>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</si>
  <si>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</si>
  <si>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</si>
  <si>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</si>
  <si>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</si>
  <si>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</si>
  <si>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</si>
  <si>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</si>
  <si>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</si>
  <si>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</si>
  <si>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</si>
  <si>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</si>
  <si>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</si>
  <si>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</si>
  <si>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</si>
  <si>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</si>
  <si>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</si>
  <si>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</si>
  <si>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</si>
  <si>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</si>
  <si>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</si>
  <si>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</si>
  <si>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</si>
  <si>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</si>
  <si>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</si>
  <si>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</si>
  <si>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</si>
  <si>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</si>
  <si>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</si>
  <si>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</si>
  <si>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</si>
  <si>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</si>
  <si>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</si>
  <si>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</si>
  <si>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</si>
  <si>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</si>
  <si>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</si>
  <si>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</si>
  <si>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</si>
  <si>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</si>
  <si>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</si>
  <si>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</si>
  <si>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</si>
  <si>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</si>
  <si>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</si>
  <si>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</si>
  <si>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</si>
  <si>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</si>
  <si>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</si>
  <si>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</si>
  <si>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</si>
  <si>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</si>
  <si>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</si>
  <si>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</si>
  <si>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</si>
  <si>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</si>
  <si>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</si>
  <si>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</si>
  <si>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</si>
  <si>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</si>
  <si>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</si>
  <si>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</si>
  <si>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</si>
  <si>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</si>
  <si>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</si>
  <si>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</si>
  <si>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</si>
  <si>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</si>
  <si>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</si>
  <si>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</si>
  <si>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</si>
  <si>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</si>
  <si>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</si>
  <si>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</si>
  <si>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</si>
  <si>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</si>
  <si>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</si>
  <si>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</si>
  <si>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</si>
  <si>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</si>
  <si>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</si>
  <si>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</si>
  <si>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</si>
  <si>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</si>
  <si>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</si>
  <si>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</si>
  <si>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</si>
  <si>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</si>
  <si>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</si>
  <si>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</si>
  <si>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</si>
  <si>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</si>
  <si>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</si>
  <si>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</si>
  <si>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</si>
  <si>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</si>
  <si>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</si>
  <si>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</si>
  <si>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</si>
  <si>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</si>
  <si>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</si>
  <si>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</si>
  <si>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</si>
  <si>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</si>
  <si>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</si>
  <si>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</si>
  <si>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</si>
  <si>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</si>
  <si>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</si>
  <si>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</si>
  <si>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</si>
  <si>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</si>
  <si>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</si>
  <si>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</si>
  <si>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</si>
  <si>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</si>
  <si>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</si>
  <si>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</si>
  <si>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</si>
  <si>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</si>
  <si>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</si>
  <si>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</si>
  <si>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</si>
  <si>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</si>
  <si>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</si>
  <si>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</si>
  <si>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</si>
  <si>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</si>
  <si>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较好</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</si>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</sst>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_);[Red]\(0.00\)"/>
    <numFmt numFmtId="179" formatCode="0.00_ "/>
    <numFmt numFmtId="180" formatCode="0.0%"/>
    <numFmt numFmtId="181" formatCode="0.000_ "/>
    <numFmt numFmtId="182" formatCode="yyyy&quot;年&quot;m&quot;月&quot;d&quot;日&quot;;@"/>
    <numFmt numFmtId="183" formatCode="0.000%"/>
    <numFmt numFmtId="184" formatCode="0.0_ "/>
    <numFmt numFmtId="185" formatCode="[$-F800]dddd\,\ mmmm\ dd\,\ yyyy"/>
  </numFmts>
  <fonts count="247">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00B0F0"/>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4"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5" applyNumberFormat="0" applyFont="0" applyAlignment="0" applyProtection="0">
      <alignment vertical="center"/>
    </xf>
    <xf numFmtId="176" fontId="114" fillId="0" borderId="0"/>
    <xf numFmtId="9" fontId="97" fillId="0" borderId="0" applyFont="0" applyFill="0" applyBorder="0" applyAlignment="0" applyProtection="0">
      <alignment vertical="center"/>
    </xf>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176" fontId="158" fillId="0" borderId="0">
      <alignment vertical="center"/>
    </xf>
    <xf numFmtId="0" fontId="159" fillId="0" borderId="176" applyNumberFormat="0" applyFill="0" applyAlignment="0" applyProtection="0">
      <alignment vertical="center"/>
    </xf>
    <xf numFmtId="0" fontId="160" fillId="0" borderId="176" applyNumberFormat="0" applyFill="0" applyAlignment="0" applyProtection="0">
      <alignment vertical="center"/>
    </xf>
    <xf numFmtId="0" fontId="151" fillId="29" borderId="0" applyNumberFormat="0" applyBorder="0" applyAlignment="0" applyProtection="0">
      <alignment vertical="center"/>
    </xf>
    <xf numFmtId="0" fontId="154" fillId="0" borderId="177" applyNumberFormat="0" applyFill="0" applyAlignment="0" applyProtection="0">
      <alignment vertical="center"/>
    </xf>
    <xf numFmtId="0" fontId="151" fillId="30" borderId="0" applyNumberFormat="0" applyBorder="0" applyAlignment="0" applyProtection="0">
      <alignment vertical="center"/>
    </xf>
    <xf numFmtId="0" fontId="161" fillId="31" borderId="178" applyNumberFormat="0" applyAlignment="0" applyProtection="0">
      <alignment vertical="center"/>
    </xf>
    <xf numFmtId="0" fontId="162" fillId="31" borderId="174" applyNumberFormat="0" applyAlignment="0" applyProtection="0">
      <alignment vertical="center"/>
    </xf>
    <xf numFmtId="0" fontId="163" fillId="32" borderId="179" applyNumberFormat="0" applyAlignment="0" applyProtection="0">
      <alignment vertical="center"/>
    </xf>
    <xf numFmtId="0" fontId="164" fillId="0" borderId="180" applyNumberFormat="0" applyFill="0" applyAlignment="0" applyProtection="0">
      <alignment vertical="center"/>
    </xf>
    <xf numFmtId="176"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1" applyNumberFormat="0" applyFill="0" applyAlignment="0" applyProtection="0">
      <alignment vertical="center"/>
    </xf>
    <xf numFmtId="0" fontId="166" fillId="35" borderId="0" applyNumberFormat="0" applyBorder="0" applyAlignment="0" applyProtection="0">
      <alignment vertical="center"/>
    </xf>
    <xf numFmtId="176" fontId="114" fillId="0" borderId="0">
      <alignment vertical="center"/>
    </xf>
    <xf numFmtId="176" fontId="114" fillId="0" borderId="0">
      <alignment vertical="center"/>
    </xf>
    <xf numFmtId="0" fontId="167" fillId="36" borderId="0" applyNumberFormat="0" applyBorder="0" applyAlignment="0" applyProtection="0">
      <alignment vertical="center"/>
    </xf>
    <xf numFmtId="176"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176" fontId="114"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176" fontId="114" fillId="0" borderId="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176" fontId="114" fillId="0" borderId="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6" fontId="114" fillId="0" borderId="0">
      <alignment vertical="center"/>
    </xf>
    <xf numFmtId="176" fontId="114" fillId="0" borderId="0">
      <alignment vertical="center"/>
    </xf>
    <xf numFmtId="176" fontId="114" fillId="0" borderId="0"/>
    <xf numFmtId="176" fontId="97" fillId="0" borderId="0"/>
    <xf numFmtId="176" fontId="114" fillId="0" borderId="0">
      <alignment vertical="center"/>
    </xf>
    <xf numFmtId="176" fontId="114" fillId="0" borderId="0">
      <alignment vertical="center"/>
    </xf>
    <xf numFmtId="176" fontId="158" fillId="0" borderId="0">
      <alignment vertical="center"/>
    </xf>
    <xf numFmtId="176" fontId="114" fillId="0" borderId="0"/>
  </cellStyleXfs>
  <cellXfs count="3233">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16"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7" borderId="134" xfId="62" applyNumberFormat="1" applyFont="1" applyFill="1" applyBorder="1" applyAlignment="1" applyProtection="1">
      <alignment vertical="center"/>
      <protection locked="0"/>
    </xf>
    <xf numFmtId="0" fontId="42" fillId="17"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4" fillId="0" borderId="0" xfId="66" applyNumberFormat="1" applyAlignment="1" applyProtection="1">
      <alignment horizontal="left"/>
      <protection locked="0"/>
    </xf>
    <xf numFmtId="0" fontId="115" fillId="2" borderId="2" xfId="66" applyNumberFormat="1" applyFont="1" applyFill="1" applyBorder="1" applyAlignment="1" applyProtection="1">
      <alignment horizontal="left" vertical="center" wrapText="1"/>
    </xf>
    <xf numFmtId="0" fontId="115" fillId="9" borderId="0" xfId="66" applyNumberFormat="1" applyFont="1" applyFill="1" applyBorder="1" applyAlignment="1" applyProtection="1">
      <alignment horizontal="left" vertical="center" wrapText="1"/>
      <protection locked="0"/>
    </xf>
    <xf numFmtId="0" fontId="114" fillId="9" borderId="0" xfId="66" applyNumberFormat="1" applyFill="1" applyBorder="1" applyAlignment="1" applyProtection="1">
      <alignment horizontal="left"/>
      <protection locked="0"/>
    </xf>
    <xf numFmtId="0" fontId="114" fillId="9" borderId="0" xfId="66" applyNumberFormat="1" applyFill="1" applyAlignment="1" applyProtection="1">
      <alignment horizontal="left"/>
      <protection locked="0"/>
    </xf>
    <xf numFmtId="14" fontId="115" fillId="2" borderId="2" xfId="66" applyNumberFormat="1" applyFont="1" applyFill="1" applyBorder="1" applyAlignment="1" applyProtection="1">
      <alignment horizontal="left" vertical="center" wrapText="1"/>
    </xf>
    <xf numFmtId="0" fontId="115" fillId="0" borderId="2" xfId="66" applyNumberFormat="1" applyFont="1" applyFill="1" applyBorder="1" applyAlignment="1" applyProtection="1">
      <alignment horizontal="left" vertical="center" wrapText="1"/>
      <protection locked="0"/>
    </xf>
    <xf numFmtId="0" fontId="114" fillId="2" borderId="2" xfId="66" applyNumberFormat="1" applyFill="1" applyBorder="1" applyAlignment="1" applyProtection="1">
      <alignment horizontal="left" vertical="center"/>
    </xf>
    <xf numFmtId="0" fontId="115"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5" fillId="0" borderId="13" xfId="66" applyNumberFormat="1" applyFont="1" applyFill="1" applyBorder="1" applyAlignment="1" applyProtection="1">
      <alignment horizontal="left" vertical="center" wrapText="1"/>
      <protection locked="0"/>
    </xf>
    <xf numFmtId="0" fontId="114" fillId="0" borderId="2" xfId="66" applyNumberFormat="1" applyBorder="1" applyAlignment="1" applyProtection="1">
      <alignment horizontal="left"/>
      <protection locked="0"/>
    </xf>
    <xf numFmtId="0" fontId="115"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79" fontId="75" fillId="2" borderId="128" xfId="0" applyNumberFormat="1" applyFont="1" applyFill="1" applyBorder="1" applyAlignment="1" applyProtection="1">
      <alignment vertical="center"/>
    </xf>
    <xf numFmtId="176" fontId="75" fillId="2" borderId="5" xfId="60" applyFont="1" applyFill="1" applyBorder="1" applyAlignment="1" applyProtection="1">
      <alignment vertical="center" wrapText="1"/>
    </xf>
    <xf numFmtId="176" fontId="75" fillId="2" borderId="6" xfId="60" applyFont="1" applyFill="1" applyBorder="1" applyAlignment="1" applyProtection="1">
      <alignment vertical="center" wrapText="1"/>
    </xf>
    <xf numFmtId="176" fontId="75" fillId="2" borderId="27" xfId="60" applyFont="1" applyFill="1" applyBorder="1" applyAlignment="1" applyProtection="1">
      <alignment vertical="center" wrapText="1"/>
    </xf>
    <xf numFmtId="181" fontId="68" fillId="2" borderId="5" xfId="60"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79" fontId="75"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5" fillId="2" borderId="2" xfId="60" applyNumberFormat="1" applyFont="1" applyFill="1" applyBorder="1" applyAlignment="1" applyProtection="1">
      <alignment vertical="center"/>
    </xf>
    <xf numFmtId="177" fontId="75"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2"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0" fontId="27" fillId="0" borderId="2" xfId="0" applyNumberFormat="1" applyFont="1" applyFill="1" applyBorder="1" applyAlignment="1" applyProtection="1">
      <alignment horizontal="center" vertical="center"/>
      <protection locked="0"/>
    </xf>
    <xf numFmtId="180" fontId="75" fillId="0" borderId="2" xfId="0" applyNumberFormat="1" applyFont="1" applyFill="1" applyBorder="1" applyAlignment="1" applyProtection="1">
      <alignment horizontal="center" vertical="center"/>
      <protection locked="0"/>
    </xf>
    <xf numFmtId="177" fontId="75" fillId="2" borderId="8" xfId="60" applyNumberFormat="1" applyFont="1" applyFill="1" applyBorder="1" applyAlignment="1" applyProtection="1">
      <alignment horizontal="left" vertical="center" wrapText="1"/>
      <protection locked="0"/>
    </xf>
    <xf numFmtId="177" fontId="75" fillId="2" borderId="14" xfId="60" applyNumberFormat="1" applyFont="1" applyFill="1" applyBorder="1" applyAlignment="1" applyProtection="1">
      <alignment vertical="center"/>
    </xf>
    <xf numFmtId="180" fontId="79" fillId="2" borderId="2" xfId="0" applyNumberFormat="1" applyFont="1" applyFill="1" applyBorder="1" applyAlignment="1" applyProtection="1">
      <alignment horizontal="center" vertical="center"/>
      <protection locked="0"/>
    </xf>
    <xf numFmtId="176" fontId="85" fillId="2" borderId="10" xfId="60" applyFont="1" applyFill="1" applyBorder="1" applyAlignment="1" applyProtection="1">
      <alignment vertical="center" wrapText="1"/>
    </xf>
    <xf numFmtId="176" fontId="85" fillId="2" borderId="11" xfId="60" applyFont="1" applyFill="1" applyBorder="1" applyAlignment="1" applyProtection="1">
      <alignment vertical="center"/>
    </xf>
    <xf numFmtId="176" fontId="85" fillId="2" borderId="28" xfId="60" applyFont="1" applyFill="1" applyBorder="1" applyAlignment="1" applyProtection="1">
      <alignment vertical="center"/>
    </xf>
    <xf numFmtId="176" fontId="85" fillId="2" borderId="10" xfId="60" applyFont="1" applyFill="1" applyBorder="1" applyAlignment="1" applyProtection="1">
      <alignment vertical="center"/>
    </xf>
    <xf numFmtId="176" fontId="85" fillId="2" borderId="11" xfId="60" applyFont="1" applyFill="1" applyBorder="1" applyAlignment="1" applyProtection="1">
      <alignment horizontal="center" vertical="center"/>
    </xf>
    <xf numFmtId="180" fontId="85"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79" fontId="75"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5"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78" fontId="75"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6" fillId="9" borderId="0" xfId="0" applyFont="1" applyFill="1" applyAlignment="1" applyProtection="1">
      <alignment horizontal="left" vertical="center"/>
    </xf>
    <xf numFmtId="179"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0"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0" fontId="52" fillId="0" borderId="9" xfId="0" applyNumberFormat="1" applyFont="1" applyFill="1" applyBorder="1" applyAlignment="1" applyProtection="1">
      <alignment horizontal="center" vertical="center"/>
      <protection locked="0"/>
    </xf>
    <xf numFmtId="179" fontId="92" fillId="9" borderId="0" xfId="0" applyNumberFormat="1" applyFont="1" applyFill="1" applyAlignment="1" applyProtection="1">
      <alignment vertical="center"/>
      <protection locked="0"/>
    </xf>
    <xf numFmtId="180" fontId="52" fillId="0" borderId="12" xfId="0" applyNumberFormat="1" applyFont="1" applyFill="1" applyBorder="1" applyAlignment="1" applyProtection="1">
      <alignment horizontal="center" vertical="center"/>
      <protection locked="0"/>
    </xf>
    <xf numFmtId="180" fontId="52" fillId="0" borderId="58" xfId="0" applyNumberFormat="1" applyFont="1" applyFill="1" applyBorder="1" applyAlignment="1" applyProtection="1">
      <alignment horizontal="center" vertical="center"/>
      <protection locked="0"/>
    </xf>
    <xf numFmtId="180"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0" fontId="57" fillId="9" borderId="0" xfId="0" applyNumberFormat="1" applyFont="1" applyFill="1" applyAlignment="1" applyProtection="1">
      <alignment horizontal="center" vertical="center"/>
    </xf>
    <xf numFmtId="183"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7"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5" fillId="2" borderId="5" xfId="60" applyNumberFormat="1" applyFont="1" applyFill="1" applyBorder="1" applyAlignment="1" applyProtection="1">
      <alignment horizontal="center" vertical="center" wrapText="1"/>
    </xf>
    <xf numFmtId="176" fontId="75" fillId="2" borderId="6" xfId="60" applyFont="1" applyFill="1" applyBorder="1" applyAlignment="1" applyProtection="1">
      <alignment horizontal="center" vertical="center" wrapText="1"/>
    </xf>
    <xf numFmtId="179" fontId="75" fillId="2" borderId="6" xfId="60" applyNumberFormat="1" applyFont="1" applyFill="1" applyBorder="1" applyAlignment="1" applyProtection="1">
      <alignment horizontal="center" vertical="center" wrapText="1"/>
    </xf>
    <xf numFmtId="176" fontId="75" fillId="3" borderId="6" xfId="60" applyFont="1" applyFill="1" applyBorder="1" applyAlignment="1" applyProtection="1">
      <alignment horizontal="center" vertical="center" wrapText="1"/>
      <protection locked="0"/>
    </xf>
    <xf numFmtId="176" fontId="75"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7" fontId="75" fillId="2" borderId="2" xfId="60" applyNumberFormat="1" applyFont="1" applyFill="1" applyBorder="1" applyAlignment="1" applyProtection="1">
      <alignment horizontal="center" vertical="center"/>
    </xf>
    <xf numFmtId="176"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60"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176"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60" applyFont="1" applyFill="1" applyBorder="1" applyAlignment="1" applyProtection="1">
      <alignment horizontal="center" vertical="center" wrapText="1"/>
    </xf>
    <xf numFmtId="176" fontId="75" fillId="2" borderId="26" xfId="60" applyFont="1" applyFill="1" applyBorder="1" applyAlignment="1" applyProtection="1">
      <alignment horizontal="center" vertical="center" wrapText="1"/>
    </xf>
    <xf numFmtId="176" fontId="75" fillId="2" borderId="34" xfId="60"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5" fillId="2" borderId="8" xfId="60" applyNumberFormat="1" applyFont="1" applyFill="1" applyBorder="1" applyAlignment="1" applyProtection="1">
      <alignment horizontal="center" vertical="center"/>
    </xf>
    <xf numFmtId="179"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80" fontId="75" fillId="0" borderId="2" xfId="0" applyNumberFormat="1" applyFont="1" applyBorder="1" applyAlignment="1" applyProtection="1">
      <alignment vertical="center"/>
      <protection locked="0"/>
    </xf>
    <xf numFmtId="180"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0"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60"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80" fontId="75" fillId="2" borderId="2" xfId="0" applyNumberFormat="1" applyFont="1" applyFill="1" applyBorder="1" applyAlignment="1" applyProtection="1">
      <alignment vertical="center"/>
    </xf>
    <xf numFmtId="180"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79" fontId="75" fillId="2" borderId="10" xfId="60" applyNumberFormat="1" applyFont="1" applyFill="1" applyBorder="1" applyAlignment="1" applyProtection="1">
      <alignment horizontal="center" vertical="center"/>
    </xf>
    <xf numFmtId="179"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80"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80"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80"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80"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80"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3" fontId="75" fillId="0" borderId="2" xfId="0" applyNumberFormat="1" applyFont="1" applyBorder="1" applyAlignment="1" applyProtection="1">
      <alignment horizontal="center" vertical="center"/>
      <protection locked="0"/>
    </xf>
    <xf numFmtId="180"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0"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180"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3" fontId="75" fillId="2" borderId="2" xfId="0" applyNumberFormat="1" applyFont="1" applyFill="1" applyBorder="1" applyAlignment="1" applyProtection="1">
      <alignment horizontal="center" vertical="center"/>
    </xf>
    <xf numFmtId="180"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60"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78" fontId="75" fillId="2" borderId="2" xfId="0" applyNumberFormat="1" applyFont="1" applyFill="1" applyBorder="1" applyAlignment="1" applyProtection="1">
      <alignment horizontal="center" vertical="center" wrapText="1"/>
    </xf>
    <xf numFmtId="178" fontId="75" fillId="0" borderId="17" xfId="0" applyNumberFormat="1" applyFont="1" applyFill="1" applyBorder="1" applyAlignment="1" applyProtection="1">
      <alignment horizontal="center" vertical="center" wrapText="1"/>
      <protection locked="0"/>
    </xf>
    <xf numFmtId="178" fontId="75" fillId="2" borderId="17" xfId="0" applyNumberFormat="1" applyFont="1" applyFill="1" applyBorder="1" applyAlignment="1" applyProtection="1">
      <alignment horizontal="center" vertical="center" wrapText="1"/>
    </xf>
    <xf numFmtId="178"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5"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5" fillId="0" borderId="2" xfId="0" applyNumberFormat="1" applyFont="1" applyBorder="1" applyAlignment="1" applyProtection="1">
      <alignment horizontal="center" vertical="center" wrapText="1"/>
      <protection locked="0"/>
    </xf>
    <xf numFmtId="176" fontId="118"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wrapText="1"/>
    </xf>
    <xf numFmtId="178"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8"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8"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9"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9"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9" fillId="2" borderId="0" xfId="0" applyNumberFormat="1" applyFont="1" applyFill="1" applyBorder="1" applyAlignment="1" applyProtection="1">
      <alignment horizontal="center" vertical="center"/>
      <protection locked="0"/>
    </xf>
    <xf numFmtId="0" fontId="119"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9" fillId="2" borderId="0" xfId="0" applyNumberFormat="1"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120" fillId="0" borderId="0" xfId="63" applyNumberFormat="1" applyFont="1" applyFill="1" applyAlignment="1">
      <alignment horizontal="left" vertical="center"/>
    </xf>
    <xf numFmtId="0" fontId="121" fillId="0" borderId="0" xfId="63" applyNumberFormat="1" applyFont="1" applyAlignment="1">
      <alignment horizontal="left" vertical="center"/>
    </xf>
    <xf numFmtId="0" fontId="120"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3" borderId="13" xfId="63" applyNumberFormat="1" applyFont="1" applyFill="1" applyBorder="1" applyAlignment="1">
      <alignment horizontal="left" vertical="center"/>
    </xf>
    <xf numFmtId="0" fontId="126" fillId="0" borderId="2" xfId="63" applyNumberFormat="1" applyFont="1" applyBorder="1" applyAlignment="1">
      <alignment horizontal="left" vertical="center"/>
    </xf>
    <xf numFmtId="0" fontId="126" fillId="0" borderId="14" xfId="63" applyNumberFormat="1" applyFont="1" applyBorder="1" applyAlignment="1">
      <alignment horizontal="left" vertical="center"/>
    </xf>
    <xf numFmtId="0" fontId="125" fillId="3" borderId="171"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85" fontId="126" fillId="0" borderId="2" xfId="63" applyNumberFormat="1" applyFont="1" applyFill="1" applyBorder="1" applyAlignment="1">
      <alignment horizontal="left" vertical="center"/>
    </xf>
    <xf numFmtId="0" fontId="127" fillId="0" borderId="14" xfId="63" applyNumberFormat="1" applyFont="1" applyFill="1" applyBorder="1" applyAlignment="1">
      <alignment horizontal="left" vertical="center"/>
    </xf>
    <xf numFmtId="0" fontId="126" fillId="0" borderId="172" xfId="63" applyNumberFormat="1" applyFont="1" applyFill="1" applyBorder="1" applyAlignment="1">
      <alignment horizontal="left" vertical="center"/>
    </xf>
    <xf numFmtId="0" fontId="127" fillId="0" borderId="2" xfId="63" applyNumberFormat="1" applyFont="1" applyFill="1" applyBorder="1" applyAlignment="1">
      <alignment horizontal="left" vertical="center"/>
    </xf>
    <xf numFmtId="185" fontId="126" fillId="0" borderId="14" xfId="63" applyNumberFormat="1" applyFont="1" applyFill="1" applyBorder="1" applyAlignment="1">
      <alignment horizontal="left" vertical="center"/>
    </xf>
    <xf numFmtId="0" fontId="127" fillId="0" borderId="0" xfId="63" applyNumberFormat="1" applyFont="1" applyFill="1" applyAlignment="1">
      <alignment horizontal="left" vertical="center"/>
    </xf>
    <xf numFmtId="0" fontId="125" fillId="3" borderId="2" xfId="63" applyNumberFormat="1" applyFont="1" applyFill="1" applyBorder="1" applyAlignment="1">
      <alignment horizontal="left" vertical="center"/>
    </xf>
    <xf numFmtId="0" fontId="126" fillId="0" borderId="172" xfId="63" applyNumberFormat="1" applyFont="1" applyBorder="1" applyAlignment="1">
      <alignment horizontal="left" vertical="center"/>
    </xf>
    <xf numFmtId="0" fontId="125" fillId="0" borderId="2" xfId="63" applyNumberFormat="1" applyFont="1" applyFill="1" applyBorder="1" applyAlignment="1">
      <alignment horizontal="left" vertical="center"/>
    </xf>
    <xf numFmtId="0" fontId="123" fillId="0" borderId="2" xfId="63" applyNumberFormat="1" applyFont="1" applyBorder="1" applyAlignment="1">
      <alignment horizontal="left" vertical="center"/>
    </xf>
    <xf numFmtId="0" fontId="126" fillId="0" borderId="14" xfId="63" applyNumberFormat="1" applyFont="1" applyFill="1" applyBorder="1" applyAlignment="1">
      <alignment horizontal="left" vertical="center"/>
    </xf>
    <xf numFmtId="0" fontId="123" fillId="0" borderId="172" xfId="63" applyNumberFormat="1" applyFont="1" applyBorder="1" applyAlignment="1">
      <alignment horizontal="left" vertical="center"/>
    </xf>
    <xf numFmtId="185" fontId="126" fillId="0" borderId="2" xfId="0" applyNumberFormat="1" applyFont="1" applyFill="1" applyBorder="1" applyAlignment="1">
      <alignment horizontal="left" vertical="center"/>
    </xf>
    <xf numFmtId="185" fontId="123" fillId="0" borderId="2" xfId="63" applyNumberFormat="1" applyFont="1" applyBorder="1" applyAlignment="1">
      <alignment horizontal="left" vertical="center"/>
    </xf>
    <xf numFmtId="0" fontId="123" fillId="0" borderId="14" xfId="63" applyNumberFormat="1" applyFont="1" applyBorder="1" applyAlignment="1">
      <alignment horizontal="left" vertical="center"/>
    </xf>
    <xf numFmtId="0" fontId="128" fillId="0" borderId="2" xfId="63" applyNumberFormat="1" applyFont="1" applyBorder="1" applyAlignment="1">
      <alignment horizontal="left" vertical="center"/>
    </xf>
    <xf numFmtId="185" fontId="128" fillId="0" borderId="2" xfId="0" applyNumberFormat="1" applyFont="1" applyFill="1" applyBorder="1" applyAlignment="1">
      <alignment horizontal="left" vertical="center"/>
    </xf>
    <xf numFmtId="0" fontId="120" fillId="0" borderId="173" xfId="63" applyNumberFormat="1" applyFont="1" applyBorder="1" applyAlignment="1">
      <alignment horizontal="left" vertical="center"/>
    </xf>
    <xf numFmtId="0" fontId="120" fillId="0" borderId="0" xfId="63" applyNumberFormat="1" applyFont="1" applyBorder="1" applyAlignment="1">
      <alignment horizontal="left" vertical="center"/>
    </xf>
    <xf numFmtId="0" fontId="129" fillId="0" borderId="0" xfId="63" applyNumberFormat="1" applyFont="1" applyBorder="1" applyAlignment="1">
      <alignment horizontal="left" vertical="center"/>
    </xf>
    <xf numFmtId="176" fontId="130" fillId="0" borderId="0" xfId="0" applyFont="1" applyProtection="1">
      <alignment vertical="center"/>
    </xf>
    <xf numFmtId="176" fontId="131" fillId="0" borderId="0" xfId="0" applyFont="1" applyProtection="1">
      <alignment vertical="center"/>
    </xf>
    <xf numFmtId="176" fontId="0" fillId="0" borderId="0" xfId="0" applyFont="1" applyProtection="1">
      <alignment vertical="center"/>
    </xf>
    <xf numFmtId="176" fontId="129" fillId="0" borderId="0" xfId="0" applyFont="1" applyProtection="1">
      <alignment vertical="center"/>
    </xf>
    <xf numFmtId="176" fontId="131"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1" fillId="14" borderId="2" xfId="0" applyFont="1" applyFill="1" applyBorder="1" applyAlignment="1" applyProtection="1">
      <alignment horizontal="center" vertical="center" wrapText="1"/>
    </xf>
    <xf numFmtId="176" fontId="131" fillId="2" borderId="2" xfId="0" applyFont="1" applyFill="1" applyBorder="1" applyAlignment="1" applyProtection="1">
      <alignment horizontal="center" vertical="center" wrapText="1"/>
    </xf>
    <xf numFmtId="176" fontId="132" fillId="19" borderId="2" xfId="0" applyFont="1" applyFill="1" applyBorder="1" applyAlignment="1" applyProtection="1">
      <alignment horizontal="center" vertical="center"/>
    </xf>
    <xf numFmtId="176" fontId="133" fillId="0" borderId="2" xfId="0" applyFont="1" applyFill="1" applyBorder="1" applyAlignment="1" applyProtection="1">
      <alignment horizontal="center" vertical="center"/>
    </xf>
    <xf numFmtId="176" fontId="119" fillId="0" borderId="0" xfId="0" applyFont="1" applyProtection="1">
      <alignment vertical="center"/>
    </xf>
    <xf numFmtId="176" fontId="121"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19"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0"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21" borderId="2" xfId="0" applyFont="1" applyFill="1" applyBorder="1" applyAlignment="1" applyProtection="1">
      <alignment horizontal="left" vertical="center"/>
    </xf>
    <xf numFmtId="176" fontId="66" fillId="0" borderId="0" xfId="0" applyFont="1" applyProtection="1">
      <alignment vertical="center"/>
    </xf>
    <xf numFmtId="176" fontId="119" fillId="0" borderId="0" xfId="0" applyFont="1" applyAlignment="1" applyProtection="1">
      <alignment horizontal="left" vertical="center"/>
    </xf>
    <xf numFmtId="178" fontId="119" fillId="0" borderId="0" xfId="0" applyNumberFormat="1" applyFont="1" applyAlignment="1" applyProtection="1">
      <alignment horizontal="left" vertical="center"/>
    </xf>
    <xf numFmtId="176" fontId="0" fillId="0" borderId="0" xfId="0" applyFont="1" applyProtection="1">
      <alignment vertical="center"/>
      <protection locked="0"/>
    </xf>
    <xf numFmtId="176" fontId="134"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0" fillId="0" borderId="0" xfId="0" applyFont="1" applyBorder="1" applyProtection="1">
      <alignment vertical="center"/>
      <protection locked="0"/>
    </xf>
    <xf numFmtId="0" fontId="135" fillId="0" borderId="0" xfId="0" applyNumberFormat="1" applyFont="1" applyBorder="1" applyAlignment="1" applyProtection="1">
      <alignment horizontal="left" vertical="center"/>
    </xf>
    <xf numFmtId="0" fontId="135" fillId="0" borderId="0" xfId="0" applyNumberFormat="1" applyFont="1" applyBorder="1" applyAlignment="1" applyProtection="1">
      <alignment horizontal="justify" vertical="center" wrapText="1"/>
    </xf>
    <xf numFmtId="0" fontId="136" fillId="0" borderId="0" xfId="0" applyNumberFormat="1" applyFont="1" applyBorder="1" applyAlignment="1" applyProtection="1">
      <alignment horizontal="center" vertical="center" wrapText="1"/>
    </xf>
    <xf numFmtId="0" fontId="137" fillId="0" borderId="0" xfId="0" applyNumberFormat="1" applyFont="1" applyFill="1" applyBorder="1" applyAlignment="1" applyProtection="1">
      <alignment horizontal="center" vertical="center" wrapText="1"/>
    </xf>
    <xf numFmtId="0" fontId="137" fillId="0" borderId="0" xfId="0" applyNumberFormat="1" applyFont="1" applyBorder="1" applyAlignment="1" applyProtection="1">
      <alignment horizontal="center" vertical="center" wrapText="1"/>
    </xf>
    <xf numFmtId="0" fontId="136" fillId="0" borderId="106" xfId="0" applyNumberFormat="1" applyFont="1" applyBorder="1" applyAlignment="1" applyProtection="1">
      <alignment horizontal="justify" vertical="center" wrapText="1"/>
    </xf>
    <xf numFmtId="0" fontId="136" fillId="0" borderId="0" xfId="0" applyNumberFormat="1" applyFont="1" applyBorder="1" applyAlignment="1" applyProtection="1">
      <alignment horizontal="right" vertical="center" wrapText="1"/>
    </xf>
    <xf numFmtId="0" fontId="136" fillId="0" borderId="1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9"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7" fillId="0" borderId="0" xfId="0" applyNumberFormat="1" applyFont="1" applyAlignment="1">
      <alignment horizontal="right" vertical="center"/>
    </xf>
    <xf numFmtId="0" fontId="137" fillId="0" borderId="0" xfId="0" applyNumberFormat="1" applyFont="1">
      <alignment vertical="center"/>
    </xf>
    <xf numFmtId="0" fontId="140"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7"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5" fillId="0" borderId="0" xfId="64" applyNumberFormat="1" applyFont="1" applyProtection="1">
      <alignment vertical="center"/>
    </xf>
    <xf numFmtId="0" fontId="57" fillId="0" borderId="0" xfId="64" applyNumberFormat="1" applyFont="1" applyProtection="1">
      <alignment vertical="center"/>
    </xf>
    <xf numFmtId="0" fontId="137" fillId="0" borderId="0" xfId="64" applyNumberFormat="1" applyFont="1" applyAlignment="1" applyProtection="1">
      <alignment horizontal="left" vertical="center" wrapText="1"/>
    </xf>
    <xf numFmtId="0" fontId="135" fillId="0" borderId="0" xfId="64" applyNumberFormat="1" applyFont="1" applyAlignment="1" applyProtection="1">
      <alignment horizontal="center" vertical="center"/>
    </xf>
    <xf numFmtId="0" fontId="135"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1"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7" fillId="0" borderId="0" xfId="64" applyNumberFormat="1" applyFont="1" applyProtection="1">
      <alignment vertical="center"/>
      <protection locked="0"/>
    </xf>
    <xf numFmtId="176" fontId="57" fillId="0" borderId="0" xfId="0" applyFont="1">
      <alignment vertical="center"/>
    </xf>
    <xf numFmtId="176" fontId="142" fillId="0" borderId="0" xfId="0" applyFont="1" applyBorder="1" applyAlignment="1">
      <alignment horizontal="center" vertical="center"/>
    </xf>
    <xf numFmtId="176" fontId="57" fillId="0" borderId="0" xfId="0" applyFont="1" applyBorder="1">
      <alignment vertical="center"/>
    </xf>
    <xf numFmtId="176" fontId="135" fillId="0" borderId="0" xfId="0" applyFont="1" applyAlignment="1">
      <alignment vertical="center"/>
    </xf>
    <xf numFmtId="176" fontId="137" fillId="0" borderId="0" xfId="0" applyFont="1" applyAlignment="1">
      <alignment vertical="center" wrapText="1"/>
    </xf>
    <xf numFmtId="176" fontId="143" fillId="0" borderId="0" xfId="0" applyFont="1">
      <alignment vertical="center"/>
    </xf>
    <xf numFmtId="176" fontId="144" fillId="0" borderId="0" xfId="0" applyFont="1">
      <alignment vertical="center"/>
    </xf>
    <xf numFmtId="176" fontId="145" fillId="0" borderId="0" xfId="0" applyFont="1" applyAlignment="1" applyProtection="1">
      <alignment vertical="center" wrapText="1"/>
      <protection locked="0"/>
    </xf>
    <xf numFmtId="176" fontId="137" fillId="0" borderId="0" xfId="0" applyFont="1" applyFill="1" applyAlignment="1">
      <alignment vertical="center" wrapText="1"/>
    </xf>
    <xf numFmtId="176" fontId="135" fillId="0" borderId="0" xfId="0" applyFont="1">
      <alignment vertical="center"/>
    </xf>
    <xf numFmtId="182" fontId="137" fillId="0" borderId="0" xfId="0" applyNumberFormat="1" applyFont="1" applyAlignment="1">
      <alignment horizontal="left" vertical="center"/>
    </xf>
    <xf numFmtId="176" fontId="137" fillId="0" borderId="0" xfId="0" applyFont="1">
      <alignment vertical="center"/>
    </xf>
    <xf numFmtId="176" fontId="140" fillId="3" borderId="0" xfId="0" applyFont="1" applyFill="1" applyProtection="1">
      <alignment vertical="center"/>
      <protection locked="0"/>
    </xf>
    <xf numFmtId="176" fontId="57" fillId="0" borderId="0" xfId="0" applyFont="1" applyProtection="1">
      <alignment vertical="center"/>
      <protection locked="0"/>
    </xf>
    <xf numFmtId="176" fontId="146" fillId="0" borderId="0" xfId="63" applyFont="1">
      <alignment vertical="center"/>
    </xf>
    <xf numFmtId="176" fontId="114" fillId="0" borderId="0" xfId="63">
      <alignment vertical="center"/>
    </xf>
    <xf numFmtId="176" fontId="147" fillId="0" borderId="0" xfId="63" applyFont="1" applyAlignment="1" applyProtection="1">
      <alignment horizontal="left" vertical="top" wrapText="1"/>
    </xf>
    <xf numFmtId="176" fontId="146" fillId="0" borderId="0" xfId="63" applyFont="1" applyAlignment="1">
      <alignment vertical="top" wrapText="1"/>
    </xf>
    <xf numFmtId="176" fontId="147" fillId="0" borderId="0" xfId="63" applyFont="1">
      <alignment vertical="center"/>
    </xf>
    <xf numFmtId="0" fontId="120" fillId="0" borderId="3" xfId="0" applyNumberFormat="1" applyFont="1" applyBorder="1" applyProtection="1">
      <alignment vertical="center"/>
    </xf>
    <xf numFmtId="0" fontId="120" fillId="0" borderId="148" xfId="0" applyNumberFormat="1" applyFont="1" applyBorder="1" applyProtection="1">
      <alignment vertical="center"/>
    </xf>
    <xf numFmtId="0" fontId="120" fillId="0" borderId="0" xfId="0" applyNumberFormat="1" applyFont="1" applyBorder="1" applyProtection="1">
      <alignment vertical="center"/>
    </xf>
    <xf numFmtId="0" fontId="120" fillId="0" borderId="0" xfId="65" applyNumberFormat="1" applyFont="1" applyBorder="1" applyAlignment="1" applyProtection="1">
      <alignment vertical="center" wrapText="1"/>
    </xf>
    <xf numFmtId="0" fontId="120" fillId="0" borderId="0" xfId="0" applyNumberFormat="1" applyFont="1" applyAlignment="1" applyProtection="1">
      <alignment horizontal="left" vertical="center"/>
    </xf>
    <xf numFmtId="0" fontId="120" fillId="0" borderId="0" xfId="0" applyNumberFormat="1" applyFont="1" applyProtection="1">
      <alignment vertical="center"/>
    </xf>
    <xf numFmtId="0" fontId="120"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20" fillId="0" borderId="137" xfId="65" applyNumberFormat="1" applyFont="1" applyBorder="1" applyAlignment="1" applyProtection="1">
      <alignment vertical="center" wrapText="1"/>
    </xf>
    <xf numFmtId="0" fontId="120" fillId="0" borderId="137" xfId="0" applyNumberFormat="1" applyFont="1" applyBorder="1" applyAlignment="1" applyProtection="1">
      <alignment horizontal="left" vertical="center"/>
    </xf>
    <xf numFmtId="0" fontId="120" fillId="0" borderId="2" xfId="65" applyNumberFormat="1" applyFont="1" applyBorder="1" applyAlignment="1" applyProtection="1">
      <alignment vertical="center" wrapText="1"/>
    </xf>
    <xf numFmtId="0" fontId="120" fillId="0" borderId="2" xfId="0" applyNumberFormat="1" applyFont="1" applyBorder="1" applyAlignment="1" applyProtection="1">
      <alignment horizontal="left" vertical="center"/>
    </xf>
    <xf numFmtId="0" fontId="120" fillId="0" borderId="4" xfId="65" applyNumberFormat="1" applyFont="1" applyBorder="1" applyAlignment="1" applyProtection="1">
      <alignment vertical="center" wrapText="1"/>
    </xf>
    <xf numFmtId="0" fontId="120" fillId="0" borderId="4" xfId="0" applyNumberFormat="1" applyFont="1" applyBorder="1" applyAlignment="1" applyProtection="1">
      <alignment horizontal="left" vertical="center"/>
    </xf>
    <xf numFmtId="0" fontId="120" fillId="0" borderId="17" xfId="65" applyNumberFormat="1" applyFont="1" applyBorder="1" applyAlignment="1" applyProtection="1">
      <alignment vertical="center" wrapText="1"/>
    </xf>
    <xf numFmtId="0" fontId="120"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296296296296" style="3220" customWidth="1"/>
    <col min="2" max="2" width="81" style="3221" customWidth="1"/>
    <col min="3" max="16384" width="9" style="3222"/>
  </cols>
  <sheetData>
    <row r="1" s="3217" customFormat="1" ht="16.35" spans="1:2">
      <c r="A1" s="3223" t="s">
        <v>0</v>
      </c>
      <c r="B1" s="3224" t="s">
        <v>1</v>
      </c>
    </row>
    <row r="2" s="3218" customFormat="1" ht="16.35" spans="1:2">
      <c r="A2" s="3225" t="s">
        <v>2</v>
      </c>
      <c r="B2" s="3226" t="str">
        <f>'预评函-封皮'!B37:I37</f>
        <v>北京市房地产抵押价值预评估</v>
      </c>
    </row>
    <row r="3" s="3219" customFormat="1" spans="1:2">
      <c r="A3" s="3227" t="s">
        <v>3</v>
      </c>
      <c r="B3" s="3228">
        <f>'预评函-封皮'!B40</f>
        <v>0</v>
      </c>
    </row>
    <row r="4" s="3219" customFormat="1" spans="1:2">
      <c r="A4" s="3227" t="s">
        <v>4</v>
      </c>
      <c r="B4" s="3228" t="str">
        <f ca="1">'预评函-封皮'!B46</f>
        <v>（注册号：0)、（注册号：0)</v>
      </c>
    </row>
    <row r="5" s="3217" customFormat="1" ht="16.35" spans="1:2">
      <c r="A5" s="3229" t="s">
        <v>5</v>
      </c>
      <c r="B5" s="3230" t="str">
        <f>'预评函-封皮'!B49</f>
        <v>康正预评字号</v>
      </c>
    </row>
    <row r="6" s="3218" customFormat="1" ht="16.35" spans="1:2">
      <c r="A6" s="3225" t="s">
        <v>6</v>
      </c>
      <c r="B6" s="3226" t="str">
        <f>'预评函-1'!A4</f>
        <v>受贵公司委托，我公司对北京市房地产抵押价值进行了预评估。</v>
      </c>
    </row>
    <row r="7" s="3219" customFormat="1" spans="1:2">
      <c r="A7" s="3227" t="s">
        <v>7</v>
      </c>
      <c r="B7" s="3228" t="e">
        <f>'预评函-1'!A7</f>
        <v>#DIV/0!</v>
      </c>
    </row>
    <row r="8" s="3219" customFormat="1" spans="1:2">
      <c r="A8" s="3227" t="s">
        <v>8</v>
      </c>
      <c r="B8" s="3228" t="str">
        <f>'预评函-1'!A8</f>
        <v>估价对象简述。项目推广名，项目类型（用途），估价对象分布，各用途面积明细情况：XX用途建筑面积XX平方米，XX用途建筑面积XX平方米，……。复杂面积清单需设‘附表’列示：抵押物清单详见附表</v>
      </c>
    </row>
    <row r="9" s="3219" customFormat="1" spans="1:2">
      <c r="A9" s="3227" t="s">
        <v>9</v>
      </c>
      <c r="B9" s="3228" t="e">
        <f>'预评函-1'!A10</f>
        <v>#DIV/0!</v>
      </c>
    </row>
    <row r="10" s="3219" customFormat="1" spans="1:2">
      <c r="A10" s="3227" t="s">
        <v>10</v>
      </c>
      <c r="B10" s="3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9" customFormat="1" spans="1:2">
      <c r="A11" s="3227" t="s">
        <v>11</v>
      </c>
      <c r="B11" s="32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19" customFormat="1" spans="1:2">
      <c r="A12" s="3227" t="s">
        <v>12</v>
      </c>
      <c r="B12" s="3228" t="str">
        <f>'预评函-1'!A15</f>
        <v>2022年7月29日</v>
      </c>
    </row>
    <row r="13" s="3219" customFormat="1" spans="1:2">
      <c r="A13" s="3227" t="s">
        <v>13</v>
      </c>
      <c r="B13" s="322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3219" customFormat="1" spans="1:2">
      <c r="A14" s="3227" t="s">
        <v>14</v>
      </c>
      <c r="B14" s="32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9" customFormat="1" spans="1:2">
      <c r="A15" s="3227" t="s">
        <v>15</v>
      </c>
      <c r="B15" s="3228" t="str">
        <f>'预评函-1'!A20</f>
        <v>本次估价的“房地产抵押价值”是指估价对象在价值时点的“房地产价值”扣减估价师于价值时点所知悉的法定优先受偿款后的余额。</v>
      </c>
    </row>
    <row r="16" s="3219" customFormat="1" spans="1:2">
      <c r="A16" s="3227" t="s">
        <v>16</v>
      </c>
      <c r="B16" s="3228" t="str">
        <f>'预评函-1'!A21</f>
        <v>法定优先受偿款是指假定在价值时点实现抵押权时，法律规定优先于本次抵押贷款受偿的款额，包括发包人拖欠承包人的建筑工程款，已抵押担保的债权数额以及其他法定优先受偿款。</v>
      </c>
    </row>
    <row r="17" s="3219" customFormat="1" spans="1:2">
      <c r="A17" s="3227" t="s">
        <v>17</v>
      </c>
      <c r="B17" s="3228" t="str">
        <f>'预评函-1'!A22</f>
        <v>本次估价的“抵押净值”是指估价对象“房地产抵押价值”减去估价对象在价值时点以“房地产销售收入”为基数计算的预计抵押权实现进行处置时需缴纳的各项费用、税金等相关费用后的价值。</v>
      </c>
    </row>
    <row r="18" s="3217" customFormat="1" ht="16.35" spans="1:2">
      <c r="A18" s="3229" t="s">
        <v>18</v>
      </c>
      <c r="B18" s="3230" t="str">
        <f>'预评函-1'!A24</f>
        <v>本次评估采用的主估价方法为基准地价系数修正法和基准地价系数修正法。</v>
      </c>
    </row>
    <row r="19" s="3218" customFormat="1" ht="16.35" spans="1:2">
      <c r="A19" s="3225" t="s">
        <v>19</v>
      </c>
      <c r="B19" s="3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9" customFormat="1" spans="1:2">
      <c r="A20" s="3227" t="s">
        <v>20</v>
      </c>
      <c r="B20" s="3228" t="e">
        <f ca="1">'预评函-2'!D5</f>
        <v>#REF!</v>
      </c>
    </row>
    <row r="21" s="3219" customFormat="1" spans="1:2">
      <c r="A21" s="3227" t="s">
        <v>21</v>
      </c>
      <c r="B21" s="3228" t="e">
        <f ca="1">'预评函-2'!D7</f>
        <v>#REF!</v>
      </c>
    </row>
    <row r="22" s="3219" customFormat="1" spans="1:2">
      <c r="A22" s="3227" t="s">
        <v>22</v>
      </c>
      <c r="B22" s="3228" t="e">
        <f ca="1">'预评函-2'!D6</f>
        <v>#REF!</v>
      </c>
    </row>
    <row r="23" s="3219" customFormat="1" spans="1:2">
      <c r="A23" s="3227" t="s">
        <v>23</v>
      </c>
      <c r="B23" s="3228" t="str">
        <f>'预评函-2'!B8</f>
        <v>2.估价师知悉的法定优先受偿款</v>
      </c>
    </row>
    <row r="24" s="3219" customFormat="1" spans="1:2">
      <c r="A24" s="3227" t="s">
        <v>24</v>
      </c>
      <c r="B24" s="3228">
        <f>'预评函-2'!D8</f>
        <v>0</v>
      </c>
    </row>
    <row r="25" s="3219" customFormat="1" spans="1:2">
      <c r="A25" s="3227" t="s">
        <v>25</v>
      </c>
      <c r="B25" s="3228" t="str">
        <f>'预评函-2'!D9</f>
        <v>零元整</v>
      </c>
    </row>
    <row r="26" s="3219" customFormat="1" spans="1:2">
      <c r="A26" s="3227" t="s">
        <v>26</v>
      </c>
      <c r="B26" s="3228">
        <f>'预评函-2'!D10</f>
        <v>0</v>
      </c>
    </row>
    <row r="27" s="3219" customFormat="1" spans="1:2">
      <c r="A27" s="3227" t="s">
        <v>27</v>
      </c>
      <c r="B27" s="3228">
        <f>'预评函-2'!D11</f>
        <v>0</v>
      </c>
    </row>
    <row r="28" s="3219" customFormat="1" spans="1:2">
      <c r="A28" s="3227" t="s">
        <v>28</v>
      </c>
      <c r="B28" s="3228">
        <f>'预评函-2'!D12</f>
        <v>0</v>
      </c>
    </row>
    <row r="29" s="3219" customFormat="1" spans="1:2">
      <c r="A29" s="3227" t="s">
        <v>29</v>
      </c>
      <c r="B29" s="3228" t="str">
        <f>'预评函-2'!B13</f>
        <v>3.房地产抵押价值</v>
      </c>
    </row>
    <row r="30" s="3219" customFormat="1" spans="1:2">
      <c r="A30" s="3227" t="s">
        <v>30</v>
      </c>
      <c r="B30" s="3228" t="e">
        <f ca="1">'预评函-2'!D13</f>
        <v>#REF!</v>
      </c>
    </row>
    <row r="31" s="3219" customFormat="1" spans="1:2">
      <c r="A31" s="3227" t="s">
        <v>31</v>
      </c>
      <c r="B31" s="3228" t="e">
        <f ca="1">'预评函-2'!D15</f>
        <v>#REF!</v>
      </c>
    </row>
    <row r="32" s="3219" customFormat="1" spans="1:2">
      <c r="A32" s="3227" t="s">
        <v>32</v>
      </c>
      <c r="B32" s="3228" t="e">
        <f ca="1">'预评函-2'!D14</f>
        <v>#REF!</v>
      </c>
    </row>
    <row r="33" s="3219" customFormat="1" spans="1:2">
      <c r="A33" s="3227" t="s">
        <v>33</v>
      </c>
      <c r="B33" s="3228" t="str">
        <f>'预评函-2'!B16</f>
        <v>——</v>
      </c>
    </row>
    <row r="34" s="3219" customFormat="1" spans="1:2">
      <c r="A34" s="3227" t="s">
        <v>34</v>
      </c>
      <c r="B34" s="3228" t="str">
        <f ca="1">'预评函-2'!D16</f>
        <v>——</v>
      </c>
    </row>
    <row r="35" s="3219" customFormat="1" spans="1:2">
      <c r="A35" s="3227" t="s">
        <v>35</v>
      </c>
      <c r="B35" s="3228" t="str">
        <f ca="1">'预评函-2'!D18</f>
        <v>——</v>
      </c>
    </row>
    <row r="36" s="3219" customFormat="1" spans="1:2">
      <c r="A36" s="3227" t="s">
        <v>36</v>
      </c>
      <c r="B36" s="3228" t="e">
        <f ca="1">'预评函-2'!D17</f>
        <v>#VALUE!</v>
      </c>
    </row>
    <row r="37" s="3219" customFormat="1" spans="1:2">
      <c r="A37" s="3227" t="s">
        <v>37</v>
      </c>
      <c r="B37" s="3228" t="str">
        <f>'预评函-2'!B19</f>
        <v>——</v>
      </c>
    </row>
    <row r="38" s="3219" customFormat="1" spans="1:2">
      <c r="A38" s="3227" t="s">
        <v>38</v>
      </c>
      <c r="B38" s="3228" t="str">
        <f ca="1">'预评函-2'!D19</f>
        <v>——</v>
      </c>
    </row>
    <row r="39" s="3219" customFormat="1" spans="1:2">
      <c r="A39" s="3227" t="s">
        <v>39</v>
      </c>
      <c r="B39" s="3228" t="str">
        <f ca="1">'预评函-2'!D21</f>
        <v>——</v>
      </c>
    </row>
    <row r="40" s="3219" customFormat="1" spans="1:2">
      <c r="A40" s="3227" t="s">
        <v>40</v>
      </c>
      <c r="B40" s="3228" t="e">
        <f ca="1">'预评函-2'!D20</f>
        <v>#VALUE!</v>
      </c>
    </row>
    <row r="41" s="3219" customFormat="1" spans="1:2">
      <c r="A41" s="3227" t="s">
        <v>41</v>
      </c>
      <c r="B41" s="3228" t="str">
        <f>'预评函-3'!A4</f>
        <v>北京市房地产</v>
      </c>
    </row>
    <row r="42" s="3219" customFormat="1" ht="31.2" spans="1:2">
      <c r="A42" s="3227" t="s">
        <v>42</v>
      </c>
      <c r="B42" s="3228" t="str">
        <f>'预评函-3'!B2</f>
        <v>建筑面积</v>
      </c>
    </row>
    <row r="43" s="3219" customFormat="1" spans="1:2">
      <c r="A43" s="3227" t="s">
        <v>43</v>
      </c>
      <c r="B43" s="3228">
        <f>'预评函-3'!B4</f>
        <v>0</v>
      </c>
    </row>
    <row r="44" s="3219" customFormat="1" ht="31.2" spans="1:2">
      <c r="A44" s="3227" t="s">
        <v>44</v>
      </c>
      <c r="B44" s="3228" t="str">
        <f>'预评函-3'!C2</f>
        <v>(分摊)土地面积</v>
      </c>
    </row>
    <row r="45" s="3219" customFormat="1" spans="1:2">
      <c r="A45" s="3227" t="s">
        <v>45</v>
      </c>
      <c r="B45" s="3228" t="e">
        <f>'预评函-3'!C4</f>
        <v>#DIV/0!</v>
      </c>
    </row>
    <row r="46" s="3219" customFormat="1" spans="1:2">
      <c r="A46" s="3227" t="s">
        <v>46</v>
      </c>
      <c r="B46" s="3228" t="str">
        <f>'预评函-3'!D2</f>
        <v>出让国有建设用地使用权价值</v>
      </c>
    </row>
    <row r="47" s="3219" customFormat="1" spans="1:2">
      <c r="A47" s="3227" t="s">
        <v>47</v>
      </c>
      <c r="B47" s="3228" t="e">
        <f ca="1">'预评函-3'!D4</f>
        <v>#REF!</v>
      </c>
    </row>
    <row r="48" s="3219" customFormat="1" spans="1:2">
      <c r="A48" s="3227" t="s">
        <v>48</v>
      </c>
      <c r="B48" s="3228" t="e">
        <f ca="1">'预评函-3'!E4</f>
        <v>#REF!</v>
      </c>
    </row>
    <row r="49" s="3219" customFormat="1" spans="1:2">
      <c r="A49" s="3227" t="s">
        <v>49</v>
      </c>
      <c r="B49" s="3228" t="e">
        <f ca="1">'预评函-3'!D5</f>
        <v>#REF!</v>
      </c>
    </row>
    <row r="50" s="3219" customFormat="1" spans="1:2">
      <c r="A50" s="3227" t="s">
        <v>50</v>
      </c>
      <c r="B50" s="3228" t="str">
        <f>'预评函-3'!F2</f>
        <v>在建建筑物价值</v>
      </c>
    </row>
    <row r="51" s="3219" customFormat="1" spans="1:2">
      <c r="A51" s="3227" t="s">
        <v>51</v>
      </c>
      <c r="B51" s="3228" t="e">
        <f ca="1">'预评函-3'!F4</f>
        <v>#REF!</v>
      </c>
    </row>
    <row r="52" s="3219" customFormat="1" spans="1:2">
      <c r="A52" s="3227" t="s">
        <v>52</v>
      </c>
      <c r="B52" s="3228" t="e">
        <f ca="1">'预评函-3'!G4</f>
        <v>#REF!</v>
      </c>
    </row>
    <row r="53" s="3219" customFormat="1" spans="1:2">
      <c r="A53" s="3227" t="s">
        <v>53</v>
      </c>
      <c r="B53" s="3228" t="e">
        <f ca="1">'预评函-3'!F5</f>
        <v>#REF!</v>
      </c>
    </row>
    <row r="54" s="3219" customFormat="1" spans="1:2">
      <c r="A54" s="3227" t="s">
        <v>54</v>
      </c>
      <c r="B54" s="3228" t="str">
        <f>'预评函-3'!A8</f>
        <v>房地产抵押价值</v>
      </c>
    </row>
    <row r="55" s="3219" customFormat="1" spans="1:2">
      <c r="A55" s="3227" t="s">
        <v>55</v>
      </c>
      <c r="B55" s="3228" t="str">
        <f>'预评函-3'!A10</f>
        <v/>
      </c>
    </row>
    <row r="56" s="3219" customFormat="1" spans="1:2">
      <c r="A56" s="3227" t="s">
        <v>56</v>
      </c>
      <c r="B56" s="3228" t="str">
        <f>'预评函-3'!A12</f>
        <v/>
      </c>
    </row>
    <row r="57" s="3217" customFormat="1" ht="16.35" spans="1:2">
      <c r="A57" s="3229" t="s">
        <v>57</v>
      </c>
      <c r="B57" s="3230" t="str">
        <f>'预评函-3'!A6</f>
        <v>估价师知悉的法定优先受偿款</v>
      </c>
    </row>
    <row r="58" s="3218" customFormat="1" ht="16.35" spans="1:2">
      <c r="A58" s="3225" t="s">
        <v>58</v>
      </c>
      <c r="B58" s="3226" t="str">
        <f>'预评函-4'!A12</f>
        <v>2.本《评估意见函》仅供金融机构进行内部审核使用，不做其他目的之用。</v>
      </c>
    </row>
    <row r="59" s="3219" customFormat="1" spans="1:2">
      <c r="A59" s="3227" t="s">
        <v>59</v>
      </c>
      <c r="B59" s="3228" t="str">
        <f>'预评函-4'!A13</f>
        <v>3.抵押双方在办理抵押登记手续时，应使用本公司出具的正式《房地产评估报告》，特提醒报告使用者注意。</v>
      </c>
    </row>
    <row r="60" s="3219" customFormat="1" spans="1:2">
      <c r="A60" s="3227" t="s">
        <v>60</v>
      </c>
      <c r="B60" s="3228" t="str">
        <f>'预评函-4'!A14</f>
        <v>4.本次评估估价师所知悉的法定优先受偿款情况说明如下：</v>
      </c>
    </row>
    <row r="61" s="3219" customFormat="1" spans="1:2">
      <c r="A61" s="3227" t="s">
        <v>61</v>
      </c>
      <c r="B61" s="32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19" customFormat="1" spans="1:2">
      <c r="A62" s="3227" t="s">
        <v>62</v>
      </c>
      <c r="B62" s="3228" t="str">
        <f>'预评函-4'!A16</f>
        <v>（2）根据《工程款支付情况说明》，截至价值时点，估价对象不存在应付未付工程款项。（只要没有施工方盖章的，均“设定”进行表述）</v>
      </c>
    </row>
    <row r="63" s="3219" customFormat="1" spans="1:2">
      <c r="A63" s="3227" t="s">
        <v>63</v>
      </c>
      <c r="B63" s="3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9" customFormat="1" spans="1:2">
      <c r="A64" s="3227" t="s">
        <v>64</v>
      </c>
      <c r="B64" s="3228" t="str">
        <f>'预评函-4'!A18</f>
        <v>故，本次评估不存在估价师知悉的法定优先受偿款</v>
      </c>
    </row>
    <row r="65" s="3219" customFormat="1" spans="1:2">
      <c r="A65" s="3227" t="s">
        <v>65</v>
      </c>
      <c r="B65" s="3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19" customFormat="1" spans="1:2">
      <c r="A66" s="3227" t="s">
        <v>66</v>
      </c>
      <c r="B66" s="3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9" customFormat="1" spans="1:2">
      <c r="A67" s="3227" t="s">
        <v>67</v>
      </c>
      <c r="B67" s="3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9" customFormat="1" spans="1:2">
      <c r="A68" s="3227" t="s">
        <v>68</v>
      </c>
      <c r="B68" s="3228" t="str">
        <f>'预评函-4'!A22</f>
        <v>8.其他需特殊说明事项：无（注意调整序号）</v>
      </c>
    </row>
    <row r="69" s="3217" customFormat="1" ht="16.35" spans="1:2">
      <c r="A69" s="3229" t="s">
        <v>69</v>
      </c>
      <c r="B69" s="3230">
        <f>'预评函-4'!C31</f>
        <v>42551</v>
      </c>
    </row>
    <row r="70" ht="16.35" spans="1:2">
      <c r="A70" s="3231" t="s">
        <v>70</v>
      </c>
      <c r="B70" s="3232">
        <f>'预评函-4'!A4</f>
        <v>0</v>
      </c>
    </row>
    <row r="71" spans="1:2">
      <c r="A71" s="3227" t="s">
        <v>71</v>
      </c>
      <c r="B71" s="3228">
        <f ca="1">'预评函-4'!B4</f>
        <v>0</v>
      </c>
    </row>
    <row r="72" spans="1:2">
      <c r="A72" s="3227" t="s">
        <v>72</v>
      </c>
      <c r="B72" s="3228">
        <f>'预评函-4'!A5</f>
        <v>0</v>
      </c>
    </row>
    <row r="73" s="3217" customFormat="1" ht="16.35" spans="1:2">
      <c r="A73" s="3229" t="s">
        <v>73</v>
      </c>
      <c r="B73" s="3230">
        <f ca="1">'预评函-4'!B5</f>
        <v>0</v>
      </c>
    </row>
    <row r="74" ht="16.35" spans="1:2">
      <c r="A74" s="3220" t="s">
        <v>74</v>
      </c>
      <c r="B74" s="3221"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A1" sqref="$A1:$XFD1048576"/>
    </sheetView>
  </sheetViews>
  <sheetFormatPr defaultColWidth="9" defaultRowHeight="14.4"/>
  <cols>
    <col min="1" max="1" width="13.5" style="3057" customWidth="1"/>
    <col min="2" max="2" width="23.25" style="3058" customWidth="1"/>
    <col min="3" max="3" width="13" style="3059" customWidth="1"/>
    <col min="4" max="4" width="5.75" style="3060" customWidth="1"/>
    <col min="5" max="5" width="7.12962962962963" style="3060" customWidth="1"/>
    <col min="6" max="6" width="10.6296296296296" style="3060" customWidth="1"/>
    <col min="7" max="7" width="13.5" style="3060" customWidth="1"/>
    <col min="8" max="8" width="9" style="3059" customWidth="1"/>
    <col min="9" max="9" width="11.6296296296296" style="3059" customWidth="1"/>
    <col min="10" max="10" width="9" style="3059" customWidth="1"/>
    <col min="11" max="19" width="9" style="3060" customWidth="1"/>
    <col min="20" max="23" width="9" style="3059" customWidth="1"/>
    <col min="24" max="24" width="21.1296296296296" style="3058" customWidth="1"/>
    <col min="25" max="16384" width="9" style="3058"/>
  </cols>
  <sheetData>
    <row r="1" s="3056" customFormat="1" ht="28.8" spans="1:23">
      <c r="A1" s="3061" t="s">
        <v>208</v>
      </c>
      <c r="B1" s="3062" t="s">
        <v>209</v>
      </c>
      <c r="C1" s="3063" t="s">
        <v>210</v>
      </c>
      <c r="D1" s="3064" t="s">
        <v>211</v>
      </c>
      <c r="E1" s="3064" t="s">
        <v>212</v>
      </c>
      <c r="F1" s="3064" t="s">
        <v>213</v>
      </c>
      <c r="G1" s="3064" t="s">
        <v>214</v>
      </c>
      <c r="H1" s="3064" t="s">
        <v>215</v>
      </c>
      <c r="I1" s="3064" t="s">
        <v>216</v>
      </c>
      <c r="J1" s="3064" t="s">
        <v>217</v>
      </c>
      <c r="K1" s="3064" t="s">
        <v>218</v>
      </c>
      <c r="L1" s="3064" t="s">
        <v>219</v>
      </c>
      <c r="M1" s="3064" t="s">
        <v>220</v>
      </c>
      <c r="N1" s="3064" t="s">
        <v>221</v>
      </c>
      <c r="O1" s="3064" t="s">
        <v>222</v>
      </c>
      <c r="P1" s="3074" t="s">
        <v>223</v>
      </c>
      <c r="Q1" s="3074" t="s">
        <v>224</v>
      </c>
      <c r="R1" s="3064" t="s">
        <v>225</v>
      </c>
      <c r="S1" s="3064" t="s">
        <v>226</v>
      </c>
      <c r="T1" s="3075" t="s">
        <v>227</v>
      </c>
      <c r="U1" s="3064" t="s">
        <v>228</v>
      </c>
      <c r="V1" s="3064" t="s">
        <v>229</v>
      </c>
      <c r="W1" s="3064" t="s">
        <v>230</v>
      </c>
    </row>
    <row r="2" spans="1:23">
      <c r="A2" s="3065" t="s">
        <v>124</v>
      </c>
      <c r="B2" s="3065" t="s">
        <v>231</v>
      </c>
      <c r="C2" s="3066" t="s">
        <v>232</v>
      </c>
      <c r="D2" s="3060" t="s">
        <v>233</v>
      </c>
      <c r="E2" s="3060" t="s">
        <v>234</v>
      </c>
      <c r="F2" s="3060" t="s">
        <v>159</v>
      </c>
      <c r="G2" s="3060">
        <v>40</v>
      </c>
      <c r="H2" s="3060" t="s">
        <v>159</v>
      </c>
      <c r="I2" s="3060" t="s">
        <v>235</v>
      </c>
      <c r="J2" s="3060" t="s">
        <v>236</v>
      </c>
      <c r="K2" s="3060" t="s">
        <v>237</v>
      </c>
      <c r="L2" s="3060" t="s">
        <v>237</v>
      </c>
      <c r="M2" s="3060" t="s">
        <v>237</v>
      </c>
      <c r="N2" s="3060" t="s">
        <v>237</v>
      </c>
      <c r="O2" s="3060" t="s">
        <v>237</v>
      </c>
      <c r="P2" s="3060" t="s">
        <v>237</v>
      </c>
      <c r="Q2" s="3060" t="s">
        <v>237</v>
      </c>
      <c r="R2" s="3060" t="s">
        <v>238</v>
      </c>
      <c r="S2" s="3060" t="s">
        <v>237</v>
      </c>
      <c r="T2" s="3060" t="s">
        <v>239</v>
      </c>
      <c r="U2" s="3060" t="s">
        <v>237</v>
      </c>
      <c r="V2" s="3060" t="s">
        <v>240</v>
      </c>
      <c r="W2" s="3060" t="s">
        <v>237</v>
      </c>
    </row>
    <row r="3" spans="1:23">
      <c r="A3" s="3065" t="s">
        <v>241</v>
      </c>
      <c r="B3" s="3067" t="s">
        <v>242</v>
      </c>
      <c r="C3" s="3068" t="s">
        <v>243</v>
      </c>
      <c r="D3" s="3060" t="s">
        <v>244</v>
      </c>
      <c r="E3" s="3060" t="s">
        <v>124</v>
      </c>
      <c r="F3" s="3060" t="s">
        <v>160</v>
      </c>
      <c r="G3" s="3060">
        <v>50</v>
      </c>
      <c r="H3" s="3060" t="s">
        <v>160</v>
      </c>
      <c r="I3" s="3060" t="s">
        <v>245</v>
      </c>
      <c r="J3" s="3060" t="s">
        <v>246</v>
      </c>
      <c r="K3" s="3060" t="s">
        <v>247</v>
      </c>
      <c r="L3" s="3060" t="s">
        <v>247</v>
      </c>
      <c r="M3" s="3060" t="s">
        <v>247</v>
      </c>
      <c r="N3" s="3060" t="s">
        <v>247</v>
      </c>
      <c r="O3" s="3060" t="s">
        <v>247</v>
      </c>
      <c r="P3" s="3060" t="s">
        <v>247</v>
      </c>
      <c r="Q3" s="3060" t="s">
        <v>247</v>
      </c>
      <c r="R3" s="3060" t="s">
        <v>248</v>
      </c>
      <c r="S3" s="3060" t="s">
        <v>247</v>
      </c>
      <c r="T3" s="3060" t="s">
        <v>249</v>
      </c>
      <c r="U3" s="3060" t="s">
        <v>247</v>
      </c>
      <c r="V3" s="3060" t="s">
        <v>250</v>
      </c>
      <c r="W3" s="3060" t="s">
        <v>247</v>
      </c>
    </row>
    <row r="4" spans="1:23">
      <c r="A4" s="3065" t="s">
        <v>251</v>
      </c>
      <c r="B4" s="3065" t="s">
        <v>252</v>
      </c>
      <c r="C4" s="3066" t="s">
        <v>253</v>
      </c>
      <c r="D4" s="3060" t="s">
        <v>124</v>
      </c>
      <c r="E4" s="3060" t="s">
        <v>254</v>
      </c>
      <c r="F4" s="3060" t="s">
        <v>161</v>
      </c>
      <c r="G4" s="3060">
        <v>70</v>
      </c>
      <c r="H4" s="3060" t="s">
        <v>161</v>
      </c>
      <c r="I4" s="3060" t="s">
        <v>255</v>
      </c>
      <c r="K4" s="3060" t="s">
        <v>256</v>
      </c>
      <c r="L4" s="3060" t="s">
        <v>256</v>
      </c>
      <c r="M4" s="3060" t="s">
        <v>256</v>
      </c>
      <c r="N4" s="3060" t="s">
        <v>256</v>
      </c>
      <c r="O4" s="3060" t="s">
        <v>256</v>
      </c>
      <c r="P4" s="3060" t="s">
        <v>256</v>
      </c>
      <c r="Q4" s="3060" t="s">
        <v>256</v>
      </c>
      <c r="R4" s="3060" t="s">
        <v>257</v>
      </c>
      <c r="S4" s="3060" t="s">
        <v>256</v>
      </c>
      <c r="T4" s="3060" t="s">
        <v>258</v>
      </c>
      <c r="U4" s="3060" t="s">
        <v>256</v>
      </c>
      <c r="W4" s="3060" t="s">
        <v>256</v>
      </c>
    </row>
    <row r="5" spans="1:23">
      <c r="A5" s="3065" t="s">
        <v>259</v>
      </c>
      <c r="B5" s="3065" t="s">
        <v>260</v>
      </c>
      <c r="C5" s="3066" t="s">
        <v>261</v>
      </c>
      <c r="F5" s="3060" t="s">
        <v>162</v>
      </c>
      <c r="H5" s="3060" t="s">
        <v>262</v>
      </c>
      <c r="I5" s="3060" t="s">
        <v>263</v>
      </c>
      <c r="K5" s="3060" t="s">
        <v>264</v>
      </c>
      <c r="L5" s="3060" t="s">
        <v>264</v>
      </c>
      <c r="M5" s="3060" t="s">
        <v>264</v>
      </c>
      <c r="N5" s="3060" t="s">
        <v>264</v>
      </c>
      <c r="O5" s="3060" t="s">
        <v>264</v>
      </c>
      <c r="P5" s="3060" t="s">
        <v>264</v>
      </c>
      <c r="Q5" s="3060" t="s">
        <v>264</v>
      </c>
      <c r="R5" s="3060" t="s">
        <v>265</v>
      </c>
      <c r="S5" s="3060" t="s">
        <v>264</v>
      </c>
      <c r="T5" s="3060" t="s">
        <v>266</v>
      </c>
      <c r="U5" s="3060" t="s">
        <v>264</v>
      </c>
      <c r="W5" s="3060" t="s">
        <v>264</v>
      </c>
    </row>
    <row r="6" spans="1:23">
      <c r="A6" s="3065" t="s">
        <v>267</v>
      </c>
      <c r="B6" s="3067" t="s">
        <v>268</v>
      </c>
      <c r="C6" s="3069" t="s">
        <v>269</v>
      </c>
      <c r="F6" s="3060" t="s">
        <v>262</v>
      </c>
      <c r="H6" s="3060" t="s">
        <v>164</v>
      </c>
      <c r="I6" s="3060" t="s">
        <v>270</v>
      </c>
      <c r="K6" s="3060" t="s">
        <v>271</v>
      </c>
      <c r="L6" s="3060" t="s">
        <v>271</v>
      </c>
      <c r="M6" s="3060" t="s">
        <v>271</v>
      </c>
      <c r="N6" s="3060" t="s">
        <v>271</v>
      </c>
      <c r="O6" s="3060" t="s">
        <v>271</v>
      </c>
      <c r="P6" s="3060" t="s">
        <v>271</v>
      </c>
      <c r="Q6" s="3060" t="s">
        <v>271</v>
      </c>
      <c r="R6" s="3060" t="s">
        <v>272</v>
      </c>
      <c r="S6" s="3060" t="s">
        <v>271</v>
      </c>
      <c r="T6" s="3060"/>
      <c r="U6" s="3060" t="s">
        <v>271</v>
      </c>
      <c r="W6" s="3060" t="s">
        <v>271</v>
      </c>
    </row>
    <row r="7" spans="1:9">
      <c r="A7" s="3065" t="s">
        <v>273</v>
      </c>
      <c r="B7" s="3067" t="s">
        <v>274</v>
      </c>
      <c r="C7" s="3066" t="s">
        <v>275</v>
      </c>
      <c r="F7" s="3060" t="s">
        <v>276</v>
      </c>
      <c r="H7" s="3070" t="s">
        <v>277</v>
      </c>
      <c r="I7" s="3060" t="s">
        <v>278</v>
      </c>
    </row>
    <row r="8" spans="1:9">
      <c r="A8" s="3065" t="s">
        <v>279</v>
      </c>
      <c r="B8" s="3065" t="s">
        <v>280</v>
      </c>
      <c r="C8" s="3066" t="s">
        <v>281</v>
      </c>
      <c r="F8" s="3060" t="s">
        <v>282</v>
      </c>
      <c r="H8" s="3060" t="s">
        <v>283</v>
      </c>
      <c r="I8" s="3060" t="s">
        <v>284</v>
      </c>
    </row>
    <row r="9" spans="1:8">
      <c r="A9" s="3065" t="s">
        <v>285</v>
      </c>
      <c r="B9" s="3065" t="s">
        <v>286</v>
      </c>
      <c r="C9" s="3066" t="s">
        <v>287</v>
      </c>
      <c r="F9" s="3060" t="s">
        <v>164</v>
      </c>
      <c r="H9" s="3060" t="s">
        <v>288</v>
      </c>
    </row>
    <row r="10" spans="1:6">
      <c r="A10" s="3065" t="s">
        <v>289</v>
      </c>
      <c r="B10" s="3065" t="s">
        <v>290</v>
      </c>
      <c r="C10" s="3066" t="s">
        <v>291</v>
      </c>
      <c r="F10" s="3060" t="s">
        <v>124</v>
      </c>
    </row>
    <row r="11" spans="1:3">
      <c r="A11" s="3065" t="s">
        <v>292</v>
      </c>
      <c r="B11" s="3065" t="s">
        <v>293</v>
      </c>
      <c r="C11" s="3066" t="s">
        <v>294</v>
      </c>
    </row>
    <row r="12" spans="1:3">
      <c r="A12" s="3065" t="s">
        <v>295</v>
      </c>
      <c r="B12" s="3065" t="s">
        <v>296</v>
      </c>
      <c r="C12" s="3066" t="s">
        <v>297</v>
      </c>
    </row>
    <row r="13" spans="1:3">
      <c r="A13" s="3065" t="s">
        <v>298</v>
      </c>
      <c r="B13" s="3065" t="s">
        <v>299</v>
      </c>
      <c r="C13" s="3066" t="s">
        <v>300</v>
      </c>
    </row>
    <row r="14" spans="1:3">
      <c r="A14" s="3065" t="s">
        <v>301</v>
      </c>
      <c r="B14" s="3065" t="s">
        <v>302</v>
      </c>
      <c r="C14" s="3060" t="s">
        <v>124</v>
      </c>
    </row>
    <row r="15" spans="1:3">
      <c r="A15" s="3065" t="s">
        <v>303</v>
      </c>
      <c r="B15" s="3065" t="s">
        <v>304</v>
      </c>
      <c r="C15" s="3066"/>
    </row>
    <row r="16" spans="1:3">
      <c r="A16" s="3065" t="s">
        <v>305</v>
      </c>
      <c r="B16" s="3065" t="s">
        <v>306</v>
      </c>
      <c r="C16" s="3066"/>
    </row>
    <row r="17" spans="1:3">
      <c r="A17" s="3065" t="s">
        <v>307</v>
      </c>
      <c r="B17" s="3065" t="s">
        <v>308</v>
      </c>
      <c r="C17" s="3066"/>
    </row>
    <row r="18" spans="1:3">
      <c r="A18" s="3065" t="s">
        <v>309</v>
      </c>
      <c r="B18" s="3065" t="s">
        <v>310</v>
      </c>
      <c r="C18" s="3066"/>
    </row>
    <row r="19" spans="1:3">
      <c r="A19" s="3065" t="s">
        <v>311</v>
      </c>
      <c r="B19" s="3065" t="s">
        <v>312</v>
      </c>
      <c r="C19" s="3066"/>
    </row>
    <row r="20" spans="1:3">
      <c r="A20" s="3065" t="s">
        <v>313</v>
      </c>
      <c r="B20" s="3065" t="s">
        <v>312</v>
      </c>
      <c r="C20" s="3066"/>
    </row>
    <row r="21" spans="1:3">
      <c r="A21" s="3065" t="s">
        <v>262</v>
      </c>
      <c r="B21" s="3065" t="s">
        <v>312</v>
      </c>
      <c r="C21" s="3066"/>
    </row>
    <row r="22" spans="1:3">
      <c r="A22" s="3065" t="s">
        <v>314</v>
      </c>
      <c r="B22" s="3065" t="s">
        <v>312</v>
      </c>
      <c r="C22" s="3066"/>
    </row>
    <row r="23" spans="1:3">
      <c r="A23" s="3065" t="s">
        <v>315</v>
      </c>
      <c r="B23" s="3065" t="s">
        <v>312</v>
      </c>
      <c r="C23" s="3066"/>
    </row>
    <row r="24" spans="1:3">
      <c r="A24" s="3065" t="s">
        <v>316</v>
      </c>
      <c r="B24" s="3065" t="s">
        <v>312</v>
      </c>
      <c r="C24" s="3066"/>
    </row>
    <row r="25" spans="1:3">
      <c r="A25" s="3065" t="s">
        <v>317</v>
      </c>
      <c r="B25" s="3065" t="s">
        <v>312</v>
      </c>
      <c r="C25" s="3066"/>
    </row>
    <row r="26" spans="1:3">
      <c r="A26" s="3065" t="s">
        <v>318</v>
      </c>
      <c r="B26" s="3065" t="s">
        <v>312</v>
      </c>
      <c r="C26" s="3066"/>
    </row>
    <row r="27" spans="1:3">
      <c r="A27" s="3065" t="s">
        <v>312</v>
      </c>
      <c r="B27" s="3065" t="s">
        <v>312</v>
      </c>
      <c r="C27" s="3066"/>
    </row>
    <row r="28" spans="1:3">
      <c r="A28" s="3065" t="s">
        <v>312</v>
      </c>
      <c r="B28" s="3065" t="s">
        <v>312</v>
      </c>
      <c r="C28" s="3066"/>
    </row>
    <row r="29" spans="1:3">
      <c r="A29" s="3065" t="s">
        <v>312</v>
      </c>
      <c r="B29" s="3065" t="s">
        <v>312</v>
      </c>
      <c r="C29" s="3066"/>
    </row>
    <row r="30" spans="1:3">
      <c r="A30" s="3065" t="s">
        <v>312</v>
      </c>
      <c r="B30" s="3065" t="s">
        <v>312</v>
      </c>
      <c r="C30" s="3066"/>
    </row>
    <row r="31" spans="1:3">
      <c r="A31" s="3065" t="s">
        <v>312</v>
      </c>
      <c r="B31" s="3065" t="s">
        <v>312</v>
      </c>
      <c r="C31" s="3066"/>
    </row>
    <row r="32" spans="1:3">
      <c r="A32" s="3065" t="s">
        <v>312</v>
      </c>
      <c r="B32" s="3065" t="s">
        <v>312</v>
      </c>
      <c r="C32" s="3066"/>
    </row>
    <row r="33" spans="1:3">
      <c r="A33" s="3065" t="s">
        <v>312</v>
      </c>
      <c r="B33" s="3065" t="s">
        <v>312</v>
      </c>
      <c r="C33" s="3066"/>
    </row>
    <row r="34" spans="1:3">
      <c r="A34" s="3065" t="s">
        <v>312</v>
      </c>
      <c r="B34" s="3065" t="s">
        <v>312</v>
      </c>
      <c r="C34" s="3066"/>
    </row>
    <row r="35" spans="1:3">
      <c r="A35" s="3065" t="s">
        <v>312</v>
      </c>
      <c r="B35" s="3065" t="s">
        <v>312</v>
      </c>
      <c r="C35" s="3066"/>
    </row>
    <row r="36" spans="1:3">
      <c r="A36" s="3065" t="s">
        <v>312</v>
      </c>
      <c r="B36" s="3065" t="s">
        <v>312</v>
      </c>
      <c r="C36" s="3066"/>
    </row>
    <row r="37" spans="1:3">
      <c r="A37" s="3065" t="s">
        <v>312</v>
      </c>
      <c r="B37" s="3065" t="s">
        <v>312</v>
      </c>
      <c r="C37" s="3066"/>
    </row>
    <row r="38" spans="1:3">
      <c r="A38" s="3065" t="s">
        <v>312</v>
      </c>
      <c r="B38" s="3065" t="s">
        <v>312</v>
      </c>
      <c r="C38" s="3066"/>
    </row>
    <row r="39" spans="1:3">
      <c r="A39" s="3065" t="s">
        <v>312</v>
      </c>
      <c r="B39" s="3065" t="s">
        <v>312</v>
      </c>
      <c r="C39" s="3066"/>
    </row>
    <row r="40" spans="1:3">
      <c r="A40" s="3065" t="s">
        <v>312</v>
      </c>
      <c r="B40" s="3065" t="s">
        <v>312</v>
      </c>
      <c r="C40" s="3066"/>
    </row>
    <row r="41" spans="1:3">
      <c r="A41" s="3065" t="s">
        <v>312</v>
      </c>
      <c r="B41" s="3065" t="s">
        <v>312</v>
      </c>
      <c r="C41" s="3066"/>
    </row>
    <row r="42" spans="1:3">
      <c r="A42" s="3065" t="s">
        <v>312</v>
      </c>
      <c r="B42" s="3065" t="s">
        <v>312</v>
      </c>
      <c r="C42" s="3066"/>
    </row>
    <row r="43" spans="1:3">
      <c r="A43" s="3065" t="s">
        <v>312</v>
      </c>
      <c r="B43" s="3065" t="s">
        <v>312</v>
      </c>
      <c r="C43" s="3066"/>
    </row>
    <row r="44" spans="1:3">
      <c r="A44" s="3065" t="s">
        <v>312</v>
      </c>
      <c r="B44" s="3065" t="s">
        <v>312</v>
      </c>
      <c r="C44" s="3066"/>
    </row>
    <row r="45" spans="1:3">
      <c r="A45" s="3065" t="s">
        <v>312</v>
      </c>
      <c r="B45" s="3065" t="s">
        <v>312</v>
      </c>
      <c r="C45" s="3066"/>
    </row>
    <row r="46" spans="1:3">
      <c r="A46" s="3065" t="s">
        <v>312</v>
      </c>
      <c r="B46" s="3065" t="s">
        <v>312</v>
      </c>
      <c r="C46" s="3066"/>
    </row>
    <row r="47" spans="1:3">
      <c r="A47" s="3065" t="s">
        <v>312</v>
      </c>
      <c r="B47" s="3065" t="s">
        <v>312</v>
      </c>
      <c r="C47" s="3066"/>
    </row>
    <row r="48" spans="1:3">
      <c r="A48" s="3065" t="s">
        <v>312</v>
      </c>
      <c r="B48" s="3065" t="s">
        <v>312</v>
      </c>
      <c r="C48" s="3066"/>
    </row>
    <row r="49" spans="1:3">
      <c r="A49" s="3065" t="s">
        <v>312</v>
      </c>
      <c r="B49" s="3065" t="s">
        <v>312</v>
      </c>
      <c r="C49" s="3066"/>
    </row>
    <row r="50" spans="1:3">
      <c r="A50" s="3065" t="s">
        <v>312</v>
      </c>
      <c r="B50" s="3065" t="s">
        <v>312</v>
      </c>
      <c r="C50" s="3066"/>
    </row>
    <row r="51" spans="1:4">
      <c r="A51" s="3071" t="s">
        <v>319</v>
      </c>
      <c r="B51" s="30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2" t="s">
        <v>320</v>
      </c>
    </row>
    <row r="52" spans="1:4">
      <c r="A52" s="3071" t="s">
        <v>321</v>
      </c>
      <c r="B52" s="3071" t="s">
        <v>322</v>
      </c>
      <c r="C52" s="3059" t="s">
        <v>323</v>
      </c>
      <c r="D52" s="3059" t="s">
        <v>324</v>
      </c>
    </row>
    <row r="53" spans="1:3">
      <c r="A53" s="3063" t="s">
        <v>325</v>
      </c>
      <c r="B53" s="3072" t="s">
        <v>326</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3"/>
      <c r="B54" s="3072" t="s">
        <v>327</v>
      </c>
      <c r="C54" s="3059" t="s">
        <v>328</v>
      </c>
    </row>
    <row r="55" spans="1:3">
      <c r="A55" s="3063"/>
      <c r="B55" s="3072" t="s">
        <v>329</v>
      </c>
      <c r="C55" s="3059" t="s">
        <v>330</v>
      </c>
    </row>
    <row r="56" spans="1:3">
      <c r="A56" s="3063"/>
      <c r="B56" s="3072" t="s">
        <v>331</v>
      </c>
      <c r="C56" s="3059" t="s">
        <v>332</v>
      </c>
    </row>
    <row r="57" spans="1:3">
      <c r="A57" s="3063"/>
      <c r="B57" s="3072" t="s">
        <v>333</v>
      </c>
      <c r="C57" s="3059" t="s">
        <v>334</v>
      </c>
    </row>
    <row r="58" spans="1:2">
      <c r="A58" s="3073"/>
      <c r="B58" s="3059"/>
    </row>
    <row r="59" spans="1:2">
      <c r="A59" s="3073"/>
      <c r="B59" s="3059"/>
    </row>
    <row r="60" spans="1:2">
      <c r="A60" s="3073"/>
      <c r="B60" s="3059"/>
    </row>
    <row r="61" spans="1:2">
      <c r="A61" s="3073"/>
      <c r="B61" s="3059"/>
    </row>
    <row r="62" spans="1:2">
      <c r="A62" s="3073"/>
      <c r="B62" s="3059"/>
    </row>
    <row r="63" spans="1:2">
      <c r="A63" s="3073"/>
      <c r="B63" s="3059"/>
    </row>
    <row r="64" spans="1:2">
      <c r="A64" s="3073"/>
      <c r="B64" s="3059"/>
    </row>
    <row r="65" spans="1:2">
      <c r="A65" s="3073"/>
      <c r="B65" s="3059"/>
    </row>
    <row r="66" spans="1:2">
      <c r="A66" s="3073"/>
      <c r="B66" s="3059"/>
    </row>
    <row r="67" spans="1:2">
      <c r="A67" s="3073"/>
      <c r="B67" s="3059"/>
    </row>
    <row r="68" spans="1:2">
      <c r="A68" s="3073"/>
      <c r="B68" s="3059"/>
    </row>
    <row r="69" spans="1:2">
      <c r="A69" s="3073"/>
      <c r="B69" s="3059"/>
    </row>
    <row r="70" spans="1:2">
      <c r="A70" s="3073"/>
      <c r="B70" s="3059"/>
    </row>
    <row r="71" spans="1:2">
      <c r="A71" s="3073"/>
      <c r="B71" s="3059"/>
    </row>
    <row r="72" spans="1:2">
      <c r="A72" s="3073"/>
      <c r="B72" s="3059"/>
    </row>
    <row r="73" spans="1:2">
      <c r="A73" s="3073"/>
      <c r="B73" s="3059"/>
    </row>
    <row r="74" spans="1:2">
      <c r="A74" s="3073"/>
      <c r="B74" s="3059"/>
    </row>
    <row r="75" spans="1:2">
      <c r="A75" s="3073"/>
      <c r="B75" s="3059"/>
    </row>
    <row r="76" spans="1:2">
      <c r="A76" s="3073"/>
      <c r="B76" s="3059"/>
    </row>
    <row r="77" spans="1:2">
      <c r="A77" s="3073"/>
      <c r="B77" s="3059"/>
    </row>
    <row r="78" spans="1:2">
      <c r="A78" s="3073"/>
      <c r="B78" s="3059"/>
    </row>
    <row r="79" spans="1:2">
      <c r="A79" s="3073"/>
      <c r="B79" s="3059"/>
    </row>
    <row r="80" spans="1:2">
      <c r="A80" s="3073"/>
      <c r="B80" s="3059"/>
    </row>
    <row r="81" spans="1:2">
      <c r="A81" s="3073"/>
      <c r="B81" s="3059"/>
    </row>
    <row r="82" spans="1:2">
      <c r="A82" s="3073"/>
      <c r="B82" s="3059"/>
    </row>
    <row r="83" spans="1:2">
      <c r="A83" s="3073"/>
      <c r="B83" s="3059"/>
    </row>
    <row r="84" spans="1:2">
      <c r="A84" s="3073"/>
      <c r="B84" s="3059"/>
    </row>
    <row r="85" spans="1:2">
      <c r="A85" s="3073"/>
      <c r="B85" s="3059"/>
    </row>
    <row r="86" spans="1:2">
      <c r="A86" s="3073"/>
      <c r="B86" s="3059"/>
    </row>
    <row r="87" spans="1:2">
      <c r="A87" s="3073"/>
      <c r="B87" s="3059"/>
    </row>
    <row r="88" spans="1:2">
      <c r="A88" s="3073"/>
      <c r="B88" s="3059"/>
    </row>
    <row r="89" spans="1:2">
      <c r="A89" s="3073"/>
      <c r="B89" s="3059"/>
    </row>
    <row r="90" spans="1:2">
      <c r="A90" s="3073"/>
      <c r="B90" s="3059"/>
    </row>
    <row r="91" spans="1:2">
      <c r="A91" s="3073"/>
      <c r="B91" s="3059"/>
    </row>
    <row r="92" spans="1:2">
      <c r="A92" s="3073"/>
      <c r="B92" s="3059"/>
    </row>
    <row r="93" spans="1:2">
      <c r="A93" s="3073"/>
      <c r="B93" s="3059"/>
    </row>
    <row r="94" spans="1:2">
      <c r="A94" s="3073"/>
      <c r="B94" s="3059"/>
    </row>
    <row r="95" spans="1:2">
      <c r="A95" s="3073"/>
      <c r="B95" s="3059"/>
    </row>
    <row r="96" spans="1:2">
      <c r="A96" s="3073"/>
      <c r="B96" s="3059"/>
    </row>
    <row r="97" spans="1:2">
      <c r="A97" s="3073"/>
      <c r="B97" s="3059"/>
    </row>
    <row r="98" spans="1:2">
      <c r="A98" s="3073"/>
      <c r="B98" s="3059"/>
    </row>
    <row r="99" spans="1:2">
      <c r="A99" s="3073"/>
      <c r="B99" s="3059"/>
    </row>
    <row r="100" spans="1:2">
      <c r="A100" s="3073"/>
      <c r="B100" s="3059"/>
    </row>
    <row r="101" spans="1:2">
      <c r="A101" s="3073"/>
      <c r="B101" s="3059"/>
    </row>
    <row r="102" spans="1:2">
      <c r="A102" s="3073"/>
      <c r="B102" s="3059"/>
    </row>
    <row r="103" spans="1:2">
      <c r="A103" s="3073"/>
      <c r="B103" s="3059"/>
    </row>
    <row r="104" spans="1:2">
      <c r="A104" s="3073"/>
      <c r="B104" s="3059"/>
    </row>
    <row r="105" spans="1:2">
      <c r="A105" s="3073"/>
      <c r="B105" s="3059"/>
    </row>
    <row r="106" spans="1:2">
      <c r="A106" s="3073"/>
      <c r="B106" s="3059"/>
    </row>
    <row r="107" spans="1:2">
      <c r="A107" s="3073"/>
      <c r="B107" s="3059"/>
    </row>
    <row r="108" spans="1:2">
      <c r="A108" s="3073"/>
      <c r="B108" s="3059"/>
    </row>
    <row r="109" spans="1:2">
      <c r="A109" s="3073"/>
      <c r="B109" s="3059"/>
    </row>
    <row r="110" spans="1:2">
      <c r="A110" s="3073"/>
      <c r="B110" s="3059"/>
    </row>
    <row r="111" spans="1:2">
      <c r="A111" s="3073"/>
      <c r="B111" s="3059"/>
    </row>
    <row r="112" spans="1:2">
      <c r="A112" s="3073"/>
      <c r="B112" s="3059"/>
    </row>
    <row r="113" spans="1:2">
      <c r="A113" s="3073"/>
      <c r="B113" s="3059"/>
    </row>
    <row r="114" spans="1:2">
      <c r="A114" s="3073"/>
      <c r="B114" s="3059"/>
    </row>
    <row r="115" spans="1:2">
      <c r="A115" s="3073"/>
      <c r="B115" s="3059"/>
    </row>
    <row r="116" spans="1:2">
      <c r="A116" s="3073"/>
      <c r="B116" s="3059"/>
    </row>
    <row r="117" spans="1:2">
      <c r="A117" s="3073"/>
      <c r="B117" s="3059"/>
    </row>
    <row r="118" spans="1:2">
      <c r="A118" s="3073"/>
      <c r="B118" s="3059"/>
    </row>
    <row r="119" spans="1:2">
      <c r="A119" s="3073"/>
      <c r="B119" s="3059"/>
    </row>
    <row r="120" spans="1:2">
      <c r="A120" s="3073"/>
      <c r="B120" s="3059"/>
    </row>
    <row r="121" spans="1:2">
      <c r="A121" s="3073"/>
      <c r="B121" s="3059"/>
    </row>
    <row r="122" spans="1:2">
      <c r="A122" s="3073"/>
      <c r="B122" s="3059"/>
    </row>
    <row r="123" spans="1:2">
      <c r="A123" s="3073"/>
      <c r="B123" s="3059"/>
    </row>
    <row r="124" spans="1:2">
      <c r="A124" s="3073"/>
      <c r="B124" s="3059"/>
    </row>
    <row r="125" spans="1:2">
      <c r="A125" s="3073"/>
      <c r="B125" s="3059"/>
    </row>
    <row r="126" spans="1:2">
      <c r="A126" s="3073"/>
      <c r="B126" s="3059"/>
    </row>
    <row r="127" spans="1:2">
      <c r="A127" s="3073"/>
      <c r="B127" s="3059"/>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F30" sqref="F30"/>
    </sheetView>
  </sheetViews>
  <sheetFormatPr defaultColWidth="10" defaultRowHeight="13.2"/>
  <cols>
    <col min="1" max="1" width="16.8796296296296" style="2919" customWidth="1"/>
    <col min="2" max="2" width="10" style="2919" customWidth="1"/>
    <col min="3" max="3" width="11.5" style="2919" customWidth="1"/>
    <col min="4" max="4" width="12.25" style="2919" customWidth="1"/>
    <col min="5" max="5" width="12.6296296296296" style="2919" customWidth="1"/>
    <col min="6" max="6" width="10" style="2919" customWidth="1"/>
    <col min="7" max="7" width="10.75" style="2919" customWidth="1"/>
    <col min="8" max="8" width="10" style="2919" customWidth="1"/>
    <col min="9" max="9" width="11.1296296296296"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北京市房地产抵押价值预评估</v>
      </c>
      <c r="C1" s="2924"/>
      <c r="D1" s="2924"/>
      <c r="E1" s="2924"/>
      <c r="F1" s="2924"/>
      <c r="G1" s="2924"/>
      <c r="H1" s="2924"/>
      <c r="I1" s="3036"/>
      <c r="J1" s="2441"/>
      <c r="K1" s="3027"/>
      <c r="L1" s="3037"/>
      <c r="M1" s="3037"/>
      <c r="N1" s="2967"/>
      <c r="O1" s="3037"/>
      <c r="P1" s="2967"/>
      <c r="Q1" s="2967"/>
      <c r="R1" s="2967"/>
      <c r="S1" s="3053" t="str">
        <f>IF(B10="北京市","北京市",C10)&amp;F10&amp;IF(结果表!G1="在建","出让国有建设用地使用权及在建建筑物房地产抵押价值",IF(结果表!G1="土地","出让国有建设用地使用权抵押价值",B9))</f>
        <v>北京市房地产抵押价值</v>
      </c>
      <c r="T1" s="2919"/>
      <c r="U1" s="2919"/>
      <c r="V1" s="2919"/>
      <c r="W1" s="2919"/>
      <c r="X1" s="2919"/>
      <c r="Y1" s="2919"/>
      <c r="Z1" s="2919"/>
      <c r="AA1" s="2919"/>
      <c r="AB1" s="2919"/>
    </row>
    <row r="2" spans="1:28">
      <c r="A2" s="2925" t="s">
        <v>336</v>
      </c>
      <c r="B2" s="2926"/>
      <c r="C2" s="2927"/>
      <c r="D2" s="2928"/>
      <c r="E2" s="2929"/>
      <c r="F2" s="2929"/>
      <c r="G2" s="2930"/>
      <c r="H2" s="2930"/>
      <c r="I2" s="2930"/>
      <c r="J2" s="2441"/>
      <c r="K2" s="3027"/>
      <c r="L2" s="3037"/>
      <c r="M2" s="3037"/>
      <c r="N2" s="2967"/>
      <c r="O2" s="3037"/>
      <c r="P2" s="2967"/>
      <c r="Q2" s="2967"/>
      <c r="R2" s="2967"/>
      <c r="S2" s="3053" t="str">
        <f>IF(B10="北京市","北京市",C10)&amp;F10&amp;IF(结果表!G1="在建","出让国有建设用地使用权及在建建筑物房地产",IF(结果表!G1="土地","出让国有建设用地使用权","房地产"))</f>
        <v>北京市房地产</v>
      </c>
      <c r="T2" s="2919"/>
      <c r="U2" s="2919"/>
      <c r="V2" s="2919"/>
      <c r="W2" s="2919"/>
      <c r="X2" s="2919"/>
      <c r="Y2" s="2919"/>
      <c r="Z2" s="2919"/>
      <c r="AA2" s="2919"/>
      <c r="AB2" s="2919"/>
    </row>
    <row r="3" spans="1:28">
      <c r="A3" s="1769" t="s">
        <v>337</v>
      </c>
      <c r="B3" s="2931"/>
      <c r="C3" s="2932" t="s">
        <v>338</v>
      </c>
      <c r="D3" s="2931">
        <v>44771</v>
      </c>
      <c r="E3" s="2930"/>
      <c r="F3" s="2930"/>
      <c r="G3" s="2930"/>
      <c r="H3" s="2930"/>
      <c r="I3" s="2930"/>
      <c r="J3" s="2441"/>
      <c r="K3" s="3027"/>
      <c r="L3" s="3037"/>
      <c r="M3" s="3037"/>
      <c r="N3" s="2967"/>
      <c r="O3" s="3037"/>
      <c r="P3" s="2967"/>
      <c r="Q3" s="2967"/>
      <c r="R3" s="2967"/>
      <c r="S3" s="3053"/>
      <c r="T3" s="2919"/>
      <c r="U3" s="2919"/>
      <c r="V3" s="2919"/>
      <c r="W3" s="2919"/>
      <c r="X3" s="2919"/>
      <c r="Y3" s="2919"/>
      <c r="Z3" s="2919"/>
      <c r="AA3" s="2919"/>
      <c r="AB3" s="2919"/>
    </row>
    <row r="4" ht="13.9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7"/>
      <c r="M4" s="3037"/>
      <c r="N4" s="2967"/>
      <c r="O4" s="3037"/>
      <c r="P4" s="2967"/>
      <c r="Q4" s="2967"/>
      <c r="R4" s="2967"/>
      <c r="S4" s="3053"/>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7"/>
      <c r="M5" s="3037"/>
      <c r="N5" s="2967"/>
      <c r="O5" s="3037"/>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8" t="str">
        <f>IF(COUNTIF(B6,"*上海银行*"),"上海银行","")</f>
        <v/>
      </c>
      <c r="L6" s="3039"/>
      <c r="M6" s="3039"/>
      <c r="N6" s="2476"/>
      <c r="O6" s="3039"/>
      <c r="P6" s="2476"/>
      <c r="Q6" s="2476"/>
      <c r="R6" s="2476"/>
    </row>
    <row r="7" spans="1:18">
      <c r="A7" s="2940" t="s">
        <v>342</v>
      </c>
      <c r="B7" s="2944"/>
      <c r="C7" s="2942"/>
      <c r="D7" s="2943"/>
      <c r="E7" s="2929"/>
      <c r="F7" s="2939"/>
      <c r="G7" s="2939"/>
      <c r="H7" s="2939"/>
      <c r="I7" s="2939"/>
      <c r="J7" s="2476"/>
      <c r="K7" s="3038"/>
      <c r="L7" s="3039"/>
      <c r="M7" s="3039"/>
      <c r="N7" s="2476"/>
      <c r="O7" s="3039"/>
      <c r="P7" s="2476"/>
      <c r="Q7" s="2476"/>
      <c r="R7" s="2476"/>
    </row>
    <row r="8" spans="1:18">
      <c r="A8" s="2945" t="s">
        <v>343</v>
      </c>
      <c r="B8" s="2946" t="s">
        <v>322</v>
      </c>
      <c r="C8" s="2947"/>
      <c r="D8" s="2948" t="s">
        <v>344</v>
      </c>
      <c r="E8" s="2949" t="s">
        <v>327</v>
      </c>
      <c r="F8" s="2950"/>
      <c r="G8" s="2930"/>
      <c r="H8" s="2930"/>
      <c r="I8" s="2930"/>
      <c r="J8" s="2476"/>
      <c r="K8" s="3040"/>
      <c r="L8" s="3039"/>
      <c r="M8" s="3039"/>
      <c r="N8" s="2476"/>
      <c r="O8" s="3039"/>
      <c r="P8" s="2476"/>
      <c r="Q8" s="2476"/>
      <c r="R8" s="2476"/>
    </row>
    <row r="9" ht="13.95" spans="1:18">
      <c r="A9" s="2951" t="s">
        <v>345</v>
      </c>
      <c r="B9" s="2952" t="s">
        <v>327</v>
      </c>
      <c r="C9" s="2953"/>
      <c r="D9" s="2954"/>
      <c r="E9" s="2952"/>
      <c r="F9" s="2955"/>
      <c r="G9" s="2956"/>
      <c r="H9" s="2956"/>
      <c r="I9" s="2956"/>
      <c r="J9" s="2476"/>
      <c r="K9" s="3038"/>
      <c r="L9" s="3039"/>
      <c r="M9" s="3039"/>
      <c r="N9" s="2476"/>
      <c r="O9" s="3039"/>
      <c r="P9" s="2476"/>
      <c r="Q9" s="2476"/>
      <c r="R9" s="2476"/>
    </row>
    <row r="10" ht="13.95" spans="1:18">
      <c r="A10" s="2957" t="s">
        <v>346</v>
      </c>
      <c r="B10" s="2958" t="s">
        <v>347</v>
      </c>
      <c r="C10" s="2959"/>
      <c r="D10" s="2938"/>
      <c r="E10" s="703" t="s">
        <v>348</v>
      </c>
      <c r="F10" s="2960"/>
      <c r="G10" s="2961"/>
      <c r="H10" s="2962"/>
      <c r="I10" s="3041"/>
      <c r="J10" s="2476"/>
      <c r="K10" s="3038"/>
      <c r="L10" s="3039"/>
      <c r="M10" s="3039"/>
      <c r="N10" s="2476"/>
      <c r="O10" s="3039"/>
      <c r="P10" s="2476"/>
      <c r="Q10" s="2476"/>
      <c r="R10" s="2476"/>
    </row>
    <row r="11" spans="1:18">
      <c r="A11" s="2963" t="s">
        <v>349</v>
      </c>
      <c r="B11" s="2964" t="s">
        <v>350</v>
      </c>
      <c r="C11" s="2965"/>
      <c r="D11" s="2966"/>
      <c r="E11" s="2967"/>
      <c r="F11" s="2967"/>
      <c r="G11" s="2967"/>
      <c r="H11" s="2967"/>
      <c r="I11" s="2967"/>
      <c r="J11" s="2476"/>
      <c r="K11" s="3038"/>
      <c r="L11" s="3039"/>
      <c r="M11" s="3039"/>
      <c r="N11" s="2476"/>
      <c r="O11" s="3039"/>
      <c r="P11" s="2476"/>
      <c r="Q11" s="2476"/>
      <c r="R11" s="2476"/>
    </row>
    <row r="12" spans="1:18">
      <c r="A12" s="2968" t="s">
        <v>351</v>
      </c>
      <c r="B12" s="2964" t="s">
        <v>352</v>
      </c>
      <c r="C12" s="1811" t="s">
        <v>353</v>
      </c>
      <c r="D12" s="378" t="s">
        <v>354</v>
      </c>
      <c r="E12" s="378" t="s">
        <v>355</v>
      </c>
      <c r="F12" s="378" t="s">
        <v>356</v>
      </c>
      <c r="G12" s="378" t="s">
        <v>357</v>
      </c>
      <c r="H12" s="378" t="s">
        <v>358</v>
      </c>
      <c r="I12" s="378" t="s">
        <v>359</v>
      </c>
      <c r="J12" s="2476"/>
      <c r="K12" s="3038"/>
      <c r="L12" s="3039"/>
      <c r="M12" s="3039"/>
      <c r="N12" s="2476"/>
      <c r="O12" s="3039"/>
      <c r="P12" s="2476"/>
      <c r="Q12" s="2476"/>
      <c r="R12" s="2476"/>
    </row>
    <row r="13" spans="1:18">
      <c r="A13" s="1797"/>
      <c r="B13" s="2969"/>
      <c r="C13" s="2970" t="s">
        <v>360</v>
      </c>
      <c r="D13" s="2971"/>
      <c r="E13" s="2972">
        <v>51648</v>
      </c>
      <c r="F13" s="2971"/>
      <c r="G13" s="2971"/>
      <c r="H13" s="2971"/>
      <c r="I13" s="2971"/>
      <c r="J13" s="2476"/>
      <c r="K13" s="3038"/>
      <c r="L13" s="3039"/>
      <c r="M13" s="3039"/>
      <c r="N13" s="2476"/>
      <c r="O13" s="3039"/>
      <c r="P13" s="2476"/>
      <c r="Q13" s="2476"/>
      <c r="R13" s="2476"/>
    </row>
    <row r="14" spans="1:18">
      <c r="A14" s="1797"/>
      <c r="B14" s="2969"/>
      <c r="C14" s="2970" t="s">
        <v>361</v>
      </c>
      <c r="D14" s="2973"/>
      <c r="E14" s="2973">
        <v>40</v>
      </c>
      <c r="F14" s="2973"/>
      <c r="G14" s="2973"/>
      <c r="H14" s="2973"/>
      <c r="I14" s="2973"/>
      <c r="J14" s="2476"/>
      <c r="K14" s="3038"/>
      <c r="L14" s="3039"/>
      <c r="M14" s="3039"/>
      <c r="N14" s="2476"/>
      <c r="O14" s="3039"/>
      <c r="P14" s="2476"/>
      <c r="Q14" s="2476"/>
      <c r="R14" s="2476"/>
    </row>
    <row r="15" spans="1:18">
      <c r="A15" s="1804"/>
      <c r="B15" s="2974"/>
      <c r="C15" s="2975" t="s">
        <v>362</v>
      </c>
      <c r="D15" s="378" t="str">
        <f>IF(B12="出让",IF(D13="","",ROUNDDOWN(MIN((D13-$D$3)/365,D14),2)),D14)</f>
        <v/>
      </c>
      <c r="E15" s="378">
        <f>IF(B12="出让",IF(E13="","",ROUNDDOWN(MIN((E13-$D$3)/365,E14),2)),E14)</f>
        <v>18.84</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8"/>
      <c r="L15" s="3039"/>
      <c r="M15" s="3039"/>
      <c r="N15" s="2476"/>
      <c r="O15" s="3039"/>
      <c r="P15" s="2476"/>
      <c r="Q15" s="2476"/>
      <c r="R15" s="2476"/>
    </row>
    <row r="16" spans="1:18">
      <c r="A16" s="703" t="s">
        <v>363</v>
      </c>
      <c r="B16" s="2976"/>
      <c r="C16" s="2977"/>
      <c r="D16" s="2978"/>
      <c r="E16" s="1839" t="s">
        <v>364</v>
      </c>
      <c r="F16" s="2979"/>
      <c r="G16" s="2980"/>
      <c r="H16" s="2980"/>
      <c r="I16" s="3042"/>
      <c r="J16" s="2476"/>
      <c r="K16" s="3038"/>
      <c r="L16" s="3039"/>
      <c r="M16" s="3039"/>
      <c r="N16" s="2476"/>
      <c r="O16" s="3039"/>
      <c r="P16" s="2476"/>
      <c r="Q16" s="2476"/>
      <c r="R16" s="2476"/>
    </row>
    <row r="17" spans="1:22">
      <c r="A17" s="1781" t="s">
        <v>365</v>
      </c>
      <c r="B17" s="1769" t="s">
        <v>366</v>
      </c>
      <c r="C17" s="378">
        <f>'数据-汇总表'!E3</f>
        <v>0</v>
      </c>
      <c r="D17" s="1822" t="s">
        <v>367</v>
      </c>
      <c r="E17" s="2981" t="s">
        <v>368</v>
      </c>
      <c r="F17" s="2982"/>
      <c r="G17" s="2982"/>
      <c r="H17" s="2982"/>
      <c r="I17" s="3043"/>
      <c r="J17" s="2476"/>
      <c r="K17" s="3040"/>
      <c r="L17" s="3039"/>
      <c r="M17" s="3039"/>
      <c r="N17" s="2476"/>
      <c r="O17" s="3039"/>
      <c r="P17" s="2476"/>
      <c r="Q17" s="2476"/>
      <c r="R17" s="2476"/>
      <c r="S17" s="2476"/>
      <c r="T17" s="2476"/>
      <c r="U17" s="2476"/>
      <c r="V17" s="2476"/>
    </row>
    <row r="18" ht="24.75" spans="1:22">
      <c r="A18" s="2983" t="s">
        <v>369</v>
      </c>
      <c r="B18" s="1792" t="s">
        <v>370</v>
      </c>
      <c r="C18" s="2984" t="e">
        <f>'数据-汇总表'!D3</f>
        <v>#DIV/0!</v>
      </c>
      <c r="D18" s="1815" t="s">
        <v>367</v>
      </c>
      <c r="E18" s="2985" t="s">
        <v>371</v>
      </c>
      <c r="F18" s="2986"/>
      <c r="G18" s="2986"/>
      <c r="H18" s="2986"/>
      <c r="I18" s="3044"/>
      <c r="J18" s="2476"/>
      <c r="K18" s="3040"/>
      <c r="L18" s="3039"/>
      <c r="M18" s="3039"/>
      <c r="N18" s="2476"/>
      <c r="O18" s="3039"/>
      <c r="P18" s="2476"/>
      <c r="Q18" s="2476"/>
      <c r="R18" s="2476"/>
      <c r="S18" s="2476"/>
      <c r="T18" s="2476"/>
      <c r="U18" s="2476"/>
      <c r="V18" s="2476"/>
    </row>
    <row r="19" ht="25.5" spans="1:22">
      <c r="A19" s="703" t="s">
        <v>372</v>
      </c>
      <c r="B19" s="1774" t="s">
        <v>373</v>
      </c>
      <c r="C19" s="2987"/>
      <c r="D19" s="2988" t="s">
        <v>374</v>
      </c>
      <c r="E19" s="2989"/>
      <c r="F19" s="2990" t="str">
        <f>IF(AND(C19="是",E19="否"),"是否提供他项权证或相关说明","")</f>
        <v/>
      </c>
      <c r="G19" s="2991"/>
      <c r="H19" s="2939"/>
      <c r="I19" s="2939"/>
      <c r="J19" s="2476"/>
      <c r="K19" s="3038"/>
      <c r="L19" s="3039"/>
      <c r="M19" s="3039"/>
      <c r="N19" s="2476"/>
      <c r="O19" s="3039"/>
      <c r="P19" s="2476"/>
      <c r="Q19" s="2476"/>
      <c r="R19" s="2476"/>
      <c r="S19" s="2476"/>
      <c r="T19" s="2476"/>
      <c r="U19" s="2476"/>
      <c r="V19" s="2476"/>
    </row>
    <row r="20" spans="1:28">
      <c r="A20" s="2992" t="s">
        <v>375</v>
      </c>
      <c r="B20" s="2993" t="s">
        <v>376</v>
      </c>
      <c r="C20" s="2994"/>
      <c r="D20" s="2995" t="s">
        <v>377</v>
      </c>
      <c r="E20" s="2996"/>
      <c r="F20" s="2997" t="s">
        <v>378</v>
      </c>
      <c r="G20" s="2939"/>
      <c r="H20" s="2939"/>
      <c r="I20" s="2939"/>
      <c r="J20" s="2476"/>
      <c r="K20" s="3045" t="s">
        <v>379</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7"/>
      <c r="N20" s="2967"/>
      <c r="O20" s="3037"/>
      <c r="P20" s="2967"/>
      <c r="Q20" s="2967"/>
      <c r="R20" s="2967"/>
      <c r="S20" s="2967"/>
      <c r="T20" s="2967"/>
      <c r="U20" s="2967"/>
      <c r="V20" s="2967"/>
      <c r="W20" s="2919"/>
      <c r="X20" s="2919"/>
      <c r="Y20" s="2919"/>
      <c r="Z20" s="2919"/>
      <c r="AA20" s="2919"/>
      <c r="AB20" s="2919"/>
    </row>
    <row r="21" ht="24.75" spans="1:28">
      <c r="A21" s="2992"/>
      <c r="B21" s="2998" t="s">
        <v>380</v>
      </c>
      <c r="C21" s="2471" t="s">
        <v>381</v>
      </c>
      <c r="D21" s="2999" t="s">
        <v>382</v>
      </c>
      <c r="E21" s="3000" t="s">
        <v>381</v>
      </c>
      <c r="F21" s="3001"/>
      <c r="G21" s="2939"/>
      <c r="H21" s="2939"/>
      <c r="I21" s="2939"/>
      <c r="J21" s="2476"/>
      <c r="K21" s="3045"/>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7"/>
      <c r="N21" s="2967"/>
      <c r="O21" s="3037"/>
      <c r="P21" s="2967"/>
      <c r="Q21" s="2967"/>
      <c r="R21" s="2967"/>
      <c r="S21" s="2967"/>
      <c r="T21" s="2967"/>
      <c r="U21" s="2967"/>
      <c r="V21" s="2967"/>
      <c r="W21" s="2919"/>
      <c r="X21" s="2919"/>
      <c r="Y21" s="2919"/>
      <c r="Z21" s="2919"/>
      <c r="AA21" s="2919"/>
      <c r="AB21" s="2919"/>
    </row>
    <row r="22" ht="36.75" spans="1:28">
      <c r="A22" s="2992"/>
      <c r="B22" s="3002" t="s">
        <v>383</v>
      </c>
      <c r="C22" s="2471" t="s">
        <v>384</v>
      </c>
      <c r="D22" s="2930"/>
      <c r="E22" s="2930"/>
      <c r="F22" s="2930"/>
      <c r="G22" s="2939"/>
      <c r="H22" s="2939"/>
      <c r="I22" s="2939"/>
      <c r="J22" s="2476"/>
      <c r="K22" s="3045"/>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7"/>
      <c r="N22" s="2967"/>
      <c r="O22" s="3037"/>
      <c r="P22" s="2967"/>
      <c r="Q22" s="2967"/>
      <c r="R22" s="2967"/>
      <c r="S22" s="2967"/>
      <c r="T22" s="2967"/>
      <c r="U22" s="2967"/>
      <c r="V22" s="2967"/>
      <c r="W22" s="2919"/>
      <c r="X22" s="2919"/>
      <c r="Y22" s="2919"/>
      <c r="Z22" s="2919"/>
      <c r="AA22" s="2919"/>
      <c r="AB22" s="2919"/>
    </row>
    <row r="23" spans="1:22">
      <c r="A23" s="3003" t="s">
        <v>385</v>
      </c>
      <c r="B23" s="2469" t="s">
        <v>386</v>
      </c>
      <c r="C23" s="3004"/>
      <c r="D23" s="3005" t="s">
        <v>386</v>
      </c>
      <c r="E23" s="3006"/>
      <c r="F23" s="2930"/>
      <c r="G23" s="2939"/>
      <c r="H23" s="2939"/>
      <c r="I23" s="2939"/>
      <c r="J23" s="2476"/>
      <c r="K23" s="3038"/>
      <c r="L23" s="1923"/>
      <c r="M23" s="3039"/>
      <c r="N23" s="2476"/>
      <c r="O23" s="3039"/>
      <c r="P23" s="2476"/>
      <c r="Q23" s="2476"/>
      <c r="R23" s="2476"/>
      <c r="S23" s="2476"/>
      <c r="T23" s="2476"/>
      <c r="U23" s="2476"/>
      <c r="V23" s="2476"/>
    </row>
    <row r="24" spans="1:22">
      <c r="A24" s="3003"/>
      <c r="B24" s="2469" t="s">
        <v>387</v>
      </c>
      <c r="C24" s="2445"/>
      <c r="D24" s="3003" t="s">
        <v>387</v>
      </c>
      <c r="E24" s="3007"/>
      <c r="F24" s="2930"/>
      <c r="G24" s="2939"/>
      <c r="H24" s="2939"/>
      <c r="I24" s="2939"/>
      <c r="J24" s="2476"/>
      <c r="K24" s="3038"/>
      <c r="L24" s="1923"/>
      <c r="M24" s="3039"/>
      <c r="N24" s="2476"/>
      <c r="O24" s="3039"/>
      <c r="P24" s="2476"/>
      <c r="Q24" s="2476"/>
      <c r="R24" s="2476"/>
      <c r="S24" s="2476"/>
      <c r="T24" s="2476"/>
      <c r="U24" s="2476"/>
      <c r="V24" s="2476"/>
    </row>
    <row r="25" spans="1:22">
      <c r="A25" s="3003"/>
      <c r="B25" s="2469" t="s">
        <v>388</v>
      </c>
      <c r="C25" s="2445"/>
      <c r="D25" s="3003" t="s">
        <v>388</v>
      </c>
      <c r="E25" s="3007"/>
      <c r="F25" s="2930"/>
      <c r="G25" s="2939"/>
      <c r="H25" s="2939"/>
      <c r="I25" s="2939"/>
      <c r="J25" s="2476"/>
      <c r="K25" s="3038"/>
      <c r="L25" s="3039"/>
      <c r="M25" s="3039"/>
      <c r="N25" s="2476"/>
      <c r="O25" s="3039"/>
      <c r="P25" s="2476"/>
      <c r="Q25" s="2476"/>
      <c r="R25" s="2476"/>
      <c r="S25" s="2476"/>
      <c r="T25" s="2476"/>
      <c r="U25" s="2476"/>
      <c r="V25" s="2476"/>
    </row>
    <row r="26" ht="13.95" spans="1:22">
      <c r="A26" s="3008"/>
      <c r="B26" s="3009" t="s">
        <v>389</v>
      </c>
      <c r="C26" s="3010"/>
      <c r="D26" s="3008" t="s">
        <v>389</v>
      </c>
      <c r="E26" s="3011"/>
      <c r="F26" s="2956"/>
      <c r="G26" s="2956"/>
      <c r="H26" s="2956"/>
      <c r="I26" s="2956"/>
      <c r="J26" s="2476"/>
      <c r="K26" s="3038"/>
      <c r="L26" s="3039"/>
      <c r="M26" s="3039"/>
      <c r="N26" s="2476"/>
      <c r="O26" s="3039"/>
      <c r="P26" s="2476"/>
      <c r="Q26" s="2476"/>
      <c r="R26" s="2476"/>
      <c r="S26" s="2476"/>
      <c r="T26" s="2476"/>
      <c r="U26" s="2476"/>
      <c r="V26" s="2476"/>
    </row>
    <row r="27" ht="13.95" spans="1:22">
      <c r="A27" s="1797" t="s">
        <v>390</v>
      </c>
      <c r="B27" s="1804" t="s">
        <v>391</v>
      </c>
      <c r="C27" s="3012"/>
      <c r="D27" s="3013"/>
      <c r="E27" s="2939"/>
      <c r="F27" s="2939"/>
      <c r="G27" s="2939"/>
      <c r="H27" s="2939"/>
      <c r="I27" s="2939"/>
      <c r="J27" s="2476"/>
      <c r="K27" s="3038"/>
      <c r="L27" s="3039"/>
      <c r="M27" s="3039"/>
      <c r="N27" s="2476"/>
      <c r="O27" s="3039"/>
      <c r="P27" s="2476"/>
      <c r="Q27" s="2476"/>
      <c r="R27" s="2476"/>
      <c r="S27" s="2476"/>
      <c r="T27" s="2476"/>
      <c r="U27" s="2476"/>
      <c r="V27" s="2476"/>
    </row>
    <row r="28" spans="1:22">
      <c r="A28" s="1797"/>
      <c r="B28" s="1769" t="s">
        <v>392</v>
      </c>
      <c r="C28" s="3014"/>
      <c r="D28" s="3015"/>
      <c r="E28" s="2939"/>
      <c r="F28" s="2939"/>
      <c r="G28" s="2939"/>
      <c r="H28" s="2939"/>
      <c r="I28" s="2939"/>
      <c r="J28" s="2476"/>
      <c r="K28" s="3038"/>
      <c r="L28" s="3039"/>
      <c r="M28" s="3039"/>
      <c r="N28" s="2476"/>
      <c r="O28" s="3039"/>
      <c r="P28" s="2476"/>
      <c r="Q28" s="2476"/>
      <c r="R28" s="2476"/>
      <c r="S28" s="2476"/>
      <c r="T28" s="2476"/>
      <c r="U28" s="2476"/>
      <c r="V28" s="2476"/>
    </row>
    <row r="29" spans="1:22">
      <c r="A29" s="1797"/>
      <c r="B29" s="1769" t="s">
        <v>393</v>
      </c>
      <c r="C29" s="3016"/>
      <c r="D29" s="3017"/>
      <c r="E29" s="2939"/>
      <c r="F29" s="2939"/>
      <c r="G29" s="2939"/>
      <c r="H29" s="2939"/>
      <c r="I29" s="2939"/>
      <c r="J29" s="2476"/>
      <c r="K29" s="3038"/>
      <c r="L29" s="3039"/>
      <c r="M29" s="3039"/>
      <c r="N29" s="2476"/>
      <c r="O29" s="3039"/>
      <c r="P29" s="2476"/>
      <c r="Q29" s="2476"/>
      <c r="R29" s="2476"/>
      <c r="S29" s="2476"/>
      <c r="T29" s="2476"/>
      <c r="U29" s="2476"/>
      <c r="V29" s="2476"/>
    </row>
    <row r="30" spans="1:22">
      <c r="A30" s="1804"/>
      <c r="B30" s="1769" t="s">
        <v>394</v>
      </c>
      <c r="C30" s="3018"/>
      <c r="D30" s="3019"/>
      <c r="E30" s="2939"/>
      <c r="F30" s="2939"/>
      <c r="G30" s="2939"/>
      <c r="H30" s="2939"/>
      <c r="I30" s="2939"/>
      <c r="J30" s="2476"/>
      <c r="K30" s="3038"/>
      <c r="L30" s="3039"/>
      <c r="M30" s="3039"/>
      <c r="N30" s="2476"/>
      <c r="O30" s="3039"/>
      <c r="P30" s="2476"/>
      <c r="Q30" s="2476"/>
      <c r="R30" s="2476"/>
      <c r="S30" s="2476"/>
      <c r="T30" s="2476"/>
      <c r="U30" s="2476"/>
      <c r="V30" s="2476"/>
    </row>
    <row r="31" spans="1:22">
      <c r="A31" s="3020" t="s">
        <v>395</v>
      </c>
      <c r="B31" s="3021"/>
      <c r="C31" s="1915" t="str">
        <f>IF(B31="现房","成新及维护状况正常否",IF(B31="在建","工程状态是否正常",IF(B31="土地","是否闲置","-")))</f>
        <v>-</v>
      </c>
      <c r="D31" s="2004"/>
      <c r="E31" s="3022"/>
      <c r="F31" s="2939"/>
      <c r="G31" s="2939"/>
      <c r="H31" s="2939"/>
      <c r="I31" s="2939"/>
      <c r="J31" s="2476"/>
      <c r="K31" s="3038"/>
      <c r="L31" s="3039"/>
      <c r="M31" s="3039"/>
      <c r="N31" s="2476"/>
      <c r="O31" s="3039"/>
      <c r="P31" s="2476"/>
      <c r="Q31" s="2476"/>
      <c r="R31" s="2476"/>
      <c r="S31" s="2476"/>
      <c r="T31" s="2476"/>
      <c r="U31" s="2476"/>
      <c r="V31" s="2476"/>
    </row>
    <row r="32" spans="1:22">
      <c r="A32" s="1771"/>
      <c r="B32" s="3021"/>
      <c r="C32" s="1915" t="str">
        <f>IF(B32="现房","成新及维护状况是否正常",IF(B32="在建","工程状态是否正常",IF(B32="土地","是否闲置","-")))</f>
        <v>-</v>
      </c>
      <c r="D32" s="2004"/>
      <c r="E32" s="3022"/>
      <c r="F32" s="2939"/>
      <c r="G32" s="2939"/>
      <c r="H32" s="2939"/>
      <c r="I32" s="2939"/>
      <c r="J32" s="2476"/>
      <c r="K32" s="3038"/>
      <c r="L32" s="3039"/>
      <c r="M32" s="3039"/>
      <c r="N32" s="2476"/>
      <c r="O32" s="3039"/>
      <c r="P32" s="2476"/>
      <c r="Q32" s="2476"/>
      <c r="R32" s="2476"/>
      <c r="S32" s="2476"/>
      <c r="T32" s="2476"/>
      <c r="U32" s="2476"/>
      <c r="V32" s="2476"/>
    </row>
    <row r="33" spans="1:22">
      <c r="A33" s="1771"/>
      <c r="B33" s="3023"/>
      <c r="C33" s="2220" t="str">
        <f>IF(B33="现房","成新及维护状况是否正常",IF(B33="在建","工程状态是否正常",IF(B33="土地","是否闲置","-")))</f>
        <v>-</v>
      </c>
      <c r="D33" s="1779"/>
      <c r="E33" s="3024"/>
      <c r="F33" s="2939"/>
      <c r="G33" s="2939"/>
      <c r="H33" s="2939"/>
      <c r="I33" s="2939"/>
      <c r="J33" s="2476"/>
      <c r="K33" s="3038"/>
      <c r="L33" s="3039"/>
      <c r="M33" s="3039"/>
      <c r="N33" s="2476"/>
      <c r="O33" s="3039"/>
      <c r="P33" s="2476"/>
      <c r="Q33" s="2476"/>
      <c r="R33" s="2476"/>
      <c r="S33" s="2476"/>
      <c r="T33" s="2476"/>
      <c r="U33" s="2476"/>
      <c r="V33" s="2476"/>
    </row>
    <row r="34" spans="1:22">
      <c r="A34" s="1769" t="s">
        <v>396</v>
      </c>
      <c r="B34" s="3025"/>
      <c r="C34" s="3025"/>
      <c r="D34" s="3025"/>
      <c r="E34" s="3025"/>
      <c r="F34" s="3025"/>
      <c r="G34" s="3025"/>
      <c r="H34" s="3025"/>
      <c r="I34" s="2939"/>
      <c r="J34" s="2476"/>
      <c r="K34" s="378">
        <f>COUNTIF(B34:H34,"——")</f>
        <v>0</v>
      </c>
      <c r="L34" s="1811" t="s">
        <v>397</v>
      </c>
      <c r="M34" s="1811" t="s">
        <v>398</v>
      </c>
      <c r="N34" s="1811" t="s">
        <v>399</v>
      </c>
      <c r="O34" s="1811" t="s">
        <v>400</v>
      </c>
      <c r="P34" s="1811" t="s">
        <v>401</v>
      </c>
      <c r="Q34" s="1811" t="s">
        <v>402</v>
      </c>
      <c r="R34" s="1811" t="s">
        <v>403</v>
      </c>
      <c r="S34" s="378" t="s">
        <v>404</v>
      </c>
      <c r="T34" s="1811" t="str">
        <f>NUMBERSTRING(7-K34,1)&amp;"通"</f>
        <v>七通</v>
      </c>
      <c r="U34" s="2476"/>
      <c r="V34" s="2476"/>
    </row>
    <row r="35" spans="1:22">
      <c r="A35" s="3026"/>
      <c r="B35" s="378" t="s">
        <v>405</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7"/>
      <c r="B36" s="378" t="s">
        <v>355</v>
      </c>
      <c r="C36" s="378" t="s">
        <v>356</v>
      </c>
      <c r="D36" s="378" t="s">
        <v>354</v>
      </c>
      <c r="E36" s="378" t="s">
        <v>359</v>
      </c>
      <c r="F36" s="378" t="s">
        <v>288</v>
      </c>
      <c r="G36" s="2939"/>
      <c r="H36" s="2939"/>
      <c r="I36" s="2939"/>
      <c r="J36" s="2476"/>
      <c r="K36" s="3038"/>
      <c r="L36" s="3039"/>
      <c r="M36" s="3039"/>
      <c r="N36" s="2476"/>
      <c r="O36" s="3039"/>
      <c r="P36" s="2476"/>
      <c r="Q36" s="2476"/>
      <c r="R36" s="2476"/>
      <c r="S36" s="2476"/>
      <c r="T36" s="2476"/>
      <c r="U36" s="2476"/>
      <c r="V36" s="2476"/>
    </row>
    <row r="37" spans="1:22">
      <c r="A37" s="3028" t="s">
        <v>406</v>
      </c>
      <c r="B37" s="2028" t="s">
        <v>232</v>
      </c>
      <c r="C37" s="2028"/>
      <c r="D37" s="2028"/>
      <c r="E37" s="2028"/>
      <c r="F37" s="2028"/>
      <c r="G37" s="2939"/>
      <c r="H37" s="2939"/>
      <c r="I37" s="2939"/>
      <c r="J37" s="2476"/>
      <c r="K37" s="3038"/>
      <c r="L37" s="3039"/>
      <c r="M37" s="3039"/>
      <c r="N37" s="2476"/>
      <c r="O37" s="3039"/>
      <c r="P37" s="2476"/>
      <c r="Q37" s="2476"/>
      <c r="R37" s="2476"/>
      <c r="S37" s="2476"/>
      <c r="T37" s="2476"/>
      <c r="U37" s="2476"/>
      <c r="V37" s="2476"/>
    </row>
    <row r="38" ht="13.95" spans="1:22">
      <c r="A38" s="3029" t="s">
        <v>407</v>
      </c>
      <c r="B38" s="3030" t="s">
        <v>408</v>
      </c>
      <c r="C38" s="3030"/>
      <c r="D38" s="3030"/>
      <c r="E38" s="3030"/>
      <c r="F38" s="3030"/>
      <c r="G38" s="2956"/>
      <c r="H38" s="2956"/>
      <c r="I38" s="2956"/>
      <c r="J38" s="2476"/>
      <c r="K38" s="3038"/>
      <c r="L38" s="3039"/>
      <c r="M38" s="3039"/>
      <c r="N38" s="2476"/>
      <c r="O38" s="3039"/>
      <c r="P38" s="2476"/>
      <c r="Q38" s="2476"/>
      <c r="R38" s="2476"/>
      <c r="S38" s="2476"/>
      <c r="T38" s="2476"/>
      <c r="U38" s="2476"/>
      <c r="V38" s="2476"/>
    </row>
    <row r="39" s="2917" customFormat="1" ht="14.7" spans="1:30">
      <c r="A39" s="3031" t="s">
        <v>409</v>
      </c>
      <c r="B39" s="3032"/>
      <c r="C39" s="3032"/>
      <c r="D39" s="3032"/>
      <c r="E39" s="3032"/>
      <c r="F39" s="3032"/>
      <c r="G39" s="3032"/>
      <c r="H39" s="3032"/>
      <c r="I39" s="3032"/>
      <c r="J39" s="3046"/>
      <c r="K39" s="3047"/>
      <c r="L39" s="3046"/>
      <c r="M39" s="3046"/>
      <c r="N39" s="3046"/>
      <c r="O39" s="3048"/>
      <c r="P39" s="3046"/>
      <c r="Q39" s="3046"/>
      <c r="R39" s="3046"/>
      <c r="S39" s="3046"/>
      <c r="T39" s="3046"/>
      <c r="U39" s="3046"/>
      <c r="V39" s="3046"/>
      <c r="W39" s="3054"/>
      <c r="X39" s="3054"/>
      <c r="Y39" s="3054"/>
      <c r="Z39" s="3054"/>
      <c r="AA39" s="3054"/>
      <c r="AB39" s="3054"/>
      <c r="AC39" s="3054"/>
      <c r="AD39" s="3054"/>
    </row>
    <row r="40" spans="1:22">
      <c r="A40" s="2967"/>
      <c r="B40" s="2967"/>
      <c r="C40" s="2967"/>
      <c r="D40" s="2967"/>
      <c r="E40" s="2967"/>
      <c r="F40" s="2967"/>
      <c r="G40" s="2967"/>
      <c r="H40" s="2967"/>
      <c r="I40" s="2243"/>
      <c r="J40" s="2476"/>
      <c r="K40" s="3038"/>
      <c r="L40" s="3039"/>
      <c r="M40" s="3039"/>
      <c r="N40" s="2476"/>
      <c r="O40" s="3039"/>
      <c r="P40" s="2476"/>
      <c r="Q40" s="2476"/>
      <c r="R40" s="2476"/>
      <c r="S40" s="2476"/>
      <c r="T40" s="2476"/>
      <c r="U40" s="2476"/>
      <c r="V40" s="2476"/>
    </row>
    <row r="41" spans="1:22">
      <c r="A41" s="3033" t="s">
        <v>410</v>
      </c>
      <c r="B41" s="2117"/>
      <c r="C41" s="2004"/>
      <c r="D41" s="2967"/>
      <c r="E41" s="2967"/>
      <c r="F41" s="2967"/>
      <c r="G41" s="2967"/>
      <c r="H41" s="2967"/>
      <c r="I41" s="3037"/>
      <c r="J41" s="2476"/>
      <c r="K41" s="3038"/>
      <c r="L41" s="3039"/>
      <c r="M41" s="3039"/>
      <c r="N41" s="2476"/>
      <c r="O41" s="3039"/>
      <c r="P41" s="2476"/>
      <c r="Q41" s="2476"/>
      <c r="R41" s="2476"/>
      <c r="S41" s="2476"/>
      <c r="T41" s="2476"/>
      <c r="U41" s="2476"/>
      <c r="V41" s="2476"/>
    </row>
    <row r="42" ht="25.2" spans="1:22">
      <c r="A42" s="1811" t="s">
        <v>411</v>
      </c>
      <c r="B42" s="378" t="s">
        <v>412</v>
      </c>
      <c r="C42" s="378" t="s">
        <v>413</v>
      </c>
      <c r="D42" s="378" t="s">
        <v>414</v>
      </c>
      <c r="E42" s="378" t="s">
        <v>415</v>
      </c>
      <c r="F42" s="378" t="s">
        <v>416</v>
      </c>
      <c r="G42" s="378" t="s">
        <v>417</v>
      </c>
      <c r="H42" s="378" t="s">
        <v>418</v>
      </c>
      <c r="I42" s="378" t="s">
        <v>419</v>
      </c>
      <c r="J42" s="3049" t="s">
        <v>420</v>
      </c>
      <c r="K42" s="3050" t="s">
        <v>421</v>
      </c>
      <c r="L42" s="3050" t="s">
        <v>422</v>
      </c>
      <c r="M42" s="3050" t="s">
        <v>423</v>
      </c>
      <c r="N42" s="3050" t="s">
        <v>424</v>
      </c>
      <c r="O42" s="3050" t="s">
        <v>425</v>
      </c>
      <c r="P42" s="3050" t="s">
        <v>426</v>
      </c>
      <c r="Q42" s="3055" t="s">
        <v>427</v>
      </c>
      <c r="R42" s="3055" t="s">
        <v>428</v>
      </c>
      <c r="S42" s="2476"/>
      <c r="T42" s="2476"/>
      <c r="U42" s="2476"/>
      <c r="V42" s="2476"/>
    </row>
    <row r="43" s="2918" customFormat="1" spans="1:22">
      <c r="A43" s="3034"/>
      <c r="B43" s="3035"/>
      <c r="C43" s="3035"/>
      <c r="D43" s="3035"/>
      <c r="E43" s="3035"/>
      <c r="F43" s="3035"/>
      <c r="G43" s="3035"/>
      <c r="H43" s="3035"/>
      <c r="I43" s="3035"/>
      <c r="J43" s="3051"/>
      <c r="K43" s="3035"/>
      <c r="L43" s="3035"/>
      <c r="M43" s="3035"/>
      <c r="N43" s="3035"/>
      <c r="O43" s="3035"/>
      <c r="P43" s="3035"/>
      <c r="Q43" s="3035"/>
      <c r="R43" s="3035"/>
      <c r="S43" s="2476"/>
      <c r="T43" s="2476"/>
      <c r="U43" s="2476"/>
      <c r="V43" s="2476"/>
    </row>
    <row r="44" s="2918" customFormat="1" spans="1:22">
      <c r="A44" s="3034"/>
      <c r="B44" s="3034"/>
      <c r="C44" s="3035"/>
      <c r="D44" s="3035"/>
      <c r="E44" s="3035"/>
      <c r="F44" s="3035"/>
      <c r="G44" s="3035"/>
      <c r="H44" s="3035"/>
      <c r="I44" s="3035"/>
      <c r="J44" s="3051"/>
      <c r="K44" s="3035"/>
      <c r="L44" s="3035"/>
      <c r="M44" s="3035"/>
      <c r="N44" s="3035"/>
      <c r="O44" s="3035"/>
      <c r="P44" s="3035"/>
      <c r="Q44" s="3035"/>
      <c r="R44" s="3035"/>
      <c r="S44" s="2476"/>
      <c r="T44" s="2476"/>
      <c r="U44" s="2476"/>
      <c r="V44" s="2476"/>
    </row>
    <row r="45" s="2918" customFormat="1" spans="1:22">
      <c r="A45" s="3034"/>
      <c r="B45" s="3034"/>
      <c r="C45" s="3035"/>
      <c r="D45" s="3035"/>
      <c r="E45" s="3035"/>
      <c r="F45" s="3035"/>
      <c r="G45" s="3035"/>
      <c r="H45" s="3035"/>
      <c r="I45" s="3035"/>
      <c r="J45" s="3051"/>
      <c r="K45" s="3035"/>
      <c r="L45" s="3035"/>
      <c r="M45" s="3035"/>
      <c r="N45" s="3035"/>
      <c r="O45" s="3035"/>
      <c r="P45" s="3035"/>
      <c r="Q45" s="3035"/>
      <c r="R45" s="3035"/>
      <c r="S45" s="2476"/>
      <c r="T45" s="2476"/>
      <c r="U45" s="2476"/>
      <c r="V45" s="2476"/>
    </row>
    <row r="46" s="2918" customFormat="1" spans="1:22">
      <c r="A46" s="3034"/>
      <c r="B46" s="3034"/>
      <c r="C46" s="3035"/>
      <c r="D46" s="3035"/>
      <c r="E46" s="3035"/>
      <c r="F46" s="3035"/>
      <c r="G46" s="3035"/>
      <c r="H46" s="3035"/>
      <c r="I46" s="3035"/>
      <c r="J46" s="3051"/>
      <c r="K46" s="3035"/>
      <c r="L46" s="3035"/>
      <c r="M46" s="3035"/>
      <c r="N46" s="3035"/>
      <c r="O46" s="3035"/>
      <c r="P46" s="3035"/>
      <c r="Q46" s="3035"/>
      <c r="R46" s="3035"/>
      <c r="S46" s="2476"/>
      <c r="T46" s="2476"/>
      <c r="U46" s="2476"/>
      <c r="V46" s="2476"/>
    </row>
    <row r="47" s="2918" customFormat="1" spans="1:22">
      <c r="A47" s="3034"/>
      <c r="B47" s="3034"/>
      <c r="C47" s="3035"/>
      <c r="D47" s="3035"/>
      <c r="E47" s="3035"/>
      <c r="F47" s="3035"/>
      <c r="G47" s="3035"/>
      <c r="H47" s="3035"/>
      <c r="I47" s="3035"/>
      <c r="J47" s="3051"/>
      <c r="K47" s="3035"/>
      <c r="L47" s="3035"/>
      <c r="M47" s="3035"/>
      <c r="N47" s="3035"/>
      <c r="O47" s="3035"/>
      <c r="P47" s="3035"/>
      <c r="Q47" s="3035"/>
      <c r="R47" s="3035"/>
      <c r="S47" s="2476"/>
      <c r="T47" s="2476"/>
      <c r="U47" s="2476"/>
      <c r="V47" s="2476"/>
    </row>
    <row r="48" s="2918" customFormat="1" spans="1:22">
      <c r="A48" s="3034"/>
      <c r="B48" s="3034"/>
      <c r="C48" s="3035"/>
      <c r="D48" s="3035"/>
      <c r="E48" s="3035"/>
      <c r="F48" s="3035"/>
      <c r="G48" s="3035"/>
      <c r="H48" s="3035"/>
      <c r="I48" s="3035"/>
      <c r="J48" s="3051"/>
      <c r="K48" s="3035"/>
      <c r="L48" s="3035"/>
      <c r="M48" s="3035"/>
      <c r="N48" s="3035"/>
      <c r="O48" s="3035"/>
      <c r="P48" s="3035"/>
      <c r="Q48" s="3035"/>
      <c r="R48" s="3035"/>
      <c r="S48" s="2476"/>
      <c r="T48" s="2476"/>
      <c r="U48" s="2476"/>
      <c r="V48" s="2476"/>
    </row>
    <row r="49" s="2918" customFormat="1" spans="1:22">
      <c r="A49" s="3034"/>
      <c r="B49" s="3034"/>
      <c r="C49" s="3035"/>
      <c r="D49" s="3035"/>
      <c r="E49" s="3035"/>
      <c r="F49" s="3035"/>
      <c r="G49" s="3035"/>
      <c r="H49" s="3035"/>
      <c r="I49" s="3035"/>
      <c r="J49" s="3051"/>
      <c r="K49" s="3035"/>
      <c r="L49" s="3035"/>
      <c r="M49" s="3035"/>
      <c r="N49" s="3035"/>
      <c r="O49" s="3035"/>
      <c r="P49" s="3035"/>
      <c r="Q49" s="3035"/>
      <c r="R49" s="3035"/>
      <c r="S49" s="2476"/>
      <c r="T49" s="2476"/>
      <c r="U49" s="2476"/>
      <c r="V49" s="2476"/>
    </row>
    <row r="50" s="2918" customFormat="1" spans="1:22">
      <c r="A50" s="3034"/>
      <c r="B50" s="3034"/>
      <c r="C50" s="3035"/>
      <c r="D50" s="3035"/>
      <c r="E50" s="3035"/>
      <c r="F50" s="3035"/>
      <c r="G50" s="3035"/>
      <c r="H50" s="3035"/>
      <c r="I50" s="3035"/>
      <c r="J50" s="3051"/>
      <c r="K50" s="3035"/>
      <c r="L50" s="3035"/>
      <c r="M50" s="3035"/>
      <c r="N50" s="3035"/>
      <c r="O50" s="3035"/>
      <c r="P50" s="3035"/>
      <c r="Q50" s="3035"/>
      <c r="R50" s="3035"/>
      <c r="S50" s="2476"/>
      <c r="T50" s="2476"/>
      <c r="U50" s="2476"/>
      <c r="V50" s="2476"/>
    </row>
    <row r="51" s="2918" customFormat="1" spans="1:18">
      <c r="A51" s="3034"/>
      <c r="B51" s="3034"/>
      <c r="C51" s="3035"/>
      <c r="D51" s="3035"/>
      <c r="E51" s="3035"/>
      <c r="F51" s="3035"/>
      <c r="G51" s="3035"/>
      <c r="H51" s="3035"/>
      <c r="I51" s="3035"/>
      <c r="J51" s="3051"/>
      <c r="K51" s="3035"/>
      <c r="L51" s="3035"/>
      <c r="M51" s="3035"/>
      <c r="N51" s="3035"/>
      <c r="O51" s="3035"/>
      <c r="P51" s="3035"/>
      <c r="Q51" s="3035"/>
      <c r="R51" s="3035"/>
    </row>
    <row r="52" s="2918" customFormat="1" spans="1:18">
      <c r="A52" s="3034"/>
      <c r="B52" s="3034"/>
      <c r="C52" s="3034"/>
      <c r="D52" s="3034"/>
      <c r="E52" s="3034"/>
      <c r="F52" s="3035"/>
      <c r="G52" s="3034"/>
      <c r="H52" s="3034"/>
      <c r="I52" s="3034"/>
      <c r="J52" s="3052"/>
      <c r="K52" s="3035"/>
      <c r="L52" s="3035"/>
      <c r="M52" s="3035"/>
      <c r="N52" s="3034"/>
      <c r="O52" s="3034"/>
      <c r="P52" s="3034"/>
      <c r="Q52" s="3034"/>
      <c r="R52" s="3034"/>
    </row>
    <row r="53" s="2918" customFormat="1" spans="1:18">
      <c r="A53" s="3034"/>
      <c r="B53" s="3034"/>
      <c r="C53" s="3034"/>
      <c r="D53" s="3034"/>
      <c r="E53" s="3034"/>
      <c r="F53" s="3035"/>
      <c r="G53" s="3034"/>
      <c r="H53" s="3034"/>
      <c r="I53" s="3034"/>
      <c r="J53" s="3052"/>
      <c r="K53" s="3035"/>
      <c r="L53" s="3035"/>
      <c r="M53" s="3035"/>
      <c r="N53" s="3034"/>
      <c r="O53" s="3034"/>
      <c r="P53" s="3034"/>
      <c r="Q53" s="3034"/>
      <c r="R53" s="3034"/>
    </row>
    <row r="54" s="2918" customFormat="1" spans="1:18">
      <c r="A54" s="3034"/>
      <c r="B54" s="3034"/>
      <c r="C54" s="3034"/>
      <c r="D54" s="3034"/>
      <c r="E54" s="3034"/>
      <c r="F54" s="3035"/>
      <c r="G54" s="3034"/>
      <c r="H54" s="3034"/>
      <c r="I54" s="3034"/>
      <c r="J54" s="3052"/>
      <c r="K54" s="3035"/>
      <c r="L54" s="3035"/>
      <c r="M54" s="3035"/>
      <c r="N54" s="3034"/>
      <c r="O54" s="3034"/>
      <c r="P54" s="3034"/>
      <c r="Q54" s="3034"/>
      <c r="R54" s="3034"/>
    </row>
    <row r="55" s="2918" customFormat="1" spans="1:18">
      <c r="A55" s="3034"/>
      <c r="B55" s="3034"/>
      <c r="C55" s="3034"/>
      <c r="D55" s="3034"/>
      <c r="E55" s="3034"/>
      <c r="F55" s="3035"/>
      <c r="G55" s="3034"/>
      <c r="H55" s="3034"/>
      <c r="I55" s="3034"/>
      <c r="J55" s="3052"/>
      <c r="K55" s="3035"/>
      <c r="L55" s="3035"/>
      <c r="M55" s="3035"/>
      <c r="N55" s="3034"/>
      <c r="O55" s="3034"/>
      <c r="P55" s="3034"/>
      <c r="Q55" s="3034"/>
      <c r="R55" s="3034"/>
    </row>
    <row r="56" s="2918" customFormat="1" spans="1:18">
      <c r="A56" s="3034"/>
      <c r="B56" s="3034"/>
      <c r="C56" s="3034"/>
      <c r="D56" s="3034"/>
      <c r="E56" s="3034"/>
      <c r="F56" s="3035"/>
      <c r="G56" s="3034"/>
      <c r="H56" s="3034"/>
      <c r="I56" s="3034"/>
      <c r="J56" s="3052"/>
      <c r="K56" s="3035"/>
      <c r="L56" s="3035"/>
      <c r="M56" s="3035"/>
      <c r="N56" s="3034"/>
      <c r="O56" s="3034"/>
      <c r="P56" s="3034"/>
      <c r="Q56" s="3034"/>
      <c r="R56" s="30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296296296296" style="2804" customWidth="1"/>
    <col min="2" max="2" width="11" style="2804" customWidth="1"/>
    <col min="3" max="3" width="10.3796296296296" style="2804" customWidth="1"/>
    <col min="4" max="4" width="9.12962962962963" style="2804" customWidth="1"/>
    <col min="5" max="6" width="10" style="2802" customWidth="1"/>
    <col min="7" max="8" width="10" style="2804" customWidth="1"/>
    <col min="9" max="9" width="10.6296296296296" style="2804" customWidth="1"/>
    <col min="10" max="10" width="9.5" style="2804" customWidth="1"/>
    <col min="11" max="11" width="11" style="2804" customWidth="1"/>
    <col min="12" max="14" width="9.5" style="2804" customWidth="1"/>
    <col min="15" max="15" width="9.87962962962963" style="2804" customWidth="1"/>
    <col min="16" max="16" width="9.75" style="2804" customWidth="1"/>
    <col min="17" max="17" width="9.37962962962963" style="2804" customWidth="1"/>
    <col min="18" max="18" width="9.25" style="2804" customWidth="1"/>
    <col min="19" max="19" width="10.8796296296296" style="2804" customWidth="1"/>
    <col min="20" max="21" width="10.75" style="2804" customWidth="1"/>
    <col min="22" max="22" width="10.8796296296296" style="2804" customWidth="1"/>
    <col min="23" max="27" width="10.75" style="2804" customWidth="1"/>
    <col min="28" max="28" width="10.8796296296296" style="2804" customWidth="1"/>
    <col min="29" max="29" width="11" style="2804" customWidth="1"/>
    <col min="30" max="30" width="10" style="2804" customWidth="1"/>
    <col min="31" max="31" width="9.75" style="2804" customWidth="1"/>
    <col min="32" max="46" width="9.5" style="2804" customWidth="1"/>
    <col min="47" max="47" width="18.1296296296296" style="2804" customWidth="1"/>
    <col min="48" max="50" width="9.75" style="2804" customWidth="1"/>
    <col min="51" max="55" width="10.5" style="2804" customWidth="1"/>
    <col min="56" max="56" width="9.5" style="2804" customWidth="1"/>
    <col min="57" max="63" width="9.12962962962963" style="2804" customWidth="1"/>
    <col min="64" max="64" width="9.5" style="2804" customWidth="1"/>
    <col min="65" max="65" width="9.12962962962963" style="2804" customWidth="1"/>
    <col min="66" max="66" width="9.5" style="2804" customWidth="1"/>
    <col min="67" max="69" width="9.12962962962963" style="2804" customWidth="1"/>
    <col min="70" max="70" width="9.5" style="2804" customWidth="1"/>
    <col min="71" max="71" width="9" style="2804" customWidth="1"/>
    <col min="72" max="72" width="9.12962962962963" style="2804" customWidth="1"/>
    <col min="73" max="16384" width="8.87962962962963" style="2804"/>
  </cols>
  <sheetData>
    <row r="1" ht="20.4" spans="1:72">
      <c r="A1" s="2805" t="s">
        <v>429</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430</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370</v>
      </c>
      <c r="B2" s="2807" t="s">
        <v>366</v>
      </c>
      <c r="C2" s="2807" t="s">
        <v>431</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432</v>
      </c>
      <c r="AZ2" s="2886" t="s">
        <v>433</v>
      </c>
      <c r="BA2" s="2807" t="s">
        <v>434</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435</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436</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436</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437</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437</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438</v>
      </c>
      <c r="B7" s="2824" t="s">
        <v>439</v>
      </c>
      <c r="C7" s="2824" t="s">
        <v>412</v>
      </c>
      <c r="D7" s="2825" t="s">
        <v>440</v>
      </c>
      <c r="E7" s="2824" t="s">
        <v>437</v>
      </c>
      <c r="F7" s="2824" t="s">
        <v>441</v>
      </c>
      <c r="G7" s="2826" t="s">
        <v>442</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443</v>
      </c>
      <c r="AV7" s="2876" t="s">
        <v>438</v>
      </c>
      <c r="AW7" s="2810" t="s">
        <v>439</v>
      </c>
      <c r="AX7" s="2876" t="s">
        <v>412</v>
      </c>
      <c r="AY7" s="2818" t="s">
        <v>444</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445</v>
      </c>
      <c r="H8" s="2830" t="s">
        <v>446</v>
      </c>
      <c r="I8" s="2850"/>
      <c r="J8" s="2851"/>
      <c r="K8" s="2851"/>
      <c r="L8" s="2851"/>
      <c r="M8" s="2851"/>
      <c r="N8" s="2851"/>
      <c r="O8" s="2851"/>
      <c r="P8" s="2851"/>
      <c r="Q8" s="2851"/>
      <c r="R8" s="2851"/>
      <c r="S8" s="2851"/>
      <c r="T8" s="2851"/>
      <c r="U8" s="2851"/>
      <c r="V8" s="2859"/>
      <c r="W8" s="2851"/>
      <c r="X8" s="2851"/>
      <c r="Y8" s="2851"/>
      <c r="Z8" s="2851"/>
      <c r="AA8" s="2859"/>
      <c r="AB8" s="2862"/>
      <c r="AC8" s="2853" t="s">
        <v>447</v>
      </c>
      <c r="AD8" s="2863"/>
      <c r="AE8" s="2864"/>
      <c r="AF8" s="2851"/>
      <c r="AG8" s="2851"/>
      <c r="AH8" s="2851"/>
      <c r="AI8" s="2851"/>
      <c r="AJ8" s="2851"/>
      <c r="AK8" s="2851"/>
      <c r="AL8" s="2851"/>
      <c r="AM8" s="2851"/>
      <c r="AN8" s="2851"/>
      <c r="AO8" s="2851"/>
      <c r="AP8" s="2851"/>
      <c r="AQ8" s="2851"/>
      <c r="AR8" s="2851"/>
      <c r="AS8" s="2851"/>
      <c r="AT8" s="2831" t="s">
        <v>448</v>
      </c>
      <c r="AU8" s="2828" t="s">
        <v>449</v>
      </c>
      <c r="AV8" s="2831"/>
      <c r="AW8" s="2809"/>
      <c r="AX8" s="2831"/>
      <c r="AY8" s="2810" t="s">
        <v>437</v>
      </c>
      <c r="AZ8" s="2873" t="s">
        <v>366</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450</v>
      </c>
      <c r="I9" s="2852"/>
      <c r="J9" s="2853"/>
      <c r="K9" s="2852"/>
      <c r="L9" s="2853"/>
      <c r="M9" s="2852"/>
      <c r="N9" s="2853"/>
      <c r="O9" s="2852"/>
      <c r="P9" s="2853"/>
      <c r="Q9" s="2852"/>
      <c r="R9" s="2853"/>
      <c r="S9" s="2852"/>
      <c r="T9" s="2853"/>
      <c r="U9" s="2852"/>
      <c r="V9" s="2853"/>
      <c r="W9" s="2852"/>
      <c r="X9" s="2860"/>
      <c r="Y9" s="2852"/>
      <c r="Z9" s="2853"/>
      <c r="AA9" s="2852"/>
      <c r="AB9" s="2853"/>
      <c r="AC9" s="2829" t="s">
        <v>450</v>
      </c>
      <c r="AD9" s="2817" t="s">
        <v>451</v>
      </c>
      <c r="AE9" s="2865"/>
      <c r="AF9" s="2817" t="s">
        <v>452</v>
      </c>
      <c r="AG9" s="2865"/>
      <c r="AH9" s="2817" t="s">
        <v>451</v>
      </c>
      <c r="AI9" s="2865"/>
      <c r="AJ9" s="2817" t="s">
        <v>452</v>
      </c>
      <c r="AK9" s="2865"/>
      <c r="AL9" s="2817" t="s">
        <v>451</v>
      </c>
      <c r="AM9" s="2865"/>
      <c r="AN9" s="2817" t="s">
        <v>452</v>
      </c>
      <c r="AO9" s="2865"/>
      <c r="AP9" s="2817" t="s">
        <v>451</v>
      </c>
      <c r="AQ9" s="2865"/>
      <c r="AR9" s="2817" t="s">
        <v>452</v>
      </c>
      <c r="AS9" s="2877"/>
      <c r="AT9" s="2828"/>
      <c r="AU9" s="2828" t="s">
        <v>453</v>
      </c>
      <c r="AV9" s="2831"/>
      <c r="AW9" s="2809"/>
      <c r="AX9" s="2831"/>
      <c r="AY9" s="2833"/>
      <c r="AZ9" s="2833" t="s">
        <v>445</v>
      </c>
      <c r="BA9" s="2893" t="s">
        <v>454</v>
      </c>
      <c r="BB9" s="2894"/>
      <c r="BC9" s="2895"/>
      <c r="BD9" s="2895"/>
      <c r="BE9" s="2895"/>
      <c r="BF9" s="2895"/>
      <c r="BG9" s="2895"/>
      <c r="BH9" s="2895"/>
      <c r="BI9" s="2895"/>
      <c r="BJ9" s="2895"/>
      <c r="BK9" s="2902"/>
      <c r="BL9" s="2817" t="s">
        <v>455</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456</v>
      </c>
      <c r="AE10" s="2866"/>
      <c r="AF10" s="2817" t="s">
        <v>456</v>
      </c>
      <c r="AG10" s="2866"/>
      <c r="AH10" s="2817" t="s">
        <v>457</v>
      </c>
      <c r="AI10" s="2866"/>
      <c r="AJ10" s="2817" t="s">
        <v>457</v>
      </c>
      <c r="AK10" s="2866"/>
      <c r="AL10" s="2817" t="s">
        <v>458</v>
      </c>
      <c r="AM10" s="2865"/>
      <c r="AN10" s="2817" t="s">
        <v>458</v>
      </c>
      <c r="AO10" s="2865"/>
      <c r="AP10" s="2817" t="s">
        <v>459</v>
      </c>
      <c r="AQ10" s="2865"/>
      <c r="AR10" s="2817" t="s">
        <v>459</v>
      </c>
      <c r="AS10" s="2865"/>
      <c r="AT10" s="2828"/>
      <c r="AU10" s="2828"/>
      <c r="AV10" s="2831"/>
      <c r="AW10" s="2809"/>
      <c r="AX10" s="2831"/>
      <c r="AY10" s="2833"/>
      <c r="AZ10" s="2833"/>
      <c r="BA10" s="2834" t="s">
        <v>450</v>
      </c>
      <c r="BB10" s="2896">
        <f>I9</f>
        <v>0</v>
      </c>
      <c r="BC10" s="2897">
        <f>K9</f>
        <v>0</v>
      </c>
      <c r="BD10" s="2897">
        <f>M9</f>
        <v>0</v>
      </c>
      <c r="BE10" s="2897">
        <f>O9</f>
        <v>0</v>
      </c>
      <c r="BF10" s="2897">
        <f>Q9</f>
        <v>0</v>
      </c>
      <c r="BG10" s="2897">
        <f>S9</f>
        <v>0</v>
      </c>
      <c r="BH10" s="2897">
        <f>U9</f>
        <v>0</v>
      </c>
      <c r="BI10" s="2897">
        <f>W9</f>
        <v>0</v>
      </c>
      <c r="BJ10" s="2897">
        <f>Y9</f>
        <v>0</v>
      </c>
      <c r="BK10" s="2897">
        <f>AA9</f>
        <v>0</v>
      </c>
      <c r="BL10" s="2903" t="s">
        <v>450</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460</v>
      </c>
      <c r="AE11" s="2868"/>
      <c r="AF11" s="2867" t="s">
        <v>460</v>
      </c>
      <c r="AG11" s="2868"/>
      <c r="AH11" s="2867" t="s">
        <v>461</v>
      </c>
      <c r="AI11" s="2872"/>
      <c r="AJ11" s="2867" t="s">
        <v>461</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462</v>
      </c>
      <c r="J12" s="2807" t="s">
        <v>463</v>
      </c>
      <c r="K12" s="2807" t="s">
        <v>462</v>
      </c>
      <c r="L12" s="2807" t="s">
        <v>463</v>
      </c>
      <c r="M12" s="2807" t="s">
        <v>462</v>
      </c>
      <c r="N12" s="2807" t="s">
        <v>463</v>
      </c>
      <c r="O12" s="2807" t="s">
        <v>462</v>
      </c>
      <c r="P12" s="2807" t="s">
        <v>463</v>
      </c>
      <c r="Q12" s="2807" t="s">
        <v>462</v>
      </c>
      <c r="R12" s="2807" t="s">
        <v>463</v>
      </c>
      <c r="S12" s="2807" t="s">
        <v>462</v>
      </c>
      <c r="T12" s="2807" t="s">
        <v>463</v>
      </c>
      <c r="U12" s="2807" t="s">
        <v>462</v>
      </c>
      <c r="V12" s="2861" t="s">
        <v>463</v>
      </c>
      <c r="W12" s="2807" t="s">
        <v>462</v>
      </c>
      <c r="X12" s="2807" t="s">
        <v>463</v>
      </c>
      <c r="Y12" s="2807" t="s">
        <v>462</v>
      </c>
      <c r="Z12" s="2807" t="s">
        <v>463</v>
      </c>
      <c r="AA12" s="2807" t="s">
        <v>462</v>
      </c>
      <c r="AB12" s="2807" t="s">
        <v>463</v>
      </c>
      <c r="AC12" s="2869"/>
      <c r="AD12" s="2819" t="s">
        <v>462</v>
      </c>
      <c r="AE12" s="2807" t="s">
        <v>463</v>
      </c>
      <c r="AF12" s="2807" t="s">
        <v>462</v>
      </c>
      <c r="AG12" s="2807" t="s">
        <v>463</v>
      </c>
      <c r="AH12" s="2807" t="s">
        <v>462</v>
      </c>
      <c r="AI12" s="2807" t="s">
        <v>463</v>
      </c>
      <c r="AJ12" s="2807" t="s">
        <v>462</v>
      </c>
      <c r="AK12" s="2807" t="s">
        <v>463</v>
      </c>
      <c r="AL12" s="2807" t="s">
        <v>462</v>
      </c>
      <c r="AM12" s="2807" t="s">
        <v>463</v>
      </c>
      <c r="AN12" s="2807" t="s">
        <v>462</v>
      </c>
      <c r="AO12" s="2807" t="s">
        <v>463</v>
      </c>
      <c r="AP12" s="2807" t="s">
        <v>462</v>
      </c>
      <c r="AQ12" s="2807" t="s">
        <v>463</v>
      </c>
      <c r="AR12" s="2836" t="s">
        <v>462</v>
      </c>
      <c r="AS12" s="2835" t="s">
        <v>463</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2"/>
  <sheetViews>
    <sheetView view="pageBreakPreview" zoomScale="70" zoomScaleNormal="100" workbookViewId="0">
      <selection activeCell="F19" sqref="F19"/>
    </sheetView>
  </sheetViews>
  <sheetFormatPr defaultColWidth="9.25" defaultRowHeight="13.8"/>
  <cols>
    <col min="1" max="1" width="12.1296296296296" style="2709" customWidth="1"/>
    <col min="2" max="2" width="10.25" style="2709" customWidth="1"/>
    <col min="3" max="3" width="18.5" style="2709" customWidth="1"/>
    <col min="4" max="4" width="11.6296296296296" style="2709" customWidth="1"/>
    <col min="5" max="5" width="13.3796296296296" style="2709" customWidth="1"/>
    <col min="6" max="8" width="11.5" style="2709" customWidth="1"/>
    <col min="9" max="9" width="11.1296296296296" style="2709" customWidth="1"/>
    <col min="10" max="10" width="3.12962962962963" style="2710" customWidth="1"/>
    <col min="11" max="16" width="10" style="2709" customWidth="1"/>
    <col min="17" max="17" width="2.62962962962963" style="2709" customWidth="1"/>
    <col min="18" max="18" width="9.37962962962963" style="2709" customWidth="1"/>
    <col min="19" max="19" width="10.5" style="2709" customWidth="1"/>
    <col min="20" max="16384" width="9.25" style="2709"/>
  </cols>
  <sheetData>
    <row r="1" ht="18.15" spans="1:16">
      <c r="A1" s="2102" t="s">
        <v>464</v>
      </c>
      <c r="B1" s="2185"/>
      <c r="C1" s="2185"/>
      <c r="D1" s="2185"/>
      <c r="E1" s="2185"/>
      <c r="F1" s="2185"/>
      <c r="G1" s="2185"/>
      <c r="H1" s="2185"/>
      <c r="I1" s="2185"/>
      <c r="J1" s="2185"/>
      <c r="K1" s="2185"/>
      <c r="L1" s="2185"/>
      <c r="M1" s="2185"/>
      <c r="N1" s="2185"/>
      <c r="O1" s="2185"/>
      <c r="P1" s="2185"/>
    </row>
    <row r="2" ht="14.4" spans="1:16">
      <c r="A2" s="2036" t="s">
        <v>465</v>
      </c>
      <c r="B2" s="2036"/>
      <c r="C2" s="2036"/>
      <c r="D2" s="2036" t="s">
        <v>466</v>
      </c>
      <c r="E2" s="2711" t="s">
        <v>467</v>
      </c>
      <c r="F2" s="2712"/>
      <c r="G2" s="2713"/>
      <c r="H2" s="2714"/>
      <c r="I2" s="2327" t="s">
        <v>468</v>
      </c>
      <c r="J2" s="2712"/>
      <c r="K2" s="2712"/>
      <c r="L2" s="2712"/>
      <c r="M2" s="2712"/>
      <c r="N2" s="1278"/>
      <c r="O2" s="2712"/>
      <c r="P2" s="2712"/>
    </row>
    <row r="3" ht="15.15" spans="1:16">
      <c r="A3" s="2054" t="s">
        <v>469</v>
      </c>
      <c r="B3" s="2054"/>
      <c r="C3" s="2054"/>
      <c r="D3" s="2715" t="e">
        <f>'数据-基础表'!AY6</f>
        <v>#DIV/0!</v>
      </c>
      <c r="E3" s="2715">
        <f>'数据-基础表'!AZ5</f>
        <v>0</v>
      </c>
      <c r="F3" s="2712"/>
      <c r="G3" s="2716"/>
      <c r="H3" s="2133" t="s">
        <v>470</v>
      </c>
      <c r="I3" s="1455" t="e">
        <f>ROUND('数据-基础表'!B3/'数据-基础表'!A3,2)</f>
        <v>#DIV/0!</v>
      </c>
      <c r="J3" s="2712"/>
      <c r="K3" s="2712"/>
      <c r="L3" s="2712"/>
      <c r="M3" s="2712"/>
      <c r="N3" s="1278"/>
      <c r="O3" s="2712"/>
      <c r="P3" s="2712"/>
    </row>
    <row r="4" ht="14.4" spans="1:16">
      <c r="A4" s="2325"/>
      <c r="B4" s="2326"/>
      <c r="C4" s="2717"/>
      <c r="D4" s="2718" t="s">
        <v>466</v>
      </c>
      <c r="E4" s="2719" t="s">
        <v>467</v>
      </c>
      <c r="F4" s="2712"/>
      <c r="G4" s="2720" t="s">
        <v>471</v>
      </c>
      <c r="H4" s="2133" t="s">
        <v>472</v>
      </c>
      <c r="I4" s="1455" t="e">
        <f>ROUND(SUMIF('数据-基础表'!I9:AS9,"地上",'数据-基础表'!I5:AS5)/'数据-基础表'!A3,2)</f>
        <v>#DIV/0!</v>
      </c>
      <c r="J4" s="2712"/>
      <c r="K4" s="2712"/>
      <c r="L4" s="2712"/>
      <c r="M4" s="2712"/>
      <c r="N4" s="1278"/>
      <c r="O4" s="2712"/>
      <c r="P4" s="2712"/>
    </row>
    <row r="5" ht="14.4" spans="1:16">
      <c r="A5" s="2721" t="s">
        <v>473</v>
      </c>
      <c r="B5" s="1181" t="s">
        <v>474</v>
      </c>
      <c r="C5" s="1181"/>
      <c r="D5" s="2722" t="e">
        <f>ROUND($D$3*E5/$E$3,2)</f>
        <v>#DIV/0!</v>
      </c>
      <c r="E5" s="2723">
        <f>SUMIF('数据-基础表'!$11:$11,"住宅",'数据-基础表'!$5:$5)</f>
        <v>0</v>
      </c>
      <c r="F5" s="2712"/>
      <c r="G5" s="2716"/>
      <c r="H5" s="2133" t="s">
        <v>470</v>
      </c>
      <c r="I5" s="1455" t="e">
        <f>ROUND(E31/D31,2)</f>
        <v>#DIV/0!</v>
      </c>
      <c r="J5" s="2712"/>
      <c r="K5" s="2712"/>
      <c r="L5" s="2712"/>
      <c r="M5" s="2712"/>
      <c r="N5" s="2712"/>
      <c r="O5" s="2712"/>
      <c r="P5" s="2712"/>
    </row>
    <row r="6" ht="15.15" spans="1:16">
      <c r="A6" s="2724"/>
      <c r="B6" s="1181" t="s">
        <v>475</v>
      </c>
      <c r="C6" s="1181"/>
      <c r="D6" s="2722" t="e">
        <f>ROUND($D$3*E6/$E$3,2)</f>
        <v>#DIV/0!</v>
      </c>
      <c r="E6" s="2723">
        <f>E3-E5</f>
        <v>0</v>
      </c>
      <c r="F6" s="2712"/>
      <c r="G6" s="2725" t="s">
        <v>476</v>
      </c>
      <c r="H6" s="2726" t="s">
        <v>472</v>
      </c>
      <c r="I6" s="2778" t="e">
        <f>ROUND(F31/D31,2)</f>
        <v>#DIV/0!</v>
      </c>
      <c r="J6" s="2712"/>
      <c r="K6" s="2712"/>
      <c r="L6" s="2712"/>
      <c r="M6" s="2712"/>
      <c r="N6" s="2712"/>
      <c r="O6" s="2712"/>
      <c r="P6" s="2712"/>
    </row>
    <row r="7" ht="15.15" spans="1:16">
      <c r="A7" s="2727"/>
      <c r="B7" s="2728"/>
      <c r="C7" s="2729"/>
      <c r="D7" s="2718" t="s">
        <v>466</v>
      </c>
      <c r="E7" s="2730" t="s">
        <v>477</v>
      </c>
      <c r="F7" s="2712"/>
      <c r="G7" s="2731" t="s">
        <v>478</v>
      </c>
      <c r="H7" s="2732"/>
      <c r="I7" s="2779"/>
      <c r="J7" s="2712"/>
      <c r="K7" s="2712"/>
      <c r="L7" s="2712"/>
      <c r="M7" s="2712"/>
      <c r="N7" s="2712"/>
      <c r="O7" s="2712"/>
      <c r="P7" s="2712"/>
    </row>
    <row r="8" ht="14.4" spans="1:16">
      <c r="A8" s="2721" t="s">
        <v>479</v>
      </c>
      <c r="B8" s="2733" t="s">
        <v>480</v>
      </c>
      <c r="C8" s="2722" t="s">
        <v>481</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482</v>
      </c>
      <c r="D9" s="2722" t="e">
        <f t="shared" si="0"/>
        <v>#DIV/0!</v>
      </c>
      <c r="E9" s="2737">
        <v>0</v>
      </c>
      <c r="F9" s="2712"/>
      <c r="G9" s="2734"/>
      <c r="H9" s="2734"/>
      <c r="I9" s="2712"/>
      <c r="J9" s="2712"/>
      <c r="K9" s="2712"/>
      <c r="L9" s="2712"/>
      <c r="M9" s="2712"/>
      <c r="N9" s="2712"/>
      <c r="O9" s="2712"/>
      <c r="P9" s="2712"/>
    </row>
    <row r="10" ht="14.4" spans="1:16">
      <c r="A10" s="2735"/>
      <c r="B10" s="2736"/>
      <c r="C10" s="2722" t="s">
        <v>483</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484</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485</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486</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487</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488</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489</v>
      </c>
      <c r="D16" s="2733" t="e">
        <f>SUM(D8:D15)</f>
        <v>#DIV/0!</v>
      </c>
      <c r="E16" s="2738">
        <f>SUM(E8:E15)</f>
        <v>0</v>
      </c>
      <c r="F16" s="2712"/>
      <c r="G16" s="2734"/>
      <c r="H16" s="2739" t="s">
        <v>490</v>
      </c>
      <c r="I16" s="2780"/>
      <c r="J16" s="2185"/>
      <c r="K16" s="2781" t="s">
        <v>490</v>
      </c>
      <c r="L16" s="2743"/>
      <c r="M16" s="2743"/>
      <c r="N16" s="2743"/>
      <c r="O16" s="2743"/>
      <c r="P16" s="2782"/>
    </row>
    <row r="17" ht="14.4" spans="1:19">
      <c r="A17" s="2740" t="s">
        <v>491</v>
      </c>
      <c r="B17" s="2741" t="s">
        <v>492</v>
      </c>
      <c r="C17" s="2742" t="s">
        <v>493</v>
      </c>
      <c r="D17" s="2743" t="s">
        <v>466</v>
      </c>
      <c r="E17" s="2744" t="s">
        <v>467</v>
      </c>
      <c r="F17" s="2745"/>
      <c r="G17" s="2746"/>
      <c r="H17" s="2747" t="s">
        <v>494</v>
      </c>
      <c r="I17" s="2783" t="s">
        <v>495</v>
      </c>
      <c r="J17" s="2185"/>
      <c r="K17" s="2784" t="s">
        <v>496</v>
      </c>
      <c r="L17" s="2785"/>
      <c r="M17" s="2786"/>
      <c r="N17" s="2784" t="s">
        <v>497</v>
      </c>
      <c r="O17" s="2785"/>
      <c r="P17" s="2786"/>
      <c r="R17" s="2797" t="s">
        <v>498</v>
      </c>
      <c r="S17" s="2121"/>
    </row>
    <row r="18" ht="14.4" spans="1:19">
      <c r="A18" s="2735"/>
      <c r="B18" s="2748"/>
      <c r="C18" s="2749"/>
      <c r="D18" s="2750"/>
      <c r="E18" s="2751" t="s">
        <v>499</v>
      </c>
      <c r="F18" s="2752" t="s">
        <v>472</v>
      </c>
      <c r="G18" s="2753" t="s">
        <v>500</v>
      </c>
      <c r="H18" s="2663" t="s">
        <v>501</v>
      </c>
      <c r="I18" s="1455" t="s">
        <v>502</v>
      </c>
      <c r="J18" s="2185"/>
      <c r="K18" s="2663" t="s">
        <v>503</v>
      </c>
      <c r="L18" s="2346" t="s">
        <v>504</v>
      </c>
      <c r="M18" s="1455" t="s">
        <v>505</v>
      </c>
      <c r="N18" s="2663" t="s">
        <v>503</v>
      </c>
      <c r="O18" s="2346" t="s">
        <v>504</v>
      </c>
      <c r="P18" s="1455" t="s">
        <v>505</v>
      </c>
      <c r="R18" s="2133" t="s">
        <v>501</v>
      </c>
      <c r="S18" s="2133" t="s">
        <v>502</v>
      </c>
    </row>
    <row r="19" ht="14.4" spans="1:19">
      <c r="A19" s="2754"/>
      <c r="B19" s="2733" t="s">
        <v>506</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506</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506</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506</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506</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506</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506</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506</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507</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508</v>
      </c>
      <c r="C28" s="2768" t="s">
        <v>509</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508</v>
      </c>
      <c r="C29" s="2183" t="s">
        <v>510</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507</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511</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512</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K40" sqref="K40"/>
    </sheetView>
  </sheetViews>
  <sheetFormatPr defaultColWidth="13.75" defaultRowHeight="13.2"/>
  <cols>
    <col min="1" max="1" width="20.8796296296296" style="2486" customWidth="1"/>
    <col min="2" max="2" width="19.5" style="2487" customWidth="1"/>
    <col min="3" max="3" width="12.75" style="2487" customWidth="1"/>
    <col min="4" max="4" width="9.12962962962963" style="2488" customWidth="1"/>
    <col min="5" max="5" width="15" style="2487" customWidth="1"/>
    <col min="6" max="10" width="8.87962962962963" style="2487" customWidth="1"/>
    <col min="11" max="12" width="12.3796296296296" style="2489" customWidth="1"/>
    <col min="13" max="13" width="13.3796296296296" style="2487" customWidth="1"/>
    <col min="14" max="14" width="11.8796296296296" style="2487" customWidth="1"/>
    <col min="15" max="15" width="8.5" style="2487" customWidth="1"/>
    <col min="16" max="17" width="10.8796296296296" style="2487" customWidth="1"/>
    <col min="18" max="19" width="12.5" style="2487" customWidth="1"/>
    <col min="20" max="20" width="12.1296296296296" style="2487" customWidth="1"/>
    <col min="21" max="21" width="7.5" style="2487" customWidth="1"/>
    <col min="22" max="22" width="6.37962962962963" style="2487" customWidth="1"/>
    <col min="23" max="30" width="6.75" style="2487" customWidth="1"/>
    <col min="31" max="31" width="8" style="2487" customWidth="1"/>
    <col min="32" max="34" width="7.25" style="2487" customWidth="1"/>
    <col min="35" max="39" width="8" style="2487" customWidth="1"/>
    <col min="40" max="40" width="13.75" style="2485"/>
    <col min="41" max="41" width="11.6296296296296" style="2485" customWidth="1"/>
    <col min="42" max="42" width="9.75" style="2485" customWidth="1"/>
    <col min="43" max="67" width="13.75" style="2485"/>
    <col min="68" max="16384" width="13.75" style="2487"/>
  </cols>
  <sheetData>
    <row r="1" ht="18.15" spans="1:44">
      <c r="A1" s="2490" t="s">
        <v>513</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514</v>
      </c>
      <c r="B2" s="2495">
        <f>项目基本情况!D3</f>
        <v>44771</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515</v>
      </c>
      <c r="B4" s="2501"/>
      <c r="C4" s="2502"/>
      <c r="D4" s="2503"/>
      <c r="E4" s="2502" t="s">
        <v>516</v>
      </c>
      <c r="F4" s="2502"/>
      <c r="G4" s="2502"/>
      <c r="H4" s="2502"/>
      <c r="I4" s="2502"/>
      <c r="J4" s="2600"/>
      <c r="K4" s="2601"/>
      <c r="L4" s="2602"/>
      <c r="M4" s="2502"/>
      <c r="N4" s="2502" t="s">
        <v>517</v>
      </c>
      <c r="O4" s="2502"/>
      <c r="P4" s="2502"/>
      <c r="Q4" s="2502"/>
      <c r="R4" s="2502"/>
      <c r="S4" s="2600"/>
      <c r="T4" s="2626" t="str">
        <f>'数据-汇总表'!I17</f>
        <v>按面积比例</v>
      </c>
      <c r="U4" s="2501" t="s">
        <v>518</v>
      </c>
      <c r="V4" s="2502"/>
      <c r="W4" s="2502"/>
      <c r="X4" s="2502"/>
      <c r="Y4" s="2600"/>
      <c r="Z4" s="2656" t="s">
        <v>519</v>
      </c>
      <c r="AA4" s="2656"/>
      <c r="AB4" s="2656"/>
      <c r="AC4" s="2656"/>
      <c r="AD4" s="2656"/>
      <c r="AE4" s="2657" t="s">
        <v>520</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493</v>
      </c>
      <c r="B5" s="2505" t="s">
        <v>492</v>
      </c>
      <c r="C5" s="2506" t="s">
        <v>521</v>
      </c>
      <c r="D5" s="2507" t="s">
        <v>522</v>
      </c>
      <c r="E5" s="2508" t="s">
        <v>523</v>
      </c>
      <c r="F5" s="2509" t="s">
        <v>524</v>
      </c>
      <c r="G5" s="2508" t="s">
        <v>525</v>
      </c>
      <c r="H5" s="2508" t="s">
        <v>526</v>
      </c>
      <c r="I5" s="2508" t="s">
        <v>527</v>
      </c>
      <c r="J5" s="2603" t="s">
        <v>528</v>
      </c>
      <c r="K5" s="2604" t="s">
        <v>502</v>
      </c>
      <c r="L5" s="2605" t="s">
        <v>529</v>
      </c>
      <c r="M5" s="2606" t="s">
        <v>530</v>
      </c>
      <c r="N5" s="2607" t="s">
        <v>531</v>
      </c>
      <c r="O5" s="2605" t="s">
        <v>532</v>
      </c>
      <c r="P5" s="2608" t="s">
        <v>533</v>
      </c>
      <c r="Q5" s="2627" t="s">
        <v>534</v>
      </c>
      <c r="R5" s="2628" t="s">
        <v>535</v>
      </c>
      <c r="S5" s="2629" t="s">
        <v>536</v>
      </c>
      <c r="T5" s="2630" t="s">
        <v>537</v>
      </c>
      <c r="U5" s="2631" t="s">
        <v>538</v>
      </c>
      <c r="V5" s="2508" t="s">
        <v>539</v>
      </c>
      <c r="W5" s="2508" t="s">
        <v>540</v>
      </c>
      <c r="X5" s="2632"/>
      <c r="Y5" s="2658" t="s">
        <v>541</v>
      </c>
      <c r="Z5" s="2659" t="s">
        <v>538</v>
      </c>
      <c r="AA5" s="2508" t="s">
        <v>539</v>
      </c>
      <c r="AB5" s="2508" t="s">
        <v>540</v>
      </c>
      <c r="AC5" s="2632"/>
      <c r="AD5" s="2632" t="s">
        <v>541</v>
      </c>
      <c r="AE5" s="2631" t="s">
        <v>542</v>
      </c>
      <c r="AF5" s="2508" t="s">
        <v>543</v>
      </c>
      <c r="AG5" s="2658" t="s">
        <v>544</v>
      </c>
      <c r="AH5" s="2631" t="s">
        <v>545</v>
      </c>
      <c r="AI5" s="2659" t="s">
        <v>546</v>
      </c>
      <c r="AJ5" s="2659" t="s">
        <v>547</v>
      </c>
      <c r="AK5" s="2508" t="s">
        <v>548</v>
      </c>
      <c r="AL5" s="2508" t="s">
        <v>549</v>
      </c>
      <c r="AM5" s="2658" t="s">
        <v>550</v>
      </c>
      <c r="AN5" s="2675" t="s">
        <v>551</v>
      </c>
      <c r="AO5" s="2696" t="s">
        <v>552</v>
      </c>
      <c r="AP5" s="2697" t="s">
        <v>553</v>
      </c>
      <c r="AQ5" s="2698" t="s">
        <v>554</v>
      </c>
      <c r="AR5" s="2698" t="s">
        <v>555</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509</v>
      </c>
      <c r="B14" s="2511" t="s">
        <v>508</v>
      </c>
      <c r="C14" s="2520" t="s">
        <v>509</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510</v>
      </c>
      <c r="B15" s="2511" t="s">
        <v>508</v>
      </c>
      <c r="C15" s="2520" t="s">
        <v>556</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511</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557</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558</v>
      </c>
      <c r="B19" s="2536"/>
      <c r="C19" s="2537" t="s">
        <v>559</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560</v>
      </c>
      <c r="B20" s="2539"/>
      <c r="C20" s="2540" t="s">
        <v>561</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562</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563</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564</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565</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566</v>
      </c>
      <c r="B26" s="2545" t="s">
        <v>567</v>
      </c>
      <c r="C26" s="2546" t="s">
        <v>568</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569</v>
      </c>
      <c r="B27" s="2548"/>
      <c r="C27" s="2549" t="s">
        <v>570</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571</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572</v>
      </c>
      <c r="B29" s="2556"/>
      <c r="C29" s="2557" t="s">
        <v>573</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574</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575</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576</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577</v>
      </c>
      <c r="B33" s="2564"/>
      <c r="C33" s="2565" t="s">
        <v>578</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579</v>
      </c>
      <c r="B34" s="2566"/>
      <c r="C34" s="2565" t="s">
        <v>580</v>
      </c>
      <c r="D34" s="2567" t="s">
        <v>581</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582</v>
      </c>
      <c r="B35" s="2553"/>
      <c r="C35" s="2565" t="s">
        <v>583</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584</v>
      </c>
      <c r="B36" s="2568"/>
      <c r="C36" s="2565" t="s">
        <v>585</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586</v>
      </c>
      <c r="B37" s="2569"/>
      <c r="C37" s="2565" t="s">
        <v>587</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588</v>
      </c>
      <c r="B38" s="2566"/>
      <c r="C38" s="2565" t="s">
        <v>587</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589</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590</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591</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592</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593</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594</v>
      </c>
      <c r="B44" s="2581"/>
      <c r="C44" s="2565" t="s">
        <v>595</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596</v>
      </c>
      <c r="B45" s="2577"/>
      <c r="C45" s="2557" t="s">
        <v>597</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598</v>
      </c>
      <c r="B46" s="2577"/>
      <c r="C46" s="2557" t="s">
        <v>599</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600</v>
      </c>
      <c r="B47" s="2583"/>
      <c r="C47" s="2584" t="s">
        <v>601</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602</v>
      </c>
      <c r="B48" s="2586"/>
      <c r="C48" s="2557" t="s">
        <v>597</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603</v>
      </c>
      <c r="B49" s="2577"/>
      <c r="C49" s="2557" t="s">
        <v>604</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605</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606</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607</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608</v>
      </c>
      <c r="B53" s="2591"/>
      <c r="C53" s="2551" t="s">
        <v>609</v>
      </c>
      <c r="D53" s="2592" t="s">
        <v>610</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611</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612</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613</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614</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615</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616</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617</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618</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619</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620</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5" style="2426" customWidth="1"/>
    <col min="2" max="2" width="24.5" style="2427" customWidth="1"/>
    <col min="3" max="3" width="24.5" style="2428" customWidth="1"/>
    <col min="4" max="4" width="2.62962962962963" style="2428" customWidth="1"/>
    <col min="5" max="5" width="5.87962962962963" style="2428" customWidth="1"/>
    <col min="6" max="6" width="27" style="2427" customWidth="1"/>
    <col min="7" max="7" width="27" style="2428" customWidth="1"/>
    <col min="8" max="8" width="11.8796296296296" style="2429" customWidth="1"/>
    <col min="9" max="9" width="16.75" style="2429" customWidth="1"/>
    <col min="10" max="10" width="2.62962962962963" style="2429" customWidth="1"/>
    <col min="11" max="11" width="11.8796296296296" style="2429" customWidth="1"/>
    <col min="12" max="12" width="16.75" style="2429" customWidth="1"/>
    <col min="13" max="13" width="2.62962962962963" style="2429" customWidth="1"/>
    <col min="14" max="14" width="11.8796296296296" style="2429" customWidth="1"/>
    <col min="15" max="15" width="16.75" style="2429" customWidth="1"/>
    <col min="16" max="16" width="2.62962962962963" style="2429" customWidth="1"/>
    <col min="17" max="17" width="11.8796296296296" style="2429" customWidth="1"/>
    <col min="18" max="18" width="16.75" style="2010" customWidth="1"/>
    <col min="19" max="29" width="9" style="2010"/>
    <col min="30" max="16384" width="9" style="2426"/>
  </cols>
  <sheetData>
    <row r="1" s="2424" customFormat="1" ht="18.15" spans="1:29">
      <c r="A1" s="2430" t="s">
        <v>621</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622</v>
      </c>
      <c r="D2" s="2436"/>
      <c r="E2" s="2433"/>
      <c r="F2" s="2437"/>
      <c r="G2" s="2435" t="s">
        <v>623</v>
      </c>
      <c r="H2" s="2010"/>
      <c r="I2" s="2010"/>
      <c r="J2" s="2010"/>
      <c r="K2" s="2010"/>
      <c r="L2" s="2010"/>
      <c r="M2" s="2010"/>
      <c r="N2" s="2010"/>
      <c r="O2" s="2010"/>
      <c r="P2" s="2010"/>
      <c r="Q2" s="2010"/>
    </row>
    <row r="3" ht="48" spans="1:17">
      <c r="A3" s="2438" t="s">
        <v>624</v>
      </c>
      <c r="B3" s="2439" t="s">
        <v>625</v>
      </c>
      <c r="C3" s="2440" t="s">
        <v>626</v>
      </c>
      <c r="D3" s="2441"/>
      <c r="E3" s="2442" t="s">
        <v>624</v>
      </c>
      <c r="F3" s="2443" t="s">
        <v>627</v>
      </c>
      <c r="G3" s="2444" t="s">
        <v>628</v>
      </c>
      <c r="H3" s="2010"/>
      <c r="I3" s="2010"/>
      <c r="J3" s="2010"/>
      <c r="K3" s="2010"/>
      <c r="L3" s="2010"/>
      <c r="M3" s="2010"/>
      <c r="N3" s="2010"/>
      <c r="O3" s="2010"/>
      <c r="P3" s="2010"/>
      <c r="Q3" s="2010"/>
    </row>
    <row r="4" ht="37.2" spans="1:17">
      <c r="A4" s="2442"/>
      <c r="B4" s="1811" t="s">
        <v>629</v>
      </c>
      <c r="C4" s="2445" t="s">
        <v>630</v>
      </c>
      <c r="D4" s="2441"/>
      <c r="E4" s="2446"/>
      <c r="F4" s="2004" t="s">
        <v>631</v>
      </c>
      <c r="G4" s="2447" t="s">
        <v>632</v>
      </c>
      <c r="H4" s="2010"/>
      <c r="I4" s="2010"/>
      <c r="J4" s="2010"/>
      <c r="K4" s="2010"/>
      <c r="L4" s="2010"/>
      <c r="M4" s="2010"/>
      <c r="N4" s="2010"/>
      <c r="O4" s="2010"/>
      <c r="P4" s="2010"/>
      <c r="Q4" s="2010"/>
    </row>
    <row r="5" ht="37.2" spans="1:17">
      <c r="A5" s="2442"/>
      <c r="B5" s="1811" t="s">
        <v>633</v>
      </c>
      <c r="C5" s="2445" t="s">
        <v>634</v>
      </c>
      <c r="D5" s="2441"/>
      <c r="E5" s="2446"/>
      <c r="F5" s="1811" t="s">
        <v>456</v>
      </c>
      <c r="G5" s="2447" t="s">
        <v>635</v>
      </c>
      <c r="H5" s="2010"/>
      <c r="I5" s="2010"/>
      <c r="J5" s="2010"/>
      <c r="K5" s="2010"/>
      <c r="L5" s="2010"/>
      <c r="M5" s="2010"/>
      <c r="N5" s="2010"/>
      <c r="O5" s="2010"/>
      <c r="P5" s="2010"/>
      <c r="Q5" s="2010"/>
    </row>
    <row r="6" ht="48" spans="1:17">
      <c r="A6" s="2442"/>
      <c r="B6" s="1811" t="s">
        <v>631</v>
      </c>
      <c r="C6" s="2447" t="s">
        <v>632</v>
      </c>
      <c r="D6" s="2441"/>
      <c r="E6" s="2446"/>
      <c r="F6" s="1811" t="s">
        <v>636</v>
      </c>
      <c r="G6" s="2447" t="s">
        <v>637</v>
      </c>
      <c r="H6" s="2010"/>
      <c r="I6" s="2010"/>
      <c r="J6" s="2010"/>
      <c r="K6" s="2010"/>
      <c r="L6" s="2010"/>
      <c r="M6" s="2010"/>
      <c r="N6" s="2010"/>
      <c r="O6" s="2010"/>
      <c r="P6" s="2010"/>
      <c r="Q6" s="2010"/>
    </row>
    <row r="7" ht="36.75" spans="1:17">
      <c r="A7" s="2442"/>
      <c r="B7" s="1811" t="s">
        <v>456</v>
      </c>
      <c r="C7" s="2447" t="s">
        <v>635</v>
      </c>
      <c r="D7" s="2441"/>
      <c r="E7" s="2448"/>
      <c r="F7" s="2449" t="s">
        <v>638</v>
      </c>
      <c r="G7" s="2450" t="s">
        <v>639</v>
      </c>
      <c r="H7" s="2010"/>
      <c r="I7" s="2010"/>
      <c r="J7" s="2010"/>
      <c r="K7" s="2010"/>
      <c r="L7" s="2010"/>
      <c r="M7" s="2010"/>
      <c r="N7" s="2010"/>
      <c r="O7" s="2010"/>
      <c r="P7" s="2010"/>
      <c r="Q7" s="2010"/>
    </row>
    <row r="8" ht="24" spans="1:17">
      <c r="A8" s="2442"/>
      <c r="B8" s="1811" t="s">
        <v>636</v>
      </c>
      <c r="C8" s="2447" t="s">
        <v>637</v>
      </c>
      <c r="D8" s="2441"/>
      <c r="E8" s="2441"/>
      <c r="F8" s="1923"/>
      <c r="G8" s="1923"/>
      <c r="H8" s="2010"/>
      <c r="I8" s="2010"/>
      <c r="J8" s="2010"/>
      <c r="K8" s="2010"/>
      <c r="L8" s="2010"/>
      <c r="M8" s="2010"/>
      <c r="N8" s="2010"/>
      <c r="O8" s="2010"/>
      <c r="P8" s="2010"/>
      <c r="Q8" s="2010"/>
    </row>
    <row r="9" ht="24" spans="1:17">
      <c r="A9" s="2442"/>
      <c r="B9" s="1811" t="s">
        <v>640</v>
      </c>
      <c r="C9" s="2445" t="s">
        <v>641</v>
      </c>
      <c r="D9" s="2441"/>
      <c r="E9" s="2441"/>
      <c r="F9" s="1923"/>
      <c r="G9" s="1923"/>
      <c r="H9" s="2010"/>
      <c r="I9" s="2010"/>
      <c r="J9" s="2010"/>
      <c r="K9" s="2010"/>
      <c r="L9" s="2010"/>
      <c r="M9" s="2010"/>
      <c r="N9" s="2010"/>
      <c r="O9" s="2010"/>
      <c r="P9" s="2010"/>
      <c r="Q9" s="2010"/>
    </row>
    <row r="10" s="2425" customFormat="1" ht="14.55" spans="1:29">
      <c r="A10" s="2451"/>
      <c r="B10" s="2452" t="s">
        <v>642</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643</v>
      </c>
      <c r="B13" s="2456"/>
      <c r="C13" s="2456"/>
      <c r="D13" s="2455"/>
      <c r="E13" s="2456"/>
      <c r="F13" s="2456"/>
      <c r="G13" s="2456"/>
    </row>
    <row r="14" ht="14.55" spans="1:7">
      <c r="A14" s="2459"/>
      <c r="B14" s="2459"/>
      <c r="C14" s="2460" t="s">
        <v>622</v>
      </c>
      <c r="D14" s="2441"/>
      <c r="E14" s="2461"/>
      <c r="F14" s="2461"/>
      <c r="G14" s="2435" t="s">
        <v>623</v>
      </c>
    </row>
    <row r="15" ht="48" spans="1:7">
      <c r="A15" s="2462" t="s">
        <v>624</v>
      </c>
      <c r="B15" s="2463" t="s">
        <v>625</v>
      </c>
      <c r="C15" s="2464" t="str">
        <f>C3</f>
        <v>估价对象周边居住用地比例、居住小区规模和社区发展完善程度，综合评价居住社区成熟度一般</v>
      </c>
      <c r="D15" s="2441"/>
      <c r="E15" s="2462" t="s">
        <v>624</v>
      </c>
      <c r="F15" s="2463" t="s">
        <v>627</v>
      </c>
      <c r="G15" s="2465" t="str">
        <f>G3</f>
        <v>估价对象位于XX开发区，园区建设成熟度XX，产业集聚程度XX</v>
      </c>
    </row>
    <row r="16" ht="37.2" spans="1:7">
      <c r="A16" s="2466"/>
      <c r="B16" s="2467" t="s">
        <v>629</v>
      </c>
      <c r="C16" s="2468" t="str">
        <f>C4</f>
        <v>估价对象位于XX商圈，周边商业氛围成熟，人流量大，商业繁华度好</v>
      </c>
      <c r="D16" s="2441"/>
      <c r="E16" s="2466"/>
      <c r="F16" s="2469" t="s">
        <v>631</v>
      </c>
      <c r="G16" s="2468" t="str">
        <f>G4</f>
        <v>估价对象周边道路状况、公共交通通达情况、停车便捷程度，综合评价交通便捷度较好</v>
      </c>
    </row>
    <row r="17" ht="37.2" spans="1:7">
      <c r="A17" s="2466"/>
      <c r="B17" s="2467" t="s">
        <v>633</v>
      </c>
      <c r="C17" s="2468" t="str">
        <f>C5</f>
        <v>估价对象位于XX商圈，周边办公楼项目较多，入驻率高，办公集聚程度较好</v>
      </c>
      <c r="D17" s="2441"/>
      <c r="E17" s="2466"/>
      <c r="F17" s="2469" t="s">
        <v>644</v>
      </c>
      <c r="G17" s="2470"/>
    </row>
    <row r="18" ht="48" spans="1:7">
      <c r="A18" s="2466"/>
      <c r="B18" s="2469" t="s">
        <v>631</v>
      </c>
      <c r="C18" s="2468" t="str">
        <f>C6</f>
        <v>估价对象周边道路状况、公共交通通达情况、停车便捷程度，综合评价交通便捷度较好</v>
      </c>
      <c r="D18" s="2441"/>
      <c r="E18" s="2466"/>
      <c r="F18" s="2469" t="s">
        <v>638</v>
      </c>
      <c r="G18" s="2468" t="str">
        <f>G7</f>
        <v>该园区内是否有污染型企业，绿化情况，卫生条件，整体环境状况判断</v>
      </c>
    </row>
    <row r="19" ht="24" spans="1:7">
      <c r="A19" s="2466"/>
      <c r="B19" s="2469" t="s">
        <v>644</v>
      </c>
      <c r="C19" s="2470"/>
      <c r="D19" s="2441"/>
      <c r="E19" s="2466"/>
      <c r="F19" s="1811" t="s">
        <v>456</v>
      </c>
      <c r="G19" s="2468" t="str">
        <f>G5</f>
        <v>估价对象所在区域公共配套设施齐备情况</v>
      </c>
    </row>
    <row r="20" ht="24" spans="1:7">
      <c r="A20" s="2466"/>
      <c r="B20" s="2469" t="s">
        <v>645</v>
      </c>
      <c r="C20" s="2468" t="str">
        <f>C9</f>
        <v>区域自然环境：；人文环境；综合评价环境状况一般</v>
      </c>
      <c r="D20" s="2441"/>
      <c r="E20" s="2466"/>
      <c r="F20" s="1811" t="s">
        <v>636</v>
      </c>
      <c r="G20" s="2468" t="str">
        <f>G6</f>
        <v>估价对象所在区域基础设施水平</v>
      </c>
    </row>
    <row r="21" ht="24" spans="1:7">
      <c r="A21" s="2466"/>
      <c r="B21" s="1811" t="s">
        <v>456</v>
      </c>
      <c r="C21" s="2468" t="str">
        <f>C7</f>
        <v>估价对象所在区域公共配套设施齐备情况</v>
      </c>
      <c r="D21" s="2441"/>
      <c r="E21" s="2466"/>
      <c r="F21" s="2469" t="s">
        <v>646</v>
      </c>
      <c r="G21" s="2471"/>
    </row>
    <row r="22" ht="13.5" customHeight="1" spans="1:7">
      <c r="A22" s="2466"/>
      <c r="B22" s="1811" t="s">
        <v>636</v>
      </c>
      <c r="C22" s="2468" t="str">
        <f>C8</f>
        <v>估价对象所在区域基础设施水平</v>
      </c>
      <c r="D22" s="2441"/>
      <c r="E22" s="2466"/>
      <c r="F22" s="2469" t="s">
        <v>642</v>
      </c>
      <c r="G22" s="2470"/>
    </row>
    <row r="23" s="2010" customFormat="1" ht="14.55" spans="1:17">
      <c r="A23" s="2466"/>
      <c r="B23" s="2469" t="s">
        <v>646</v>
      </c>
      <c r="C23" s="2471"/>
      <c r="D23" s="2405"/>
      <c r="E23" s="2472"/>
      <c r="F23" s="2473" t="s">
        <v>406</v>
      </c>
      <c r="G23" s="2474"/>
      <c r="H23" s="2429"/>
      <c r="I23" s="2429"/>
      <c r="J23" s="2429"/>
      <c r="K23" s="2429"/>
      <c r="L23" s="2429"/>
      <c r="M23" s="2429"/>
      <c r="N23" s="2429"/>
      <c r="O23" s="2429"/>
      <c r="P23" s="2429"/>
      <c r="Q23" s="2429"/>
    </row>
    <row r="24" s="2010" customFormat="1" ht="14.55" spans="1:17">
      <c r="A24" s="2472"/>
      <c r="B24" s="2473" t="s">
        <v>642</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5" style="2411" customWidth="1"/>
    <col min="10" max="16384" width="9" style="2411"/>
  </cols>
  <sheetData>
    <row r="1" ht="16.2" spans="1:11">
      <c r="A1" s="2412" t="s">
        <v>647</v>
      </c>
      <c r="B1" s="2412">
        <f>SUM(B14:B23)</f>
        <v>0</v>
      </c>
      <c r="C1" s="2413"/>
      <c r="D1" s="2413"/>
      <c r="E1" s="2413"/>
      <c r="F1" s="2413"/>
      <c r="G1" s="2414"/>
      <c r="H1" s="2415"/>
      <c r="I1" s="2415"/>
      <c r="J1" s="2415"/>
      <c r="K1" s="2415"/>
    </row>
    <row r="2" ht="16.2" spans="1:11">
      <c r="A2" s="2412" t="s">
        <v>648</v>
      </c>
      <c r="B2" s="2412" t="e">
        <f>SUM(C14:C23)</f>
        <v>#DIV/0!</v>
      </c>
      <c r="C2" s="2413"/>
      <c r="D2" s="2413"/>
      <c r="E2" s="2413"/>
      <c r="F2" s="2413"/>
      <c r="G2" s="2414"/>
      <c r="H2" s="2415"/>
      <c r="I2" s="2415"/>
      <c r="J2" s="2415"/>
      <c r="K2" s="2415"/>
    </row>
    <row r="3" ht="15.6" spans="1:11">
      <c r="A3" s="2412" t="s">
        <v>649</v>
      </c>
      <c r="B3" s="2416">
        <f>项目基本情况!D3</f>
        <v>44771</v>
      </c>
      <c r="C3" s="2413"/>
      <c r="D3" s="2413"/>
      <c r="E3" s="2413"/>
      <c r="F3" s="2413"/>
      <c r="G3" s="2414"/>
      <c r="H3" s="2415"/>
      <c r="I3" s="2415"/>
      <c r="J3" s="2415"/>
      <c r="K3" s="2415"/>
    </row>
    <row r="4" ht="31.2" spans="1:11">
      <c r="A4" s="2412" t="s">
        <v>650</v>
      </c>
      <c r="B4" s="2412" t="s">
        <v>651</v>
      </c>
      <c r="C4" s="2412" t="s">
        <v>652</v>
      </c>
      <c r="D4" s="2412" t="s">
        <v>653</v>
      </c>
      <c r="E4" s="2413"/>
      <c r="F4" s="2414"/>
      <c r="G4" s="2414"/>
      <c r="H4" s="2415"/>
      <c r="I4" s="2415"/>
      <c r="J4" s="2415"/>
      <c r="K4" s="2415"/>
    </row>
    <row r="5" ht="15.6" spans="1:11">
      <c r="A5" s="2412" t="s">
        <v>654</v>
      </c>
      <c r="B5" s="2412" t="e">
        <f ca="1">SUM(D14:D23)</f>
        <v>#REF!</v>
      </c>
      <c r="C5" s="2412" t="e">
        <f ca="1">ROUND(B5*10000/$B$1,0)</f>
        <v>#REF!</v>
      </c>
      <c r="D5" s="2412" t="e">
        <f ca="1">ROUND(B5*10000/$B$2,0)</f>
        <v>#REF!</v>
      </c>
      <c r="E5" s="2413"/>
      <c r="F5" s="2414"/>
      <c r="G5" s="2414"/>
      <c r="H5" s="2415"/>
      <c r="I5" s="2415"/>
      <c r="J5" s="2415"/>
      <c r="K5" s="2415"/>
    </row>
    <row r="6" ht="15.6" spans="1:11">
      <c r="A6" s="2412" t="s">
        <v>655</v>
      </c>
      <c r="B6" s="2412" t="e">
        <f ca="1">SUM(G14:G23)</f>
        <v>#REF!</v>
      </c>
      <c r="C6" s="2412" t="e">
        <f ca="1">ROUND(B6*10000/$B$1,0)</f>
        <v>#REF!</v>
      </c>
      <c r="D6" s="2412" t="e">
        <f ca="1">ROUND(B6*10000/$B$2,0)</f>
        <v>#REF!</v>
      </c>
      <c r="E6" s="2413"/>
      <c r="F6" s="2414"/>
      <c r="G6" s="2414"/>
      <c r="H6" s="2415"/>
      <c r="I6" s="2415"/>
      <c r="J6" s="2415"/>
      <c r="K6" s="2415"/>
    </row>
    <row r="7" ht="15.6" spans="1:11">
      <c r="A7" s="2412" t="s">
        <v>656</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657</v>
      </c>
      <c r="B9" s="2417"/>
      <c r="C9" s="2413"/>
      <c r="D9" s="2413"/>
      <c r="E9" s="2413"/>
      <c r="F9" s="2414"/>
      <c r="G9" s="2414"/>
      <c r="H9" s="2415"/>
      <c r="I9" s="2415"/>
      <c r="J9" s="2415"/>
      <c r="K9" s="2415"/>
    </row>
    <row r="10" ht="15.6" spans="1:11">
      <c r="A10" s="2412" t="s">
        <v>658</v>
      </c>
      <c r="B10" s="2417"/>
      <c r="C10" s="2413"/>
      <c r="D10" s="2413"/>
      <c r="E10" s="2413"/>
      <c r="F10" s="2414"/>
      <c r="G10" s="2414"/>
      <c r="H10" s="2415"/>
      <c r="I10" s="2415"/>
      <c r="J10" s="2415"/>
      <c r="K10" s="2415"/>
    </row>
    <row r="11" ht="15.6" spans="1:11">
      <c r="A11" s="2412" t="s">
        <v>659</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660</v>
      </c>
      <c r="B13" s="2419" t="s">
        <v>647</v>
      </c>
      <c r="C13" s="2419" t="s">
        <v>648</v>
      </c>
      <c r="D13" s="2419" t="s">
        <v>661</v>
      </c>
      <c r="E13" s="2412" t="s">
        <v>652</v>
      </c>
      <c r="F13" s="2412" t="s">
        <v>653</v>
      </c>
      <c r="G13" s="2419" t="s">
        <v>662</v>
      </c>
      <c r="H13" s="2419" t="s">
        <v>663</v>
      </c>
      <c r="I13" s="2419" t="s">
        <v>664</v>
      </c>
      <c r="J13" s="2414"/>
      <c r="K13" s="2415"/>
    </row>
    <row r="14" ht="15.6" spans="1:11">
      <c r="A14" s="2420" t="s">
        <v>665</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666</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667</v>
      </c>
      <c r="B16" s="2422"/>
      <c r="C16" s="2422"/>
      <c r="D16" s="2422"/>
      <c r="E16" s="2421" t="e">
        <f t="shared" si="0"/>
        <v>#DIV/0!</v>
      </c>
      <c r="F16" s="2421" t="e">
        <f t="shared" si="1"/>
        <v>#DIV/0!</v>
      </c>
      <c r="G16" s="2423"/>
      <c r="H16" s="2423"/>
      <c r="I16" s="2422"/>
      <c r="J16" s="2415"/>
      <c r="K16" s="2415"/>
    </row>
    <row r="17" ht="15.6" spans="1:11">
      <c r="A17" s="2420" t="s">
        <v>668</v>
      </c>
      <c r="B17" s="2422"/>
      <c r="C17" s="2422"/>
      <c r="D17" s="2422"/>
      <c r="E17" s="2421" t="e">
        <f t="shared" si="0"/>
        <v>#DIV/0!</v>
      </c>
      <c r="F17" s="2421" t="e">
        <f t="shared" si="1"/>
        <v>#DIV/0!</v>
      </c>
      <c r="G17" s="2423"/>
      <c r="H17" s="2423"/>
      <c r="I17" s="2422"/>
      <c r="J17" s="2415"/>
      <c r="K17" s="2415"/>
    </row>
    <row r="18" ht="15.6" spans="1:11">
      <c r="A18" s="2420" t="s">
        <v>669</v>
      </c>
      <c r="B18" s="2422"/>
      <c r="C18" s="2422"/>
      <c r="D18" s="2422"/>
      <c r="E18" s="2421" t="e">
        <f t="shared" si="0"/>
        <v>#DIV/0!</v>
      </c>
      <c r="F18" s="2421" t="e">
        <f t="shared" si="1"/>
        <v>#DIV/0!</v>
      </c>
      <c r="G18" s="2422"/>
      <c r="H18" s="2422"/>
      <c r="I18" s="2422"/>
      <c r="J18" s="2415"/>
      <c r="K18" s="2415"/>
    </row>
    <row r="19" ht="15.6" spans="1:11">
      <c r="A19" s="2420" t="s">
        <v>670</v>
      </c>
      <c r="B19" s="2422"/>
      <c r="C19" s="2422"/>
      <c r="D19" s="2422"/>
      <c r="E19" s="2421" t="e">
        <f t="shared" si="0"/>
        <v>#DIV/0!</v>
      </c>
      <c r="F19" s="2421" t="e">
        <f t="shared" si="1"/>
        <v>#DIV/0!</v>
      </c>
      <c r="G19" s="2422"/>
      <c r="H19" s="2422"/>
      <c r="I19" s="2422"/>
      <c r="J19" s="2415"/>
      <c r="K19" s="2415"/>
    </row>
    <row r="20" ht="15.6" spans="1:11">
      <c r="A20" s="2420" t="s">
        <v>671</v>
      </c>
      <c r="B20" s="2422"/>
      <c r="C20" s="2422"/>
      <c r="D20" s="2422"/>
      <c r="E20" s="2421" t="e">
        <f t="shared" si="0"/>
        <v>#DIV/0!</v>
      </c>
      <c r="F20" s="2421" t="e">
        <f t="shared" si="1"/>
        <v>#DIV/0!</v>
      </c>
      <c r="G20" s="2422"/>
      <c r="H20" s="2422"/>
      <c r="I20" s="2422"/>
      <c r="J20" s="2415"/>
      <c r="K20" s="2415"/>
    </row>
    <row r="21" ht="15.6" spans="1:11">
      <c r="A21" s="2420" t="s">
        <v>672</v>
      </c>
      <c r="B21" s="2422"/>
      <c r="C21" s="2422"/>
      <c r="D21" s="2422"/>
      <c r="E21" s="2421" t="e">
        <f t="shared" si="0"/>
        <v>#DIV/0!</v>
      </c>
      <c r="F21" s="2421" t="e">
        <f t="shared" si="1"/>
        <v>#DIV/0!</v>
      </c>
      <c r="G21" s="2422"/>
      <c r="H21" s="2422"/>
      <c r="I21" s="2422"/>
      <c r="J21" s="2415"/>
      <c r="K21" s="2415"/>
    </row>
    <row r="22" ht="15.6" spans="1:11">
      <c r="A22" s="2420" t="s">
        <v>673</v>
      </c>
      <c r="B22" s="2422"/>
      <c r="C22" s="2422"/>
      <c r="D22" s="2422"/>
      <c r="E22" s="2421" t="e">
        <f t="shared" si="0"/>
        <v>#DIV/0!</v>
      </c>
      <c r="F22" s="2421" t="e">
        <f t="shared" si="1"/>
        <v>#DIV/0!</v>
      </c>
      <c r="G22" s="2422"/>
      <c r="H22" s="2422"/>
      <c r="I22" s="2422"/>
      <c r="J22" s="2415"/>
      <c r="K22" s="2415"/>
    </row>
    <row r="23" ht="15.6" spans="1:11">
      <c r="A23" s="2420" t="s">
        <v>674</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A58" sqref="$A1:$XFD1048576"/>
    </sheetView>
  </sheetViews>
  <sheetFormatPr defaultColWidth="12.6296296296296" defaultRowHeight="21.75" customHeight="1"/>
  <cols>
    <col min="1" max="2" width="12.6296296296296" style="2101"/>
    <col min="3" max="4" width="12.6296296296296" style="2101" customWidth="1"/>
    <col min="5" max="9" width="12.6296296296296" style="2101"/>
    <col min="10" max="11" width="12.6296296296296" style="319" customWidth="1"/>
    <col min="12" max="12" width="12.6296296296296" style="319"/>
    <col min="13" max="13" width="14.1296296296296" style="319" customWidth="1"/>
    <col min="14" max="26" width="12.6296296296296" style="319"/>
    <col min="27" max="35" width="12.6296296296296" style="2100"/>
    <col min="36" max="16384" width="12.6296296296296" style="2101"/>
  </cols>
  <sheetData>
    <row r="1" customHeight="1" spans="1:9">
      <c r="A1" s="2102" t="s">
        <v>675</v>
      </c>
      <c r="B1" s="2103"/>
      <c r="C1" s="2104"/>
      <c r="D1" s="2103"/>
      <c r="E1" s="2103"/>
      <c r="F1" s="2105" t="s">
        <v>676</v>
      </c>
      <c r="G1" s="2106"/>
      <c r="H1" s="2105" t="str">
        <f>IF(G1="现房","——","估价对象范围")</f>
        <v>估价对象范围</v>
      </c>
      <c r="I1" s="2252"/>
    </row>
    <row r="2" customHeight="1" spans="1:9">
      <c r="A2" s="2107" t="str">
        <f>项目基本情况!S2</f>
        <v>北京市房地产</v>
      </c>
      <c r="B2" s="2108"/>
      <c r="C2" s="2108"/>
      <c r="D2" s="2108"/>
      <c r="E2" s="2108"/>
      <c r="F2" s="2108"/>
      <c r="G2" s="2108"/>
      <c r="H2" s="2108"/>
      <c r="I2" s="2253"/>
    </row>
    <row r="3" ht="14.4" spans="1:9">
      <c r="A3" s="2109" t="s">
        <v>677</v>
      </c>
      <c r="B3" s="1819"/>
      <c r="C3" s="1819"/>
      <c r="D3" s="1819"/>
      <c r="E3" s="1819"/>
      <c r="F3" s="1819"/>
      <c r="G3" s="1819"/>
      <c r="H3" s="1819"/>
      <c r="I3" s="1819"/>
    </row>
    <row r="4" ht="14.4" spans="1:12">
      <c r="A4" s="2110" t="s">
        <v>678</v>
      </c>
      <c r="B4" s="2111" t="s">
        <v>679</v>
      </c>
      <c r="C4" s="2112"/>
      <c r="D4" s="2112"/>
      <c r="E4" s="2113" t="s">
        <v>680</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681</v>
      </c>
      <c r="B5" s="1170">
        <v>25</v>
      </c>
      <c r="C5" s="2115"/>
      <c r="D5" s="2116"/>
      <c r="E5" s="1810" t="s">
        <v>682</v>
      </c>
      <c r="F5" s="2117"/>
      <c r="G5" s="2117"/>
      <c r="H5" s="2117"/>
      <c r="I5" s="2004"/>
    </row>
    <row r="6" ht="14.4" spans="1:9">
      <c r="A6" s="905"/>
      <c r="B6" s="1170"/>
      <c r="C6" s="2118"/>
      <c r="D6" s="2116"/>
      <c r="E6" s="1810" t="s">
        <v>683</v>
      </c>
      <c r="F6" s="2117"/>
      <c r="G6" s="2117"/>
      <c r="H6" s="2117"/>
      <c r="I6" s="2004"/>
    </row>
    <row r="7" ht="14.4" spans="1:9">
      <c r="A7" s="905"/>
      <c r="B7" s="1170"/>
      <c r="C7" s="2119"/>
      <c r="D7" s="2116"/>
      <c r="E7" s="1810" t="s">
        <v>684</v>
      </c>
      <c r="F7" s="2117"/>
      <c r="G7" s="2117"/>
      <c r="H7" s="2117"/>
      <c r="I7" s="2004"/>
    </row>
    <row r="8" ht="14.4" spans="1:9">
      <c r="A8" s="905" t="s">
        <v>685</v>
      </c>
      <c r="B8" s="1170">
        <v>15</v>
      </c>
      <c r="C8" s="2115"/>
      <c r="D8" s="2116"/>
      <c r="E8" s="1810" t="s">
        <v>686</v>
      </c>
      <c r="F8" s="2117"/>
      <c r="G8" s="2117"/>
      <c r="H8" s="2117"/>
      <c r="I8" s="2004"/>
    </row>
    <row r="9" ht="14.4" spans="1:9">
      <c r="A9" s="905"/>
      <c r="B9" s="1170"/>
      <c r="C9" s="2119"/>
      <c r="D9" s="2116"/>
      <c r="E9" s="1810" t="s">
        <v>687</v>
      </c>
      <c r="F9" s="2117"/>
      <c r="G9" s="2117"/>
      <c r="H9" s="2117"/>
      <c r="I9" s="2004"/>
    </row>
    <row r="10" ht="14.4" spans="1:9">
      <c r="A10" s="905" t="s">
        <v>688</v>
      </c>
      <c r="B10" s="1170">
        <v>15</v>
      </c>
      <c r="C10" s="2115"/>
      <c r="D10" s="2116"/>
      <c r="E10" s="1810" t="s">
        <v>689</v>
      </c>
      <c r="F10" s="2117"/>
      <c r="G10" s="2117"/>
      <c r="H10" s="2117"/>
      <c r="I10" s="2004"/>
    </row>
    <row r="11" ht="14.4" spans="1:9">
      <c r="A11" s="905"/>
      <c r="B11" s="1170"/>
      <c r="C11" s="2119"/>
      <c r="D11" s="2116"/>
      <c r="E11" s="1810" t="s">
        <v>690</v>
      </c>
      <c r="F11" s="2117"/>
      <c r="G11" s="2117"/>
      <c r="H11" s="2117"/>
      <c r="I11" s="2004"/>
    </row>
    <row r="12" ht="14.4" spans="1:9">
      <c r="A12" s="905" t="s">
        <v>691</v>
      </c>
      <c r="B12" s="1170">
        <v>15</v>
      </c>
      <c r="C12" s="2115"/>
      <c r="D12" s="2116"/>
      <c r="E12" s="1810" t="s">
        <v>692</v>
      </c>
      <c r="F12" s="2117"/>
      <c r="G12" s="2117"/>
      <c r="H12" s="2117"/>
      <c r="I12" s="2004"/>
    </row>
    <row r="13" ht="14.4" spans="1:9">
      <c r="A13" s="905"/>
      <c r="B13" s="1170"/>
      <c r="C13" s="2119"/>
      <c r="D13" s="2116"/>
      <c r="E13" s="1810" t="s">
        <v>693</v>
      </c>
      <c r="F13" s="2117"/>
      <c r="G13" s="2117"/>
      <c r="H13" s="2117"/>
      <c r="I13" s="2004"/>
    </row>
    <row r="14" ht="14.4" spans="1:9">
      <c r="A14" s="905" t="s">
        <v>694</v>
      </c>
      <c r="B14" s="1170">
        <v>30</v>
      </c>
      <c r="C14" s="2115"/>
      <c r="D14" s="2116"/>
      <c r="E14" s="1810" t="s">
        <v>695</v>
      </c>
      <c r="F14" s="2117"/>
      <c r="G14" s="2117"/>
      <c r="H14" s="2117"/>
      <c r="I14" s="2004"/>
    </row>
    <row r="15" ht="14.4" spans="1:9">
      <c r="A15" s="905"/>
      <c r="B15" s="1170"/>
      <c r="C15" s="2118"/>
      <c r="D15" s="2116"/>
      <c r="E15" s="1810" t="s">
        <v>696</v>
      </c>
      <c r="F15" s="2117"/>
      <c r="G15" s="2117"/>
      <c r="H15" s="2117"/>
      <c r="I15" s="2004"/>
    </row>
    <row r="16" ht="14.4" spans="1:9">
      <c r="A16" s="905"/>
      <c r="B16" s="1170"/>
      <c r="C16" s="2119"/>
      <c r="D16" s="2116"/>
      <c r="E16" s="1810" t="s">
        <v>697</v>
      </c>
      <c r="F16" s="2117"/>
      <c r="G16" s="2117"/>
      <c r="H16" s="2117"/>
      <c r="I16" s="2004"/>
    </row>
    <row r="17" ht="14.4" spans="1:13">
      <c r="A17" s="2120" t="s">
        <v>698</v>
      </c>
      <c r="B17" s="2121"/>
      <c r="C17" s="2122">
        <f>SUM(C5:C16)</f>
        <v>0</v>
      </c>
      <c r="D17" s="2122">
        <f>SUM(D5:D16)</f>
        <v>0</v>
      </c>
      <c r="E17" s="364"/>
      <c r="F17" s="364"/>
      <c r="G17" s="364"/>
      <c r="H17" s="364"/>
      <c r="I17" s="364"/>
      <c r="K17" s="1769"/>
      <c r="L17" s="1769" t="s">
        <v>699</v>
      </c>
      <c r="M17" s="1769" t="s">
        <v>700</v>
      </c>
    </row>
    <row r="18" ht="31.9" customHeight="1" spans="1:13">
      <c r="A18" s="2123" t="s">
        <v>701</v>
      </c>
      <c r="B18" s="2124"/>
      <c r="C18" s="2125" t="e">
        <f>ROUND(C17/SUM(C17:D17),2)</f>
        <v>#DIV/0!</v>
      </c>
      <c r="D18" s="2125" t="e">
        <f>1-C18</f>
        <v>#DIV/0!</v>
      </c>
      <c r="E18" s="2126" t="s">
        <v>702</v>
      </c>
      <c r="F18" s="2127"/>
      <c r="G18" s="2127"/>
      <c r="H18" s="2127"/>
      <c r="I18" s="2127"/>
      <c r="K18" s="1769" t="s">
        <v>366</v>
      </c>
      <c r="L18" s="1769">
        <f>IF(C1="",'数据-汇总表'!E3,SUMIF(项目类型,C1,'数据-汇总表'!E17:E26)+SUMIF(项目类型,C1,'数据-汇总表'!I17:I26))</f>
        <v>0</v>
      </c>
      <c r="M18" s="1769">
        <f>IF(C1="",'数据-汇总表'!E3,SUMIF(项目类型,C1,'数据-汇总表'!E17:E26))</f>
        <v>0</v>
      </c>
    </row>
    <row r="19" ht="14.4" spans="1:13">
      <c r="A19" s="1184" t="s">
        <v>703</v>
      </c>
      <c r="B19" s="2128" t="s">
        <v>704</v>
      </c>
      <c r="C19" s="2129" t="e">
        <f ca="1">SUMIF(INDIRECT("'"&amp;C4&amp;"'"&amp;"!A:A"),结果表!B19,INDIRECT("'"&amp;C4&amp;"'"&amp;"!B:B"))</f>
        <v>#REF!</v>
      </c>
      <c r="D19" s="1295" t="e">
        <f ca="1">SUMIF(INDIRECT("'"&amp;D4&amp;"'"&amp;"!A:A"),结果表!B19,INDIRECT("'"&amp;D4&amp;"'"&amp;"!B:B"))</f>
        <v>#REF!</v>
      </c>
      <c r="E19" s="1184" t="s">
        <v>705</v>
      </c>
      <c r="F19" s="2128" t="s">
        <v>704</v>
      </c>
      <c r="G19" s="2130" t="e">
        <f ca="1">ROUND(C19*$C$18+D19*$D$18,0)</f>
        <v>#REF!</v>
      </c>
      <c r="H19" s="2131" t="s">
        <v>706</v>
      </c>
      <c r="I19" s="364"/>
      <c r="K19" s="1769" t="s">
        <v>370</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707</v>
      </c>
      <c r="C20" s="1525" t="e">
        <f ca="1">SUMIF(INDIRECT("'"&amp;C4&amp;"'"&amp;"!A:A"),结果表!B20,INDIRECT("'"&amp;C4&amp;"'"&amp;"!B:B"))</f>
        <v>#REF!</v>
      </c>
      <c r="D20" s="1528" t="e">
        <f ca="1">SUMIF(INDIRECT("'"&amp;D4&amp;"'"&amp;"!A:A"),结果表!B20,INDIRECT("'"&amp;D4&amp;"'"&amp;"!B:B"))</f>
        <v>#REF!</v>
      </c>
      <c r="E20" s="2132"/>
      <c r="F20" s="2133" t="s">
        <v>707</v>
      </c>
      <c r="G20" s="2134" t="e">
        <f ca="1">ROUND(C20*$C$18+D20*$D$18,0)</f>
        <v>#REF!</v>
      </c>
      <c r="H20" s="1917" t="s">
        <v>708</v>
      </c>
      <c r="I20" s="364"/>
    </row>
    <row r="21" ht="15" customHeight="1" spans="1:9">
      <c r="A21" s="1190"/>
      <c r="B21" s="2135" t="s">
        <v>709</v>
      </c>
      <c r="C21" s="2136" t="e">
        <f ca="1">ROUND(C19*10000/L19,0)</f>
        <v>#REF!</v>
      </c>
      <c r="D21" s="2137" t="e">
        <f ca="1">ROUND(D19*10000/L19,0)</f>
        <v>#REF!</v>
      </c>
      <c r="E21" s="1190"/>
      <c r="F21" s="2135" t="s">
        <v>709</v>
      </c>
      <c r="G21" s="2138" t="e">
        <f ca="1">ROUND(G19*10000/L19,0)</f>
        <v>#REF!</v>
      </c>
      <c r="H21" s="2139" t="s">
        <v>708</v>
      </c>
      <c r="I21" s="364"/>
    </row>
    <row r="22" ht="15.15" spans="1:9">
      <c r="A22" s="2140" t="s">
        <v>710</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711</v>
      </c>
      <c r="B24" s="2128" t="s">
        <v>704</v>
      </c>
      <c r="C24" s="2130">
        <f>IF(B30=0,0,D30)</f>
        <v>0</v>
      </c>
      <c r="D24" s="2145"/>
      <c r="E24" s="364"/>
      <c r="F24" s="364"/>
      <c r="G24" s="364"/>
      <c r="H24" s="364"/>
      <c r="I24" s="364"/>
    </row>
    <row r="25" ht="14.4" spans="1:9">
      <c r="A25" s="2146"/>
      <c r="B25" s="2133" t="s">
        <v>707</v>
      </c>
      <c r="C25" s="2147">
        <f>IF(B30=0,0,C30)</f>
        <v>0</v>
      </c>
      <c r="D25" s="2148"/>
      <c r="E25" s="364"/>
      <c r="F25" s="364"/>
      <c r="G25" s="364"/>
      <c r="H25" s="364"/>
      <c r="I25" s="364"/>
    </row>
    <row r="26" ht="13.5" customHeight="1" spans="1:9">
      <c r="A26" s="2149" t="s">
        <v>712</v>
      </c>
      <c r="B26" s="2150" t="s">
        <v>713</v>
      </c>
      <c r="C26" s="2150" t="s">
        <v>714</v>
      </c>
      <c r="D26" s="2151" t="s">
        <v>715</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716</v>
      </c>
      <c r="B30" s="2150"/>
      <c r="C30" s="2150"/>
      <c r="D30" s="2150"/>
      <c r="E30" s="2152" t="s">
        <v>717</v>
      </c>
      <c r="F30" s="364"/>
      <c r="G30" s="364"/>
      <c r="H30" s="364"/>
      <c r="I30" s="364"/>
    </row>
    <row r="31" s="2097" customFormat="1" ht="26.45" customHeight="1" spans="1:36">
      <c r="A31" s="2153"/>
      <c r="B31" s="2154"/>
      <c r="C31" s="2154"/>
      <c r="D31" s="2154"/>
      <c r="E31" s="2154"/>
      <c r="F31" s="2154"/>
      <c r="G31" s="2154"/>
      <c r="H31" s="2154"/>
      <c r="I31" s="2255" t="s">
        <v>718</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719</v>
      </c>
      <c r="B32" s="2156"/>
      <c r="C32" s="2157" t="e">
        <f ca="1">IF(D32="总价",G19-C24,G20-C25)</f>
        <v>#REF!</v>
      </c>
      <c r="D32" s="2158"/>
      <c r="E32" s="364"/>
      <c r="F32" s="364"/>
      <c r="G32" s="364"/>
      <c r="H32" s="364"/>
      <c r="I32" s="364"/>
    </row>
    <row r="33" ht="14.4" spans="1:9">
      <c r="A33" s="2026" t="s">
        <v>720</v>
      </c>
      <c r="B33" s="2159"/>
      <c r="C33" s="2160"/>
      <c r="D33" s="2161"/>
      <c r="E33" s="2162" t="s">
        <v>721</v>
      </c>
      <c r="F33" s="2163" t="str">
        <f>IF(D32="楼面单价","取值（单价）","取值（总价）")</f>
        <v>取值（总价）</v>
      </c>
      <c r="G33" s="364"/>
      <c r="H33" s="364"/>
      <c r="I33" s="364"/>
    </row>
    <row r="34" ht="14.4" spans="1:9">
      <c r="A34" s="2164"/>
      <c r="B34" s="2165" t="s">
        <v>722</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723</v>
      </c>
      <c r="F34" s="2169"/>
      <c r="G34" s="364"/>
      <c r="H34" s="364"/>
      <c r="I34" s="364"/>
    </row>
    <row r="35" ht="15.15" spans="1:9">
      <c r="A35" s="2170"/>
      <c r="B35" s="2171" t="s">
        <v>724</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725</v>
      </c>
      <c r="F35" s="2175"/>
      <c r="G35" s="364"/>
      <c r="H35" s="364"/>
      <c r="I35" s="364"/>
    </row>
    <row r="36" ht="15.15" spans="1:9">
      <c r="A36" s="2176" t="s">
        <v>726</v>
      </c>
      <c r="B36" s="2177" t="s">
        <v>727</v>
      </c>
      <c r="C36" s="2178"/>
      <c r="D36" s="2179"/>
      <c r="E36" s="2180"/>
      <c r="F36" s="2181"/>
      <c r="G36" s="364"/>
      <c r="H36" s="364"/>
      <c r="I36" s="364"/>
    </row>
    <row r="37" ht="15.15" spans="1:9">
      <c r="A37" s="2182"/>
      <c r="B37" s="2183" t="s">
        <v>728</v>
      </c>
      <c r="C37" s="2184"/>
      <c r="D37" s="2185"/>
      <c r="E37" s="2185"/>
      <c r="F37" s="2181"/>
      <c r="G37" s="364"/>
      <c r="H37" s="364"/>
      <c r="I37" s="364"/>
    </row>
    <row r="38" ht="15.15" spans="1:9">
      <c r="A38" s="2186"/>
      <c r="B38" s="2187" t="s">
        <v>729</v>
      </c>
      <c r="C38" s="2188"/>
      <c r="D38" s="2189" t="s">
        <v>730</v>
      </c>
      <c r="E38" s="2185"/>
      <c r="F38" s="2181"/>
      <c r="G38" s="364"/>
      <c r="H38" s="364"/>
      <c r="I38" s="364"/>
    </row>
    <row r="39" ht="14.4" spans="1:9">
      <c r="A39" s="2132" t="s">
        <v>731</v>
      </c>
      <c r="B39" s="2190" t="s">
        <v>713</v>
      </c>
      <c r="C39" s="2191" t="s">
        <v>714</v>
      </c>
      <c r="D39" s="2191" t="s">
        <v>732</v>
      </c>
      <c r="E39" s="2192" t="s">
        <v>715</v>
      </c>
      <c r="F39" s="2181"/>
      <c r="G39" s="364"/>
      <c r="H39" s="364"/>
      <c r="I39" s="364"/>
    </row>
    <row r="40" ht="14.4" spans="1:9">
      <c r="A40" s="2193" t="s">
        <v>733</v>
      </c>
      <c r="B40" s="2194"/>
      <c r="C40" s="382"/>
      <c r="D40" s="382"/>
      <c r="E40" s="2075"/>
      <c r="F40" s="2181"/>
      <c r="G40" s="364"/>
      <c r="H40" s="364"/>
      <c r="I40" s="364"/>
    </row>
    <row r="41" ht="14.4" spans="1:9">
      <c r="A41" s="2193" t="s">
        <v>734</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735</v>
      </c>
      <c r="B44" s="2200"/>
      <c r="C44" s="2200"/>
      <c r="D44" s="2201"/>
      <c r="E44" s="2201"/>
      <c r="F44" s="2202"/>
      <c r="G44" s="2202"/>
      <c r="H44" s="2202"/>
      <c r="I44" s="2202"/>
      <c r="J44" s="2259" t="s">
        <v>736</v>
      </c>
      <c r="K44" s="2260"/>
      <c r="L44" s="2260"/>
      <c r="M44" s="2260"/>
      <c r="N44" s="2260"/>
      <c r="O44" s="2260"/>
    </row>
    <row r="45" ht="14.25" customHeight="1" spans="1:15">
      <c r="A45" s="2203" t="s">
        <v>737</v>
      </c>
      <c r="B45" s="2204"/>
      <c r="C45" s="2205"/>
      <c r="D45" s="1768" t="e">
        <f ca="1">ROUND(H101*F45,0)</f>
        <v>#REF!</v>
      </c>
      <c r="E45" s="2206" t="s">
        <v>738</v>
      </c>
      <c r="F45" s="2207">
        <v>1</v>
      </c>
      <c r="G45" s="2208" t="s">
        <v>739</v>
      </c>
      <c r="H45" s="364"/>
      <c r="I45" s="364"/>
      <c r="J45" s="2261" t="s">
        <v>740</v>
      </c>
      <c r="K45" s="2261"/>
      <c r="L45" s="2261"/>
      <c r="M45" s="2261"/>
      <c r="N45" s="2261"/>
      <c r="O45" s="2261"/>
    </row>
    <row r="46" ht="14.25" customHeight="1" spans="1:15">
      <c r="A46" s="2209" t="s">
        <v>741</v>
      </c>
      <c r="B46" s="2210"/>
      <c r="C46" s="2210"/>
      <c r="D46" s="2210"/>
      <c r="E46" s="2210"/>
      <c r="F46" s="2210"/>
      <c r="G46" s="2211"/>
      <c r="H46" s="365"/>
      <c r="I46" s="365"/>
      <c r="J46" s="802">
        <v>1</v>
      </c>
      <c r="K46" s="2262" t="s">
        <v>742</v>
      </c>
      <c r="L46" s="2262"/>
      <c r="M46" s="2263"/>
      <c r="N46" s="2263"/>
      <c r="O46" s="2263"/>
    </row>
    <row r="47" ht="12" customHeight="1" spans="1:15">
      <c r="A47" s="2212" t="s">
        <v>743</v>
      </c>
      <c r="B47" s="2213"/>
      <c r="C47" s="2214"/>
      <c r="D47" s="1818" t="s">
        <v>744</v>
      </c>
      <c r="E47" s="1769" t="s">
        <v>745</v>
      </c>
      <c r="F47" s="2215" t="s">
        <v>746</v>
      </c>
      <c r="G47" s="2216" t="s">
        <v>747</v>
      </c>
      <c r="H47" s="1928"/>
      <c r="I47" s="365"/>
      <c r="J47" s="802">
        <v>2</v>
      </c>
      <c r="K47" s="2262" t="s">
        <v>748</v>
      </c>
      <c r="L47" s="2262"/>
      <c r="M47" s="2264">
        <f>'数据-取费表'!B2</f>
        <v>44771</v>
      </c>
      <c r="N47" s="2264"/>
      <c r="O47" s="2264"/>
    </row>
    <row r="48" ht="25.2" spans="1:15">
      <c r="A48" s="2217" t="s">
        <v>749</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750</v>
      </c>
      <c r="H48" s="2219"/>
      <c r="I48" s="365"/>
      <c r="J48" s="802">
        <v>3</v>
      </c>
      <c r="K48" s="2262" t="s">
        <v>751</v>
      </c>
      <c r="L48" s="2262"/>
      <c r="M48" s="2264" t="e">
        <f ca="1">H101</f>
        <v>#REF!</v>
      </c>
      <c r="N48" s="2264"/>
      <c r="O48" s="2264"/>
    </row>
    <row r="49" ht="25.5" customHeight="1" spans="1:15">
      <c r="A49" s="2217" t="s">
        <v>752</v>
      </c>
      <c r="B49" s="1802" t="s">
        <v>753</v>
      </c>
      <c r="C49" s="1802"/>
      <c r="D49" s="2220">
        <v>0</v>
      </c>
      <c r="E49" s="1828" t="s">
        <v>754</v>
      </c>
      <c r="F49" s="1771" t="s">
        <v>124</v>
      </c>
      <c r="G49" s="2221"/>
      <c r="H49" s="2222" t="s">
        <v>755</v>
      </c>
      <c r="I49" s="2226"/>
      <c r="J49" s="802">
        <v>4</v>
      </c>
      <c r="K49" s="2262" t="str">
        <f>IF(项目基本情况!E8="房地产抵押价值","房地产抵押价值","抵押担保权已注销时的房地产抵押价值")</f>
        <v>房地产抵押价值</v>
      </c>
      <c r="L49" s="2262"/>
      <c r="M49" s="2264" t="str">
        <f ca="1">IF(项目基本情况!E8="房地产抵押价值",H107,H109)</f>
        <v>——</v>
      </c>
      <c r="N49" s="2264"/>
      <c r="O49" s="2264"/>
    </row>
    <row r="50" ht="25.5" customHeight="1" spans="1:15">
      <c r="A50" s="2223"/>
      <c r="B50" s="1802" t="s">
        <v>756</v>
      </c>
      <c r="C50" s="1802"/>
      <c r="D50" s="2224"/>
      <c r="E50" s="1839"/>
      <c r="F50" s="1771"/>
      <c r="G50" s="2225"/>
      <c r="H50" s="2226" t="s">
        <v>757</v>
      </c>
      <c r="I50" s="2226"/>
      <c r="J50" s="2261" t="s">
        <v>758</v>
      </c>
      <c r="K50" s="2261"/>
      <c r="L50" s="2261"/>
      <c r="M50" s="2261"/>
      <c r="N50" s="2261"/>
      <c r="O50" s="2261"/>
    </row>
    <row r="51" ht="20.45" customHeight="1" spans="1:15">
      <c r="A51" s="2227"/>
      <c r="B51" s="1802" t="s">
        <v>759</v>
      </c>
      <c r="C51" s="1802"/>
      <c r="D51" s="1818"/>
      <c r="E51" s="703"/>
      <c r="F51" s="1771"/>
      <c r="G51" s="2228"/>
      <c r="H51" s="2226" t="s">
        <v>760</v>
      </c>
      <c r="I51" s="2226"/>
      <c r="J51" s="2262" t="s">
        <v>761</v>
      </c>
      <c r="K51" s="2262" t="s">
        <v>762</v>
      </c>
      <c r="L51" s="2262"/>
      <c r="M51" s="2262" t="s">
        <v>763</v>
      </c>
      <c r="N51" s="2262" t="s">
        <v>764</v>
      </c>
      <c r="O51" s="2262" t="s">
        <v>765</v>
      </c>
    </row>
    <row r="52" ht="24" customHeight="1" spans="1:15">
      <c r="A52" s="2229" t="s">
        <v>766</v>
      </c>
      <c r="B52" s="1802" t="s">
        <v>767</v>
      </c>
      <c r="C52" s="1802"/>
      <c r="D52" s="1818" t="e">
        <f ca="1">ROUND(D45*'数据-取费表'!B41/(1+'数据-取费表'!C42),0)</f>
        <v>#REF!</v>
      </c>
      <c r="E52" s="1822" t="s">
        <v>768</v>
      </c>
      <c r="F52" s="1769">
        <f>'数据-取费表'!B41</f>
        <v>0</v>
      </c>
      <c r="G52" s="2216"/>
      <c r="H52" s="1928"/>
      <c r="I52" s="365"/>
      <c r="J52" s="802">
        <v>1</v>
      </c>
      <c r="K52" s="802" t="s">
        <v>769</v>
      </c>
      <c r="L52" s="802"/>
      <c r="M52" s="2265" t="b">
        <f ca="1">D48</f>
        <v>0</v>
      </c>
      <c r="N52" s="802" t="str">
        <f>E48</f>
        <v>销售额×税（费）率</v>
      </c>
      <c r="O52" s="2266">
        <f>F48</f>
        <v>0</v>
      </c>
    </row>
    <row r="53" ht="12" customHeight="1" spans="1:15">
      <c r="A53" s="2229" t="s">
        <v>770</v>
      </c>
      <c r="B53" s="1801" t="s">
        <v>771</v>
      </c>
      <c r="C53" s="2230"/>
      <c r="D53" s="1818" t="e">
        <f ca="1">ROUND(D45*'数据-取费表'!B41/(1+'数据-取费表'!C42),0)</f>
        <v>#REF!</v>
      </c>
      <c r="E53" s="1822" t="s">
        <v>768</v>
      </c>
      <c r="F53" s="1769">
        <f>'数据-取费表'!B41</f>
        <v>0</v>
      </c>
      <c r="G53" s="2216"/>
      <c r="H53" s="1928"/>
      <c r="I53" s="365"/>
      <c r="J53" s="802">
        <v>2</v>
      </c>
      <c r="K53" s="802" t="s">
        <v>772</v>
      </c>
      <c r="L53" s="802"/>
      <c r="M53" s="2265" t="e">
        <f ca="1" t="shared" ref="M53:O54" si="0">D55</f>
        <v>#REF!</v>
      </c>
      <c r="N53" s="802" t="str">
        <f t="shared" si="0"/>
        <v>销售额×税（费）率</v>
      </c>
      <c r="O53" s="2266" t="str">
        <f t="shared" si="0"/>
        <v>免征</v>
      </c>
    </row>
    <row r="54" ht="12" customHeight="1" spans="1:15">
      <c r="A54" s="2229" t="s">
        <v>773</v>
      </c>
      <c r="B54" s="1801" t="s">
        <v>774</v>
      </c>
      <c r="C54" s="2230"/>
      <c r="D54" s="1818" t="e">
        <f ca="1">C68</f>
        <v>#REF!</v>
      </c>
      <c r="E54" s="703" t="s">
        <v>775</v>
      </c>
      <c r="F54" s="1769">
        <f>'数据-取费表'!B41</f>
        <v>0</v>
      </c>
      <c r="G54" s="2216"/>
      <c r="H54" s="2231"/>
      <c r="I54" s="365"/>
      <c r="J54" s="802">
        <v>3</v>
      </c>
      <c r="K54" s="802" t="s">
        <v>776</v>
      </c>
      <c r="L54" s="802"/>
      <c r="M54" s="2265" t="e">
        <f ca="1" t="shared" si="0"/>
        <v>#REF!</v>
      </c>
      <c r="N54" s="802" t="str">
        <f t="shared" si="0"/>
        <v>增值额×税（费）率</v>
      </c>
      <c r="O54" s="2266" t="str">
        <f t="shared" si="0"/>
        <v>免征</v>
      </c>
    </row>
    <row r="55" ht="24" customHeight="1" spans="1:15">
      <c r="A55" s="2229" t="s">
        <v>777</v>
      </c>
      <c r="B55" s="1822"/>
      <c r="C55" s="1822"/>
      <c r="D55" s="1915" t="e">
        <f ca="1">IF(H55="个人住宅",0,ROUND(D45*I55,0))</f>
        <v>#REF!</v>
      </c>
      <c r="E55" s="1822" t="s">
        <v>778</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779</v>
      </c>
      <c r="B56" s="1822"/>
      <c r="C56" s="1822"/>
      <c r="D56" s="1915" t="e">
        <f ca="1">IF(H56="个人住宅",D57,D58)</f>
        <v>#REF!</v>
      </c>
      <c r="E56" s="1822" t="s">
        <v>780</v>
      </c>
      <c r="F56" s="1769" t="str">
        <f>IF(H56="正常",F58,"免征")</f>
        <v>免征</v>
      </c>
      <c r="G56" s="2232" t="s">
        <v>781</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752</v>
      </c>
      <c r="B57" s="1801" t="s">
        <v>782</v>
      </c>
      <c r="C57" s="2230"/>
      <c r="D57" s="2220">
        <v>0</v>
      </c>
      <c r="E57" s="1828" t="s">
        <v>754</v>
      </c>
      <c r="F57" s="1769"/>
      <c r="G57" s="2216"/>
      <c r="H57" s="2234"/>
      <c r="I57" s="2244"/>
      <c r="J57" s="802">
        <f>IF(AND(J55="",J56=""),4,IF(项目基本情况!K6="上海银行",结果表!J56+1,结果表!J55+1))</f>
        <v>5</v>
      </c>
      <c r="K57" s="802" t="s">
        <v>783</v>
      </c>
      <c r="L57" s="2269" t="s">
        <v>784</v>
      </c>
      <c r="M57" s="2270"/>
      <c r="N57" s="2271">
        <f ca="1">SUMIF(M52:M56,"&lt;9e307")</f>
        <v>0</v>
      </c>
      <c r="O57" s="2272"/>
      <c r="P57" s="364" t="e">
        <f ca="1">N57/M49</f>
        <v>#VALUE!</v>
      </c>
    </row>
    <row r="58" ht="25.2" spans="1:15">
      <c r="A58" s="2229" t="s">
        <v>766</v>
      </c>
      <c r="B58" s="1801" t="s">
        <v>785</v>
      </c>
      <c r="C58" s="1802"/>
      <c r="D58" s="1915" t="e">
        <f ca="1">IF(H58="转让取得",C81,C97)</f>
        <v>#REF!</v>
      </c>
      <c r="E58" s="1822" t="s">
        <v>780</v>
      </c>
      <c r="F58" s="1769" t="s">
        <v>124</v>
      </c>
      <c r="G58" s="2216"/>
      <c r="H58" s="2233"/>
      <c r="I58" s="2244"/>
      <c r="J58" s="802"/>
      <c r="K58" s="802"/>
      <c r="L58" s="2269" t="s">
        <v>786</v>
      </c>
      <c r="M58" s="2273"/>
      <c r="N58" s="2274" t="str">
        <f ca="1">NUMBERSTRING(INT(N57*10000),2)&amp;"元整"</f>
        <v>零元整</v>
      </c>
      <c r="O58" s="2275"/>
    </row>
    <row r="59" ht="24.75" spans="1:15">
      <c r="A59" s="2235" t="s">
        <v>787</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781</v>
      </c>
      <c r="H59" s="2241"/>
      <c r="I59" s="2276" t="s">
        <v>788</v>
      </c>
      <c r="J59" s="700">
        <f>J57+1</f>
        <v>6</v>
      </c>
      <c r="K59" s="802" t="s">
        <v>789</v>
      </c>
      <c r="L59" s="802" t="s">
        <v>784</v>
      </c>
      <c r="M59" s="2277"/>
      <c r="N59" s="2278" t="e">
        <f ca="1">M49-N57</f>
        <v>#VALUE!</v>
      </c>
      <c r="O59" s="2279"/>
    </row>
    <row r="60" ht="12" customHeight="1" spans="1:15">
      <c r="A60" s="2242"/>
      <c r="B60" s="2103"/>
      <c r="C60" s="2103"/>
      <c r="D60" s="2103"/>
      <c r="E60" s="2243"/>
      <c r="F60" s="2244"/>
      <c r="G60" s="2244"/>
      <c r="H60" s="2245"/>
      <c r="I60" s="364"/>
      <c r="J60" s="702"/>
      <c r="K60" s="802"/>
      <c r="L60" s="2269" t="s">
        <v>786</v>
      </c>
      <c r="M60" s="2273"/>
      <c r="N60" s="2274" t="e">
        <f ca="1">NUMBERSTRING(INT(N59*10000),2)&amp;"元整"</f>
        <v>#VALUE!</v>
      </c>
      <c r="O60" s="2275"/>
    </row>
    <row r="61" ht="15.15" spans="1:15">
      <c r="A61" s="2246" t="s">
        <v>790</v>
      </c>
      <c r="B61" s="2246"/>
      <c r="C61" s="2246"/>
      <c r="D61" s="2246"/>
      <c r="E61" s="2246"/>
      <c r="F61" s="2244"/>
      <c r="G61" s="2244"/>
      <c r="H61" s="2245"/>
      <c r="I61" s="364"/>
      <c r="J61" s="802">
        <f>J59+1</f>
        <v>7</v>
      </c>
      <c r="K61" s="802" t="s">
        <v>791</v>
      </c>
      <c r="L61" s="802"/>
      <c r="M61" s="2280"/>
      <c r="N61" s="2281" t="e">
        <f ca="1">ROUND(N59*10000/'数据-汇总表'!E3,0)</f>
        <v>#VALUE!</v>
      </c>
      <c r="O61" s="2282"/>
    </row>
    <row r="62" ht="14.4" spans="1:9">
      <c r="A62" s="2247" t="s">
        <v>792</v>
      </c>
      <c r="B62" s="675"/>
      <c r="C62" s="675"/>
      <c r="D62" s="675" t="s">
        <v>793</v>
      </c>
      <c r="E62" s="2248" t="s">
        <v>747</v>
      </c>
      <c r="F62" s="2244"/>
      <c r="G62" s="2244"/>
      <c r="H62" s="2245"/>
      <c r="I62" s="364"/>
    </row>
    <row r="63" ht="14.4" spans="1:35">
      <c r="A63" s="2249" t="s">
        <v>794</v>
      </c>
      <c r="B63" s="728" t="s">
        <v>795</v>
      </c>
      <c r="C63" s="728" t="e">
        <f ca="1">ROUND((C64+C65)/(1+'数据-取费表'!C42),0)</f>
        <v>#REF!</v>
      </c>
      <c r="D63" s="728"/>
      <c r="E63" s="2250"/>
      <c r="F63" s="2244"/>
      <c r="G63" s="2244"/>
      <c r="H63" s="2245"/>
      <c r="I63" s="364"/>
      <c r="J63" s="2283" t="s">
        <v>796</v>
      </c>
      <c r="K63" s="2283" t="s">
        <v>797</v>
      </c>
      <c r="L63" s="2283" t="e">
        <f ca="1">IF(M49&gt;10000,M49*0.5%,IF(AND(M49&gt;1000,M49&lt;=10000),M49*1%,IF(AND(M49&gt;100,M49&lt;=1000),M49*3%,IF(AND(M49&gt;10,M49&lt;=100),M49*5%,M49*8%))))</f>
        <v>#VALUE!</v>
      </c>
      <c r="M63" s="1769" t="e">
        <f ca="1">ROUND(L63,1)</f>
        <v>#VALUE!</v>
      </c>
      <c r="N63" s="2284"/>
      <c r="Z63" s="2100"/>
      <c r="AI63" s="2101"/>
    </row>
    <row r="64" ht="14.25" customHeight="1" spans="1:35">
      <c r="A64" s="2229" t="s">
        <v>798</v>
      </c>
      <c r="B64" s="654" t="s">
        <v>799</v>
      </c>
      <c r="C64" s="654" t="e">
        <f ca="1">D45</f>
        <v>#REF!</v>
      </c>
      <c r="D64" s="654" t="s">
        <v>124</v>
      </c>
      <c r="E64" s="2251"/>
      <c r="F64" s="2244"/>
      <c r="G64" s="2244"/>
      <c r="H64" s="2245"/>
      <c r="I64" s="364"/>
      <c r="J64" s="2283"/>
      <c r="K64" s="2283" t="s">
        <v>800</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801</v>
      </c>
      <c r="Z64" s="2100"/>
      <c r="AI64" s="2101"/>
    </row>
    <row r="65" ht="14.25" customHeight="1" spans="1:35">
      <c r="A65" s="2229" t="s">
        <v>802</v>
      </c>
      <c r="B65" s="654" t="s">
        <v>803</v>
      </c>
      <c r="C65" s="803"/>
      <c r="D65" s="654"/>
      <c r="E65" s="2251"/>
      <c r="F65" s="2244"/>
      <c r="G65" s="2244"/>
      <c r="H65" s="2245"/>
      <c r="I65" s="364"/>
      <c r="J65" s="2283"/>
      <c r="K65" s="2283" t="s">
        <v>804</v>
      </c>
      <c r="L65" s="2283" t="e">
        <f ca="1">IF(M49&gt;1000,M49*0.1%,IF(AND(M49&gt;500,M49&lt;=1000),M49*0.5%,IF(AND(M49&gt;50,M49&lt;=500),M49*1%,IF(AND(M49&gt;1,M49&lt;=50),M49*1.5%))))</f>
        <v>#VALUE!</v>
      </c>
      <c r="M65" s="1769" t="e">
        <f ca="1" t="shared" si="1"/>
        <v>#VALUE!</v>
      </c>
      <c r="N65" s="1928" t="s">
        <v>801</v>
      </c>
      <c r="Z65" s="2100"/>
      <c r="AI65" s="2101"/>
    </row>
    <row r="66" ht="14.25" customHeight="1" spans="1:35">
      <c r="A66" s="2249" t="s">
        <v>805</v>
      </c>
      <c r="B66" s="782" t="s">
        <v>806</v>
      </c>
      <c r="C66" s="2286"/>
      <c r="D66" s="782" t="s">
        <v>124</v>
      </c>
      <c r="E66" s="2287" t="s">
        <v>807</v>
      </c>
      <c r="F66" s="2244"/>
      <c r="G66" s="2244"/>
      <c r="H66" s="2245"/>
      <c r="I66" s="364"/>
      <c r="J66" s="2283"/>
      <c r="K66" s="2283" t="s">
        <v>808</v>
      </c>
      <c r="L66" s="2283" t="e">
        <f ca="1">M49*0.5%</f>
        <v>#VALUE!</v>
      </c>
      <c r="M66" s="1769" t="e">
        <f ca="1">IF(L66&gt;0.5,0.5,ROUND(L66,0))</f>
        <v>#VALUE!</v>
      </c>
      <c r="N66" s="1928" t="s">
        <v>809</v>
      </c>
      <c r="Z66" s="2100"/>
      <c r="AI66" s="2101"/>
    </row>
    <row r="67" ht="14.25" customHeight="1" spans="1:35">
      <c r="A67" s="2249" t="s">
        <v>810</v>
      </c>
      <c r="B67" s="782" t="s">
        <v>811</v>
      </c>
      <c r="C67" s="782" t="e">
        <f ca="1">C63-C66</f>
        <v>#REF!</v>
      </c>
      <c r="D67" s="654" t="s">
        <v>124</v>
      </c>
      <c r="E67" s="2251"/>
      <c r="F67" s="2244"/>
      <c r="G67" s="2244"/>
      <c r="H67" s="2245"/>
      <c r="I67" s="364"/>
      <c r="J67" s="2283"/>
      <c r="K67" s="2283" t="s">
        <v>812</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813</v>
      </c>
      <c r="B68" s="801" t="s">
        <v>814</v>
      </c>
      <c r="C68" s="801" t="e">
        <f ca="1">IF(C67&lt;=0,0,ROUND(C67*D68,0))</f>
        <v>#REF!</v>
      </c>
      <c r="D68" s="735">
        <f>'数据-取费表'!B41</f>
        <v>0</v>
      </c>
      <c r="E68" s="2289"/>
      <c r="F68" s="2244"/>
      <c r="G68" s="2244"/>
      <c r="H68" s="2245"/>
      <c r="I68" s="364"/>
      <c r="J68" s="2283"/>
      <c r="K68" s="2283" t="s">
        <v>815</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816</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817</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792</v>
      </c>
      <c r="B71" s="675"/>
      <c r="C71" s="675"/>
      <c r="D71" s="675" t="s">
        <v>793</v>
      </c>
      <c r="E71" s="2295" t="s">
        <v>747</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794</v>
      </c>
      <c r="B72" s="782" t="s">
        <v>818</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805</v>
      </c>
      <c r="B73" s="2215" t="s">
        <v>819</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798</v>
      </c>
      <c r="B74" s="654" t="s">
        <v>820</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821</v>
      </c>
      <c r="B75" s="654" t="s">
        <v>822</v>
      </c>
      <c r="C75" s="803"/>
      <c r="D75" s="654" t="s">
        <v>124</v>
      </c>
      <c r="E75" s="2299" t="s">
        <v>823</v>
      </c>
      <c r="F75" s="2300"/>
      <c r="G75" s="2299" t="s">
        <v>824</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825</v>
      </c>
      <c r="B76" s="681" t="s">
        <v>826</v>
      </c>
      <c r="C76" s="654">
        <f>IF(F75="购房发票",ROUND(C75*H75*D76,0),0)</f>
        <v>0</v>
      </c>
      <c r="D76" s="2301">
        <v>0.05</v>
      </c>
      <c r="E76" s="1801" t="s">
        <v>827</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828</v>
      </c>
      <c r="B77" s="654" t="s">
        <v>829</v>
      </c>
      <c r="C77" s="654">
        <f>ROUND(IF(G77="个人住宅",0,IF(G77="2016年5月1日前购买",C75*D77,C75*D77/(1+'数据-取费表'!C42))),0)</f>
        <v>0</v>
      </c>
      <c r="D77" s="654">
        <f>'数据-取费表'!B48+'数据-取费表'!B49</f>
        <v>0</v>
      </c>
      <c r="E77" s="1915" t="s">
        <v>830</v>
      </c>
      <c r="F77" s="2303"/>
      <c r="G77" s="2304"/>
      <c r="H77" s="2302" t="str">
        <f>IF(G77="个人买卖住房","免征印花税"," ")</f>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802</v>
      </c>
      <c r="B78" s="654" t="s">
        <v>831</v>
      </c>
      <c r="C78" s="654" t="e">
        <f ca="1">ROUND(D45*D78/(1+'数据-取费表'!C42),0)</f>
        <v>#REF!</v>
      </c>
      <c r="D78" s="2305">
        <f>'数据-取费表'!B43</f>
        <v>0</v>
      </c>
      <c r="E78" s="1801" t="s">
        <v>832</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810</v>
      </c>
      <c r="B79" s="782" t="s">
        <v>833</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813</v>
      </c>
      <c r="B80" s="782" t="s">
        <v>834</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835</v>
      </c>
      <c r="B81" s="801" t="s">
        <v>836</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837</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792</v>
      </c>
      <c r="B84" s="675"/>
      <c r="C84" s="675"/>
      <c r="D84" s="675" t="s">
        <v>793</v>
      </c>
      <c r="E84" s="2295" t="s">
        <v>747</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794</v>
      </c>
      <c r="B85" s="782" t="s">
        <v>818</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805</v>
      </c>
      <c r="B86" s="2215" t="s">
        <v>819</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798</v>
      </c>
      <c r="B87" s="654" t="s">
        <v>838</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821</v>
      </c>
      <c r="B88" s="654" t="s">
        <v>839</v>
      </c>
      <c r="C88" s="803"/>
      <c r="D88" s="2305"/>
      <c r="E88" s="1915" t="s">
        <v>840</v>
      </c>
      <c r="F88" s="1802"/>
      <c r="G88" s="2316" t="s">
        <v>841</v>
      </c>
      <c r="H88" s="2317"/>
      <c r="I88" s="2382"/>
      <c r="J88" s="2384" t="s">
        <v>842</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825</v>
      </c>
      <c r="B89" s="654" t="s">
        <v>829</v>
      </c>
      <c r="C89" s="654">
        <f>ROUND(C88*D89,0)</f>
        <v>0</v>
      </c>
      <c r="D89" s="2305">
        <f>'数据-取费表'!B48+'数据-取费表'!B49</f>
        <v>0</v>
      </c>
      <c r="E89" s="1915" t="s">
        <v>843</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802</v>
      </c>
      <c r="B90" s="654" t="s">
        <v>844</v>
      </c>
      <c r="C90" s="803"/>
      <c r="D90" s="2305"/>
      <c r="E90" s="1915" t="str">
        <f>IF(H88="-","土地取得成本中已包含该笔费用"," ")</f>
        <v/>
      </c>
      <c r="F90" s="1802"/>
      <c r="G90" s="2318" t="s">
        <v>845</v>
      </c>
      <c r="H90" s="1822"/>
      <c r="I90" s="2382"/>
      <c r="J90" s="2384" t="s">
        <v>846</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847</v>
      </c>
      <c r="B91" s="654" t="s">
        <v>848</v>
      </c>
      <c r="C91" s="654">
        <f ca="1">IF(H91="——",成本法!C33,I91)</f>
        <v>0</v>
      </c>
      <c r="D91" s="2305"/>
      <c r="E91" s="1801" t="s">
        <v>849</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850</v>
      </c>
      <c r="B92" s="654" t="s">
        <v>851</v>
      </c>
      <c r="C92" s="654">
        <f ca="1">ROUND((C87+C90+C91)*D92,0)</f>
        <v>0</v>
      </c>
      <c r="D92" s="2320"/>
      <c r="E92" s="1801" t="s">
        <v>852</v>
      </c>
      <c r="F92" s="1802"/>
      <c r="G92" s="1802"/>
      <c r="H92" s="2302"/>
      <c r="I92" s="2382"/>
      <c r="J92" s="2386" t="s">
        <v>853</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854</v>
      </c>
      <c r="B93" s="654" t="s">
        <v>831</v>
      </c>
      <c r="C93" s="654" t="e">
        <f ca="1">ROUND(D45*D93/(1+'数据-取费表'!C42),0)</f>
        <v>#REF!</v>
      </c>
      <c r="D93" s="2305">
        <f>'数据-取费表'!B43</f>
        <v>0</v>
      </c>
      <c r="E93" s="1801" t="s">
        <v>832</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855</v>
      </c>
      <c r="B94" s="654" t="s">
        <v>856</v>
      </c>
      <c r="C94" s="803">
        <f ca="1">ROUND((C87+C90+C91)*D94,0)</f>
        <v>0</v>
      </c>
      <c r="D94" s="2305">
        <v>0.2</v>
      </c>
      <c r="E94" s="2321" t="s">
        <v>857</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810</v>
      </c>
      <c r="B95" s="782" t="s">
        <v>833</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813</v>
      </c>
      <c r="B96" s="782" t="s">
        <v>834</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835</v>
      </c>
      <c r="B97" s="801" t="s">
        <v>836</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858</v>
      </c>
      <c r="B99" s="2103"/>
      <c r="C99" s="2103"/>
      <c r="D99" s="2103"/>
      <c r="E99" s="2243"/>
      <c r="F99" s="2243"/>
      <c r="G99" s="2243"/>
      <c r="H99" s="2058"/>
      <c r="I99" s="364"/>
    </row>
    <row r="100" ht="18.75" customHeight="1" spans="1:9">
      <c r="A100" s="2325" t="s">
        <v>859</v>
      </c>
      <c r="B100" s="2326"/>
      <c r="C100" s="2326"/>
      <c r="D100" s="2327"/>
      <c r="E100" s="2326" t="s">
        <v>860</v>
      </c>
      <c r="F100" s="2326"/>
      <c r="G100" s="2326"/>
      <c r="H100" s="2327"/>
      <c r="I100" s="364"/>
    </row>
    <row r="101" ht="18.75" customHeight="1" spans="1:9">
      <c r="A101" s="2328" t="s">
        <v>861</v>
      </c>
      <c r="B101" s="2329"/>
      <c r="C101" s="2330">
        <f>C4</f>
        <v>0</v>
      </c>
      <c r="D101" s="2331">
        <f>D4</f>
        <v>0</v>
      </c>
      <c r="E101" s="2332" t="s">
        <v>862</v>
      </c>
      <c r="F101" s="2333"/>
      <c r="G101" s="2334" t="s">
        <v>863</v>
      </c>
      <c r="H101" s="2335" t="e">
        <f ca="1">H118</f>
        <v>#REF!</v>
      </c>
      <c r="I101" s="364"/>
    </row>
    <row r="102" ht="18.75" customHeight="1" spans="1:9">
      <c r="A102" s="2336" t="s">
        <v>864</v>
      </c>
      <c r="B102" s="2337" t="s">
        <v>863</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865</v>
      </c>
      <c r="F103" s="2341"/>
      <c r="G103" s="2342" t="s">
        <v>102</v>
      </c>
      <c r="H103" s="2335">
        <f>IF(D36="正常操作",H104+H105+H106,H105+H106)</f>
        <v>0</v>
      </c>
      <c r="I103" s="364"/>
    </row>
    <row r="104" ht="18.75" customHeight="1" spans="1:9">
      <c r="A104" s="2336" t="s">
        <v>866</v>
      </c>
      <c r="B104" s="2343" t="s">
        <v>863</v>
      </c>
      <c r="C104" s="2344" t="e">
        <f ca="1">H118</f>
        <v>#REF!</v>
      </c>
      <c r="D104" s="2345"/>
      <c r="E104" s="2183" t="s">
        <v>867</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868</v>
      </c>
      <c r="F105" s="2346"/>
      <c r="G105" s="2342" t="s">
        <v>102</v>
      </c>
      <c r="H105" s="2352">
        <f>C37</f>
        <v>0</v>
      </c>
      <c r="I105" s="364"/>
    </row>
    <row r="106" ht="18.75" customHeight="1" spans="1:9">
      <c r="A106" s="2103" t="s">
        <v>869</v>
      </c>
      <c r="B106" s="2103"/>
      <c r="C106" s="2103"/>
      <c r="D106" s="2103"/>
      <c r="E106" s="2353" t="s">
        <v>870</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863</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863</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863</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869</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871</v>
      </c>
      <c r="B115" s="2364"/>
      <c r="C115" s="2364"/>
      <c r="D115" s="2364"/>
      <c r="E115" s="2364"/>
      <c r="F115" s="2364"/>
      <c r="G115" s="2364"/>
      <c r="H115" s="2364"/>
      <c r="I115" s="2387"/>
    </row>
    <row r="116" ht="27" customHeight="1" spans="1:9">
      <c r="A116" s="905" t="s">
        <v>872</v>
      </c>
      <c r="B116" s="2365" t="s">
        <v>873</v>
      </c>
      <c r="C116" s="2365" t="s">
        <v>874</v>
      </c>
      <c r="D116" s="2366" t="s">
        <v>875</v>
      </c>
      <c r="E116" s="2367"/>
      <c r="F116" s="2368" t="s">
        <v>876</v>
      </c>
      <c r="G116" s="2368"/>
      <c r="H116" s="905" t="s">
        <v>877</v>
      </c>
      <c r="I116" s="905"/>
    </row>
    <row r="117" ht="18.75" customHeight="1" spans="1:9">
      <c r="A117" s="905"/>
      <c r="B117" s="2369"/>
      <c r="C117" s="2369"/>
      <c r="D117" s="905" t="s">
        <v>878</v>
      </c>
      <c r="E117" s="905" t="s">
        <v>707</v>
      </c>
      <c r="F117" s="905" t="s">
        <v>878</v>
      </c>
      <c r="G117" s="905" t="s">
        <v>707</v>
      </c>
      <c r="H117" s="905" t="s">
        <v>878</v>
      </c>
      <c r="I117" s="905" t="s">
        <v>707</v>
      </c>
    </row>
    <row r="118" ht="24.75" customHeight="1" spans="1:9">
      <c r="A118" s="2370" t="str">
        <f>项目基本情况!S2</f>
        <v>北京市房地产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879</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879</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879</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879</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879</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880</v>
      </c>
      <c r="B129" s="2390"/>
      <c r="C129" s="2391" t="s">
        <v>881</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882</v>
      </c>
      <c r="G135" s="2403"/>
      <c r="H135" s="2403"/>
      <c r="I135" s="2410" t="s">
        <v>883</v>
      </c>
    </row>
    <row r="136" customHeight="1" spans="1:9">
      <c r="A136" s="319"/>
      <c r="B136" s="2404" t="s">
        <v>884</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885</v>
      </c>
    </row>
    <row r="139" customHeight="1" spans="1:9">
      <c r="A139" s="319"/>
      <c r="B139" s="2404" t="s">
        <v>886</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885</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7962962962963" defaultRowHeight="13.2"/>
  <cols>
    <col min="1" max="1" width="10.3796296296296"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254" width="9" style="241" customWidth="1"/>
    <col min="255" max="16384" width="8.37962962962963" style="241"/>
  </cols>
  <sheetData>
    <row r="1" s="235" customFormat="1" ht="21" spans="1:7">
      <c r="A1" s="243" t="s">
        <v>887</v>
      </c>
      <c r="B1" s="2084"/>
      <c r="C1" s="245"/>
      <c r="D1" s="245"/>
      <c r="E1" s="245"/>
      <c r="F1" s="245"/>
      <c r="G1" s="2086">
        <f>MATCH(B1,'数据-取费表'!A6:A16,0)+5</f>
        <v>6</v>
      </c>
    </row>
    <row r="2" s="235" customFormat="1" ht="18" customHeight="1" spans="1:7">
      <c r="A2" s="247" t="s">
        <v>888</v>
      </c>
      <c r="B2" s="248" t="e">
        <f ca="1">IF(D2="——",C52,C52-E2)</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IF(G8="已包含在土地购买价格中","0",IF(B1="",'数据-取费表'!B29,IF(G9="全部缴纳",C9+C10,H9)))</f>
        <v>0</v>
      </c>
      <c r="D8" s="264"/>
      <c r="E8" s="262"/>
      <c r="F8" s="262"/>
      <c r="G8" s="2091"/>
    </row>
    <row r="9" s="237" customFormat="1" ht="13.5" customHeight="1" spans="1:9">
      <c r="A9" s="266" t="s">
        <v>903</v>
      </c>
      <c r="B9" s="267" t="s">
        <v>904</v>
      </c>
      <c r="C9" s="268">
        <f ca="1">ROUND(D9*E9/10000,0)</f>
        <v>0</v>
      </c>
      <c r="D9" s="269">
        <f ca="1">IF(B1="",'数据-汇总表'!E5,IF(INDIRECT("'数据-取费表'!c"&amp;$G$1)="住宅",INDIRECT("'数据-取费表'!k"&amp;$G$1),0))</f>
        <v>0</v>
      </c>
      <c r="E9" s="268">
        <f>'数据-取费表'!B27</f>
        <v>0</v>
      </c>
      <c r="F9" s="262"/>
      <c r="G9" s="2094"/>
      <c r="H9" s="2095"/>
      <c r="I9" s="2096" t="s">
        <v>905</v>
      </c>
    </row>
    <row r="10" s="237" customFormat="1" ht="13.5" customHeight="1" spans="1:7">
      <c r="A10" s="266" t="s">
        <v>906</v>
      </c>
      <c r="B10" s="267" t="s">
        <v>907</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IF(G19="已包含在土地取得成本中","0",ROUND(D19*E19/10000,0))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ROUND(IF('数据-取费表'!B22&lt;=1,C5*F22*'数据-取费表'!B23,C5*(POWER((1+F22),'数据-取费表'!B23)-1)),0)</f>
        <v>#VALUE!</v>
      </c>
      <c r="D23" s="283"/>
      <c r="E23" s="283"/>
      <c r="F23" s="284"/>
      <c r="G23" s="285" t="s">
        <v>936</v>
      </c>
    </row>
    <row r="24" s="237" customFormat="1" ht="13.5" customHeight="1" spans="1:7">
      <c r="A24" s="282" t="s">
        <v>899</v>
      </c>
      <c r="B24" s="260" t="s">
        <v>937</v>
      </c>
      <c r="C24" s="283" t="e">
        <f ca="1">ROUND(IF('数据-取费表'!B22&lt;=1,C19*F22*('数据-取费表'!B19/2+'数据-取费表'!B21),C19*(POWER((1+F22),('数据-取费表'!B19/2+'数据-取费表'!B21))-1)),0)</f>
        <v>#VALUE!</v>
      </c>
      <c r="D24" s="283"/>
      <c r="E24" s="283"/>
      <c r="F24" s="284"/>
      <c r="G24" s="285" t="s">
        <v>938</v>
      </c>
    </row>
    <row r="25" s="237" customFormat="1" ht="24" spans="1:7">
      <c r="A25" s="282" t="s">
        <v>901</v>
      </c>
      <c r="B25" s="260" t="s">
        <v>939</v>
      </c>
      <c r="C25" s="283" t="e">
        <f ca="1">ROUND(IF('数据-取费表'!B22&lt;=1,C20*F22*'数据-取费表'!B23/2,C20*(POWER((1+F22),'数据-取费表'!B23/2)-1)),0)</f>
        <v>#VALUE!</v>
      </c>
      <c r="D25" s="283"/>
      <c r="E25" s="286"/>
      <c r="F25" s="284"/>
      <c r="G25" s="287" t="s">
        <v>940</v>
      </c>
    </row>
    <row r="26" s="237" customFormat="1" spans="1:7">
      <c r="A26" s="282" t="s">
        <v>941</v>
      </c>
      <c r="B26" s="260" t="s">
        <v>942</v>
      </c>
      <c r="C26" s="283" t="e">
        <f ca="1">ROUND(IF('数据-取费表'!B22&lt;=1,F21*F22*'数据-取费表'!B23/2,F21*(POWER((1+F22),'数据-取费表'!B23/2)-1)),4)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ROUND((C5+C19+C20)*F27*'数据-取费表'!B21/'数据-取费表'!B20,0)</f>
        <v>#DIV/0!</v>
      </c>
      <c r="D28" s="278"/>
      <c r="E28" s="279"/>
      <c r="F28" s="281"/>
      <c r="G28" s="291"/>
    </row>
    <row r="29" s="237" customFormat="1" ht="13.5" customHeight="1" spans="1:7">
      <c r="A29" s="282" t="s">
        <v>899</v>
      </c>
      <c r="B29" s="292" t="s">
        <v>947</v>
      </c>
      <c r="C29" s="283" t="e">
        <f ca="1">ROUND(C21*F27*'数据-取费表'!B21/'数据-取费表'!B20,4)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953</v>
      </c>
      <c r="B32" s="295"/>
      <c r="C32" s="295"/>
      <c r="D32" s="295"/>
      <c r="E32" s="295"/>
      <c r="F32" s="295"/>
      <c r="G32" s="296"/>
    </row>
    <row r="33" s="237" customFormat="1" ht="13.5" customHeight="1" spans="1:7">
      <c r="A33" s="255" t="s">
        <v>893</v>
      </c>
      <c r="B33" s="256" t="s">
        <v>954</v>
      </c>
      <c r="C33" s="276">
        <f ca="1">SUM(C34:C38)</f>
        <v>0</v>
      </c>
      <c r="D33" s="276"/>
      <c r="E33" s="257"/>
      <c r="F33" s="286"/>
      <c r="G33" s="280"/>
    </row>
    <row r="34" s="239" customFormat="1" ht="13.5" customHeight="1" spans="1:7">
      <c r="A34" s="282" t="s">
        <v>897</v>
      </c>
      <c r="B34" s="260" t="s">
        <v>955</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956</v>
      </c>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960</v>
      </c>
    </row>
    <row r="37" s="239" customFormat="1" ht="13.5" customHeight="1" spans="1:7">
      <c r="A37" s="282" t="s">
        <v>941</v>
      </c>
      <c r="B37" s="260" t="s">
        <v>961</v>
      </c>
      <c r="C37" s="293">
        <f ca="1">ROUND(E37*D37*F34/10000,0)</f>
        <v>0</v>
      </c>
      <c r="D37" s="262">
        <f ca="1">D19</f>
        <v>0</v>
      </c>
      <c r="E37" s="293">
        <f>'数据-取费表'!B35</f>
        <v>0</v>
      </c>
      <c r="F37" s="297"/>
      <c r="G37" s="299" t="s">
        <v>962</v>
      </c>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ROUND(IF('数据-取费表'!B22&lt;=1,C33*F22*'数据-取费表'!B21/2,C33*(POWER((1+F22),'数据-取费表'!B21/2)-1)),0)</f>
        <v>#VALUE!</v>
      </c>
      <c r="D42" s="283"/>
      <c r="E42" s="283"/>
      <c r="F42" s="284"/>
      <c r="G42" s="300" t="s">
        <v>967</v>
      </c>
    </row>
    <row r="43" ht="13.5" customHeight="1" spans="1:7">
      <c r="A43" s="282" t="s">
        <v>899</v>
      </c>
      <c r="B43" s="260" t="s">
        <v>937</v>
      </c>
      <c r="C43" s="283" t="e">
        <f ca="1">ROUND(IF('数据-取费表'!B22&lt;=1,C39*F22*'数据-取费表'!B21/2,C39*(POWER((1+F22),'数据-取费表'!B21/2)-1)),0)</f>
        <v>#VALUE!</v>
      </c>
      <c r="D43" s="283"/>
      <c r="E43" s="283"/>
      <c r="F43" s="284"/>
      <c r="G43" s="301"/>
    </row>
    <row r="44" ht="13.5" customHeight="1" spans="1:7">
      <c r="A44" s="282" t="s">
        <v>901</v>
      </c>
      <c r="B44" s="260" t="s">
        <v>939</v>
      </c>
      <c r="C44" s="283" t="e">
        <f ca="1">ROUND(IF('数据-取费表'!B22&lt;=1,C40*F22*'数据-取费表'!B21/2,C40*(POWER((1+F22),'数据-取费表'!B21/2)-1)),4)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972</v>
      </c>
      <c r="C49" s="276" t="e">
        <f ca="1">ROUND((C33+C39+C41+C45)/(1-C40-D41-D45-C48),0)</f>
        <v>#VALUE!</v>
      </c>
      <c r="D49" s="276"/>
      <c r="E49" s="276"/>
      <c r="F49" s="290"/>
      <c r="G49" s="280" t="s">
        <v>973</v>
      </c>
    </row>
    <row r="50" s="239" customFormat="1" ht="24" spans="1:7">
      <c r="A50" s="255" t="s">
        <v>974</v>
      </c>
      <c r="B50" s="256" t="s">
        <v>975</v>
      </c>
      <c r="C50" s="276"/>
      <c r="D50" s="276"/>
      <c r="E50" s="276"/>
      <c r="F50" s="290" t="e">
        <f>IF('数据-取费表'!B24=0,'数据-取费表'!N16,1)</f>
        <v>#DIV/0!</v>
      </c>
      <c r="G50" s="291" t="s">
        <v>976</v>
      </c>
    </row>
    <row r="51" ht="16.5" customHeight="1" spans="1:7">
      <c r="A51" s="255" t="s">
        <v>977</v>
      </c>
      <c r="B51" s="256" t="s">
        <v>978</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7962962962963" defaultRowHeight="13.2" outlineLevelCol="7"/>
  <cols>
    <col min="1" max="1" width="9.37962962962963" style="240" customWidth="1"/>
    <col min="2" max="2" width="29.25" style="241" customWidth="1"/>
    <col min="3" max="3" width="12.1296296296296" style="241" customWidth="1"/>
    <col min="4" max="5" width="11.25" style="242" customWidth="1"/>
    <col min="6" max="6" width="9.5" style="241" customWidth="1"/>
    <col min="7" max="7" width="31.8796296296296" style="241" customWidth="1"/>
    <col min="8" max="8" width="10.75" style="241" customWidth="1"/>
    <col min="9" max="254" width="9" style="241" customWidth="1"/>
    <col min="255" max="16384" width="8.37962962962963" style="241"/>
  </cols>
  <sheetData>
    <row r="1" s="235" customFormat="1" ht="21" spans="1:8">
      <c r="A1" s="243" t="s">
        <v>887</v>
      </c>
      <c r="B1" s="2084"/>
      <c r="C1" s="2085" t="s">
        <v>984</v>
      </c>
      <c r="D1" s="245"/>
      <c r="E1" s="245"/>
      <c r="F1" s="245"/>
      <c r="G1" s="2086">
        <f>MATCH(B1,'数据-取费表'!A6:A16,0)+5</f>
        <v>6</v>
      </c>
      <c r="H1" s="1512" t="str">
        <f>IF(ISERROR(FIND("住宅",B1)),"非住宅","住宅")</f>
        <v>非住宅</v>
      </c>
    </row>
    <row r="2" s="235" customFormat="1" ht="18" customHeight="1" spans="1:7">
      <c r="A2" s="247" t="s">
        <v>888</v>
      </c>
      <c r="B2" s="248" t="e">
        <f ca="1">ROUND(IF(D2="——",C52/10000,C52/10000-E2),0)</f>
        <v>#VALUE!</v>
      </c>
      <c r="C2" s="246" t="s">
        <v>889</v>
      </c>
      <c r="D2" s="2087" t="s">
        <v>124</v>
      </c>
      <c r="E2" s="2088" t="e">
        <f ca="1">SUMIF(INDIRECT("'"&amp;G2&amp;"'"&amp;"!A:A"),"承租人权益价值",INDIRECT("'"&amp;G2&amp;"'"&amp;"!c:c"))</f>
        <v>#REF!</v>
      </c>
      <c r="F2" s="2089" t="s">
        <v>889</v>
      </c>
      <c r="G2" s="2090"/>
    </row>
    <row r="3" s="235" customFormat="1" ht="18" customHeight="1" spans="1:7">
      <c r="A3" s="250" t="s">
        <v>890</v>
      </c>
      <c r="B3" s="251" t="e">
        <f ca="1">ROUND(B2*10000/(IF(B1="",'数据-汇总表'!E3,INDIRECT("'数据-取费表'!k"&amp;$G$1))),0)</f>
        <v>#VALUE!</v>
      </c>
      <c r="C3" s="246" t="s">
        <v>891</v>
      </c>
      <c r="D3" s="246"/>
      <c r="E3" s="246"/>
      <c r="F3" s="246"/>
      <c r="G3" s="246"/>
    </row>
    <row r="4" s="236" customFormat="1" ht="15.6" spans="1:7">
      <c r="A4" s="252" t="s">
        <v>892</v>
      </c>
      <c r="B4" s="253"/>
      <c r="C4" s="253"/>
      <c r="D4" s="253"/>
      <c r="E4" s="253"/>
      <c r="F4" s="253"/>
      <c r="G4" s="254"/>
    </row>
    <row r="5" s="237" customFormat="1" ht="13.5" customHeight="1" spans="1:7">
      <c r="A5" s="255" t="s">
        <v>893</v>
      </c>
      <c r="B5" s="256" t="s">
        <v>894</v>
      </c>
      <c r="C5" s="257">
        <f ca="1">C6+C7+C8</f>
        <v>0</v>
      </c>
      <c r="D5" s="257" t="s">
        <v>895</v>
      </c>
      <c r="E5" s="257" t="s">
        <v>896</v>
      </c>
      <c r="F5" s="257" t="s">
        <v>793</v>
      </c>
      <c r="G5" s="258"/>
    </row>
    <row r="6" s="237" customFormat="1" ht="13.5" customHeight="1" spans="1:7">
      <c r="A6" s="259" t="s">
        <v>897</v>
      </c>
      <c r="B6" s="260" t="s">
        <v>898</v>
      </c>
      <c r="C6" s="261"/>
      <c r="D6" s="262"/>
      <c r="E6" s="262"/>
      <c r="F6" s="262"/>
      <c r="G6" s="263"/>
    </row>
    <row r="7" s="237" customFormat="1" ht="13.5" customHeight="1" spans="1:7">
      <c r="A7" s="259" t="s">
        <v>899</v>
      </c>
      <c r="B7" s="260" t="s">
        <v>900</v>
      </c>
      <c r="C7" s="262">
        <f>ROUND(C6*F7,0)</f>
        <v>0</v>
      </c>
      <c r="D7" s="262"/>
      <c r="E7" s="262"/>
      <c r="F7" s="262">
        <f>IF(项目基本情况!B8="出让",0,'数据-取费表'!B48+'数据-取费表'!B49)</f>
        <v>0</v>
      </c>
      <c r="G7" s="263"/>
    </row>
    <row r="8" s="238" customFormat="1" spans="1:7">
      <c r="A8" s="259" t="s">
        <v>901</v>
      </c>
      <c r="B8" s="260" t="s">
        <v>902</v>
      </c>
      <c r="C8" s="262">
        <f ca="1">IF(G8="已包含在土地购买价格中",0,C9+C10)</f>
        <v>0</v>
      </c>
      <c r="D8" s="264"/>
      <c r="E8" s="262"/>
      <c r="F8" s="262"/>
      <c r="G8" s="2091"/>
    </row>
    <row r="9" s="237" customFormat="1" ht="13.5" customHeight="1" spans="1:7">
      <c r="A9" s="266" t="s">
        <v>903</v>
      </c>
      <c r="B9" s="267" t="s">
        <v>904</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906</v>
      </c>
      <c r="B10" s="267" t="s">
        <v>907</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908</v>
      </c>
      <c r="B11" s="260" t="s">
        <v>909</v>
      </c>
      <c r="C11" s="257"/>
      <c r="D11" s="262"/>
      <c r="E11" s="262"/>
      <c r="F11" s="262"/>
      <c r="G11" s="263"/>
    </row>
    <row r="12" s="237" customFormat="1" ht="13.5" hidden="1" customHeight="1" spans="1:7">
      <c r="A12" s="271" t="s">
        <v>910</v>
      </c>
      <c r="B12" s="260" t="s">
        <v>829</v>
      </c>
      <c r="C12" s="257">
        <v>0</v>
      </c>
      <c r="D12" s="262"/>
      <c r="E12" s="272"/>
      <c r="F12" s="262">
        <v>0.0305</v>
      </c>
      <c r="G12" s="263"/>
    </row>
    <row r="13" s="237" customFormat="1" ht="13.5" hidden="1" customHeight="1" spans="1:7">
      <c r="A13" s="271" t="s">
        <v>911</v>
      </c>
      <c r="B13" s="260" t="s">
        <v>912</v>
      </c>
      <c r="C13" s="257"/>
      <c r="D13" s="262"/>
      <c r="E13" s="262"/>
      <c r="F13" s="262"/>
      <c r="G13" s="263"/>
    </row>
    <row r="14" s="237" customFormat="1" ht="13.5" hidden="1" customHeight="1" spans="1:7">
      <c r="A14" s="271" t="s">
        <v>913</v>
      </c>
      <c r="B14" s="260" t="s">
        <v>902</v>
      </c>
      <c r="C14" s="257"/>
      <c r="D14" s="262"/>
      <c r="E14" s="262"/>
      <c r="F14" s="262"/>
      <c r="G14" s="263" t="s">
        <v>914</v>
      </c>
    </row>
    <row r="15" s="237" customFormat="1" ht="13.5" hidden="1" customHeight="1" spans="1:7">
      <c r="A15" s="271" t="s">
        <v>915</v>
      </c>
      <c r="B15" s="260" t="s">
        <v>916</v>
      </c>
      <c r="C15" s="262"/>
      <c r="D15" s="262"/>
      <c r="E15" s="262"/>
      <c r="F15" s="262"/>
      <c r="G15" s="263" t="s">
        <v>917</v>
      </c>
    </row>
    <row r="16" s="237" customFormat="1" ht="13.5" hidden="1" customHeight="1" spans="1:7">
      <c r="A16" s="271" t="s">
        <v>918</v>
      </c>
      <c r="B16" s="260" t="s">
        <v>902</v>
      </c>
      <c r="C16" s="262"/>
      <c r="D16" s="262"/>
      <c r="E16" s="262"/>
      <c r="F16" s="262"/>
      <c r="G16" s="263"/>
    </row>
    <row r="17" s="237" customFormat="1" ht="13.5" hidden="1" customHeight="1" spans="1:7">
      <c r="A17" s="271" t="s">
        <v>919</v>
      </c>
      <c r="B17" s="260" t="s">
        <v>920</v>
      </c>
      <c r="C17" s="273"/>
      <c r="D17" s="273"/>
      <c r="E17" s="273"/>
      <c r="F17" s="273"/>
      <c r="G17" s="263" t="s">
        <v>917</v>
      </c>
    </row>
    <row r="18" s="237" customFormat="1" ht="13.5" hidden="1" customHeight="1" spans="1:7">
      <c r="A18" s="271" t="s">
        <v>921</v>
      </c>
      <c r="B18" s="260" t="s">
        <v>922</v>
      </c>
      <c r="C18" s="262">
        <v>0</v>
      </c>
      <c r="D18" s="262"/>
      <c r="E18" s="262"/>
      <c r="F18" s="262">
        <v>0.0305</v>
      </c>
      <c r="G18" s="263" t="s">
        <v>923</v>
      </c>
    </row>
    <row r="19" s="238" customFormat="1" ht="13.5" customHeight="1" spans="1:7">
      <c r="A19" s="255" t="s">
        <v>924</v>
      </c>
      <c r="B19" s="256" t="s">
        <v>925</v>
      </c>
      <c r="C19" s="257">
        <f ca="1">IF(G19="已包含在土地取得成本中","0",ROUND(D19*E19,0))</f>
        <v>0</v>
      </c>
      <c r="D19" s="257">
        <f ca="1">D9+D10</f>
        <v>0</v>
      </c>
      <c r="E19" s="257">
        <f>'数据-取费表'!B31</f>
        <v>0</v>
      </c>
      <c r="F19" s="275"/>
      <c r="G19" s="2091"/>
    </row>
    <row r="20" s="237" customFormat="1" ht="13.5" customHeight="1" spans="1:7">
      <c r="A20" s="255" t="s">
        <v>926</v>
      </c>
      <c r="B20" s="256" t="s">
        <v>927</v>
      </c>
      <c r="C20" s="276">
        <f ca="1">ROUND((C5+C19)*F20,0)</f>
        <v>0</v>
      </c>
      <c r="D20" s="276"/>
      <c r="E20" s="276"/>
      <c r="F20" s="275">
        <f>'数据-取费表'!B37</f>
        <v>0</v>
      </c>
      <c r="G20" s="280" t="s">
        <v>928</v>
      </c>
    </row>
    <row r="21" s="237" customFormat="1" ht="13.5" customHeight="1" spans="1:7">
      <c r="A21" s="255" t="s">
        <v>929</v>
      </c>
      <c r="B21" s="256" t="s">
        <v>930</v>
      </c>
      <c r="C21" s="278">
        <f>F21</f>
        <v>0</v>
      </c>
      <c r="D21" s="279" t="s">
        <v>931</v>
      </c>
      <c r="E21" s="276"/>
      <c r="F21" s="275">
        <f>'数据-取费表'!B38</f>
        <v>0</v>
      </c>
      <c r="G21" s="280" t="s">
        <v>932</v>
      </c>
    </row>
    <row r="22" s="237" customFormat="1" ht="13.5" customHeight="1" spans="1:7">
      <c r="A22" s="255" t="s">
        <v>933</v>
      </c>
      <c r="B22" s="256" t="s">
        <v>934</v>
      </c>
      <c r="C22" s="276" t="e">
        <f ca="1">ROUND(SUM(C23:C25),0)</f>
        <v>#VALUE!</v>
      </c>
      <c r="D22" s="278" t="e">
        <f ca="1">C26</f>
        <v>#VALUE!</v>
      </c>
      <c r="E22" s="279" t="s">
        <v>931</v>
      </c>
      <c r="F22" s="281" t="e">
        <f ca="1">'数据-取费表'!B40</f>
        <v>#VALUE!</v>
      </c>
      <c r="G22" s="280" t="str">
        <f>IF('数据-取费表'!B22&lt;=1,"单利计息","复利计息")</f>
        <v>单利计息</v>
      </c>
    </row>
    <row r="23" s="237" customFormat="1" ht="13.5" customHeight="1" spans="1:7">
      <c r="A23" s="282" t="s">
        <v>897</v>
      </c>
      <c r="B23" s="260" t="s">
        <v>935</v>
      </c>
      <c r="C23" s="283" t="e">
        <f ca="1">ROUND(IF('数据-取费表'!B22&lt;=1,C5*F22*'数据-取费表'!B22,C5*(POWER((1+F22),'数据-取费表'!B22)-1)),0)</f>
        <v>#VALUE!</v>
      </c>
      <c r="D23" s="283"/>
      <c r="E23" s="283"/>
      <c r="F23" s="284"/>
      <c r="G23" s="285" t="s">
        <v>936</v>
      </c>
    </row>
    <row r="24" s="237" customFormat="1" ht="13.5" customHeight="1" spans="1:7">
      <c r="A24" s="282" t="s">
        <v>899</v>
      </c>
      <c r="B24" s="260" t="s">
        <v>937</v>
      </c>
      <c r="C24" s="283" t="e">
        <f ca="1">ROUND(IF('数据-取费表'!B22&lt;=1,C19*F22*('数据-取费表'!B19/2+'数据-取费表'!B20),C19*(POWER((1+F22),('数据-取费表'!B19/2+'数据-取费表'!B20))-1)),0)</f>
        <v>#VALUE!</v>
      </c>
      <c r="D24" s="283"/>
      <c r="E24" s="283"/>
      <c r="F24" s="284"/>
      <c r="G24" s="285" t="s">
        <v>938</v>
      </c>
    </row>
    <row r="25" s="237" customFormat="1" ht="24" spans="1:7">
      <c r="A25" s="282" t="s">
        <v>901</v>
      </c>
      <c r="B25" s="260" t="s">
        <v>939</v>
      </c>
      <c r="C25" s="283" t="e">
        <f ca="1">ROUND(IF('数据-取费表'!B22&lt;=1,C20*F22*'数据-取费表'!B22/2,C20*(POWER((1+F22),'数据-取费表'!B22/2)-1)),0)</f>
        <v>#VALUE!</v>
      </c>
      <c r="D25" s="283"/>
      <c r="E25" s="286"/>
      <c r="F25" s="284"/>
      <c r="G25" s="287" t="s">
        <v>940</v>
      </c>
    </row>
    <row r="26" s="237" customFormat="1" spans="1:7">
      <c r="A26" s="282" t="s">
        <v>941</v>
      </c>
      <c r="B26" s="260" t="s">
        <v>942</v>
      </c>
      <c r="C26" s="283" t="e">
        <f ca="1">ROUND(IF('数据-取费表'!B22&lt;=1,F21*F22*'数据-取费表'!B22/2,F21*(POWER((1+F22),'数据-取费表'!B22/2)-1)),4)</f>
        <v>#VALUE!</v>
      </c>
      <c r="D26" s="283"/>
      <c r="E26" s="286"/>
      <c r="F26" s="284"/>
      <c r="G26" s="288"/>
    </row>
    <row r="27" s="237" customFormat="1" ht="26.4" spans="1:7">
      <c r="A27" s="255" t="s">
        <v>943</v>
      </c>
      <c r="B27" s="289" t="s">
        <v>944</v>
      </c>
      <c r="C27" s="290" t="e">
        <f ca="1">C28</f>
        <v>#DIV/0!</v>
      </c>
      <c r="D27" s="278" t="e">
        <f ca="1">C29</f>
        <v>#DIV/0!</v>
      </c>
      <c r="E27" s="279" t="s">
        <v>931</v>
      </c>
      <c r="F27" s="281" t="e">
        <f ca="1">IF(B1="",'数据-取费表'!Q16,INDIRECT("'数据-取费表'!q"&amp;$G$1))</f>
        <v>#DIV/0!</v>
      </c>
      <c r="G27" s="291" t="s">
        <v>945</v>
      </c>
    </row>
    <row r="28" s="237" customFormat="1" ht="13.5" customHeight="1" spans="1:7">
      <c r="A28" s="282" t="s">
        <v>897</v>
      </c>
      <c r="B28" s="292" t="s">
        <v>946</v>
      </c>
      <c r="C28" s="293" t="e">
        <f ca="1">ROUND((C5+C19+C20)*F27,0)</f>
        <v>#DIV/0!</v>
      </c>
      <c r="D28" s="278"/>
      <c r="E28" s="279"/>
      <c r="F28" s="281"/>
      <c r="G28" s="291"/>
    </row>
    <row r="29" s="237" customFormat="1" ht="13.5" customHeight="1" spans="1:7">
      <c r="A29" s="282" t="s">
        <v>899</v>
      </c>
      <c r="B29" s="292" t="s">
        <v>947</v>
      </c>
      <c r="C29" s="283" t="e">
        <f ca="1">ROUND(C21*F27,4)</f>
        <v>#DIV/0!</v>
      </c>
      <c r="D29" s="278"/>
      <c r="E29" s="279"/>
      <c r="F29" s="281"/>
      <c r="G29" s="291"/>
    </row>
    <row r="30" s="237" customFormat="1" ht="13.5" customHeight="1" spans="1:7">
      <c r="A30" s="255" t="s">
        <v>948</v>
      </c>
      <c r="B30" s="256" t="s">
        <v>949</v>
      </c>
      <c r="C30" s="278">
        <f>ROUND(F30/(1+'数据-取费表'!C42),4)</f>
        <v>0</v>
      </c>
      <c r="D30" s="279" t="s">
        <v>931</v>
      </c>
      <c r="E30" s="286"/>
      <c r="F30" s="281">
        <f>'数据-取费表'!B41</f>
        <v>0</v>
      </c>
      <c r="G30" s="280" t="s">
        <v>950</v>
      </c>
    </row>
    <row r="31" ht="16.5" customHeight="1" spans="1:7">
      <c r="A31" s="255">
        <v>1</v>
      </c>
      <c r="B31" s="256" t="s">
        <v>951</v>
      </c>
      <c r="C31" s="257" t="e">
        <f ca="1">ROUND((C5+C19+C20+C22+C27)/(1-C21-D22-D27-C30),0)</f>
        <v>#VALUE!</v>
      </c>
      <c r="D31" s="257"/>
      <c r="E31" s="257"/>
      <c r="F31" s="257"/>
      <c r="G31" s="280" t="s">
        <v>952</v>
      </c>
    </row>
    <row r="32" s="236" customFormat="1" ht="15.6" spans="1:7">
      <c r="A32" s="294" t="s">
        <v>985</v>
      </c>
      <c r="B32" s="295"/>
      <c r="C32" s="295"/>
      <c r="D32" s="295"/>
      <c r="E32" s="295"/>
      <c r="F32" s="295"/>
      <c r="G32" s="296"/>
    </row>
    <row r="33" s="237" customFormat="1" ht="13.5" customHeight="1" spans="1:7">
      <c r="A33" s="255" t="s">
        <v>893</v>
      </c>
      <c r="B33" s="256" t="s">
        <v>986</v>
      </c>
      <c r="C33" s="276">
        <f ca="1">SUM(C34:C38)</f>
        <v>0</v>
      </c>
      <c r="D33" s="276"/>
      <c r="E33" s="257"/>
      <c r="F33" s="286"/>
      <c r="G33" s="280"/>
    </row>
    <row r="34" s="239" customFormat="1" ht="13.5" customHeight="1" spans="1:7">
      <c r="A34" s="282" t="s">
        <v>897</v>
      </c>
      <c r="B34" s="260" t="s">
        <v>955</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899</v>
      </c>
      <c r="B35" s="260" t="s">
        <v>957</v>
      </c>
      <c r="C35" s="262">
        <f ca="1">ROUND(C34*F35,0)</f>
        <v>0</v>
      </c>
      <c r="D35" s="262"/>
      <c r="E35" s="262"/>
      <c r="F35" s="297">
        <f>'数据-取费表'!B33</f>
        <v>0</v>
      </c>
      <c r="G35" s="263" t="s">
        <v>958</v>
      </c>
    </row>
    <row r="36" ht="24" spans="1:7">
      <c r="A36" s="282" t="s">
        <v>901</v>
      </c>
      <c r="B36" s="260" t="s">
        <v>959</v>
      </c>
      <c r="C36" s="262">
        <f ca="1">ROUND(IF(B1="",SUM('数据-取费表'!AP6:AP13)*F36,IF(INDIRECT("'数据-取费表'!c"&amp;$G$1)="住宅",INDIRECT("'数据-取费表'!k"&amp;$G$1)*INDIRECT("'数据-取费表'!l"&amp;$G$1)*F36,0)),0)</f>
        <v>0</v>
      </c>
      <c r="D36" s="262"/>
      <c r="E36" s="262"/>
      <c r="F36" s="297">
        <f>'数据-取费表'!B34</f>
        <v>0</v>
      </c>
      <c r="G36" s="298" t="s">
        <v>960</v>
      </c>
    </row>
    <row r="37" s="239" customFormat="1" ht="13.5" customHeight="1" spans="1:7">
      <c r="A37" s="282" t="s">
        <v>941</v>
      </c>
      <c r="B37" s="260" t="s">
        <v>961</v>
      </c>
      <c r="C37" s="293">
        <f ca="1">ROUND(E37*D37,0)</f>
        <v>0</v>
      </c>
      <c r="D37" s="262">
        <f ca="1">D19</f>
        <v>0</v>
      </c>
      <c r="E37" s="293">
        <f>'数据-取费表'!B35</f>
        <v>0</v>
      </c>
      <c r="F37" s="297"/>
      <c r="G37" s="299"/>
    </row>
    <row r="38" ht="13.5" customHeight="1" spans="1:7">
      <c r="A38" s="282" t="s">
        <v>963</v>
      </c>
      <c r="B38" s="260" t="s">
        <v>829</v>
      </c>
      <c r="C38" s="262">
        <f ca="1">ROUND(C34*F38,0)</f>
        <v>0</v>
      </c>
      <c r="D38" s="262"/>
      <c r="E38" s="262"/>
      <c r="F38" s="297">
        <f>'数据-取费表'!B36</f>
        <v>0</v>
      </c>
      <c r="G38" s="263" t="s">
        <v>958</v>
      </c>
    </row>
    <row r="39" s="237" customFormat="1" ht="13.5" customHeight="1" spans="1:7">
      <c r="A39" s="255" t="s">
        <v>924</v>
      </c>
      <c r="B39" s="256" t="s">
        <v>927</v>
      </c>
      <c r="C39" s="276">
        <f ca="1">ROUND(C33*F20,0)</f>
        <v>0</v>
      </c>
      <c r="D39" s="276"/>
      <c r="E39" s="276"/>
      <c r="F39" s="2092">
        <f>F20</f>
        <v>0</v>
      </c>
      <c r="G39" s="280" t="s">
        <v>964</v>
      </c>
    </row>
    <row r="40" s="237" customFormat="1" ht="13.5" customHeight="1" spans="1:7">
      <c r="A40" s="255" t="s">
        <v>926</v>
      </c>
      <c r="B40" s="256" t="s">
        <v>930</v>
      </c>
      <c r="C40" s="278">
        <f>F21</f>
        <v>0</v>
      </c>
      <c r="D40" s="279" t="s">
        <v>965</v>
      </c>
      <c r="E40" s="276"/>
      <c r="F40" s="2092">
        <f>F21</f>
        <v>0</v>
      </c>
      <c r="G40" s="280" t="s">
        <v>966</v>
      </c>
    </row>
    <row r="41" s="237" customFormat="1" ht="13.5" customHeight="1" spans="1:7">
      <c r="A41" s="255" t="s">
        <v>929</v>
      </c>
      <c r="B41" s="256" t="s">
        <v>934</v>
      </c>
      <c r="C41" s="276" t="e">
        <f ca="1">ROUND(SUM(C42:C43),0)</f>
        <v>#VALUE!</v>
      </c>
      <c r="D41" s="278" t="e">
        <f ca="1">C44</f>
        <v>#VALUE!</v>
      </c>
      <c r="E41" s="279" t="s">
        <v>965</v>
      </c>
      <c r="F41" s="2093" t="e">
        <f ca="1">F22</f>
        <v>#VALUE!</v>
      </c>
      <c r="G41" s="280" t="str">
        <f>IF('数据-取费表'!B22&lt;=1,"单利计息","复利计息")</f>
        <v>单利计息</v>
      </c>
    </row>
    <row r="42" ht="13.5" customHeight="1" spans="1:7">
      <c r="A42" s="282" t="s">
        <v>897</v>
      </c>
      <c r="B42" s="260" t="s">
        <v>935</v>
      </c>
      <c r="C42" s="283" t="e">
        <f ca="1">ROUND(IF('数据-取费表'!B22&lt;=1,C33*F22*'数据-取费表'!B20/2,C33*(POWER((1+F22),'数据-取费表'!B20/2)-1)),0)</f>
        <v>#VALUE!</v>
      </c>
      <c r="D42" s="283"/>
      <c r="E42" s="283"/>
      <c r="F42" s="284"/>
      <c r="G42" s="300" t="s">
        <v>987</v>
      </c>
    </row>
    <row r="43" ht="13.5" customHeight="1" spans="1:7">
      <c r="A43" s="282" t="s">
        <v>899</v>
      </c>
      <c r="B43" s="260" t="s">
        <v>937</v>
      </c>
      <c r="C43" s="283" t="e">
        <f ca="1">ROUND(IF('数据-取费表'!B22&lt;=1,C39*F22*'数据-取费表'!B20/2,C39*(POWER((1+F22),'数据-取费表'!B20/2)-1)),0)</f>
        <v>#VALUE!</v>
      </c>
      <c r="D43" s="283"/>
      <c r="E43" s="283"/>
      <c r="F43" s="284"/>
      <c r="G43" s="301"/>
    </row>
    <row r="44" ht="13.5" customHeight="1" spans="1:7">
      <c r="A44" s="282" t="s">
        <v>901</v>
      </c>
      <c r="B44" s="260" t="s">
        <v>939</v>
      </c>
      <c r="C44" s="283" t="e">
        <f ca="1">ROUND(IF('数据-取费表'!B22&lt;=1,C40*F22*'数据-取费表'!B20/2,C40*(POWER((1+F22),'数据-取费表'!B20/2)-1)),4)</f>
        <v>#VALUE!</v>
      </c>
      <c r="D44" s="283"/>
      <c r="E44" s="283"/>
      <c r="F44" s="284"/>
      <c r="G44" s="302"/>
    </row>
    <row r="45" s="237" customFormat="1" ht="13.5" customHeight="1" spans="1:7">
      <c r="A45" s="255" t="s">
        <v>933</v>
      </c>
      <c r="B45" s="289" t="s">
        <v>944</v>
      </c>
      <c r="C45" s="290" t="e">
        <f ca="1">C46</f>
        <v>#DIV/0!</v>
      </c>
      <c r="D45" s="278" t="e">
        <f ca="1">C47</f>
        <v>#DIV/0!</v>
      </c>
      <c r="E45" s="279" t="s">
        <v>965</v>
      </c>
      <c r="F45" s="2093" t="e">
        <f ca="1">F27</f>
        <v>#DIV/0!</v>
      </c>
      <c r="G45" s="291" t="s">
        <v>968</v>
      </c>
    </row>
    <row r="46" s="237" customFormat="1" ht="13.5" customHeight="1" spans="1:7">
      <c r="A46" s="282" t="s">
        <v>897</v>
      </c>
      <c r="B46" s="292" t="s">
        <v>969</v>
      </c>
      <c r="C46" s="293" t="e">
        <f ca="1">ROUND((C33+C39)*F27,0)</f>
        <v>#DIV/0!</v>
      </c>
      <c r="D46" s="278"/>
      <c r="E46" s="279"/>
      <c r="F46" s="281"/>
      <c r="G46" s="291"/>
    </row>
    <row r="47" s="237" customFormat="1" ht="13.5" customHeight="1" spans="1:7">
      <c r="A47" s="282" t="s">
        <v>899</v>
      </c>
      <c r="B47" s="292" t="s">
        <v>970</v>
      </c>
      <c r="C47" s="283" t="e">
        <f ca="1">ROUND(C40*F27,4)</f>
        <v>#DIV/0!</v>
      </c>
      <c r="D47" s="278"/>
      <c r="E47" s="279"/>
      <c r="F47" s="281"/>
      <c r="G47" s="291"/>
    </row>
    <row r="48" s="237" customFormat="1" ht="13.5" customHeight="1" spans="1:7">
      <c r="A48" s="255" t="s">
        <v>943</v>
      </c>
      <c r="B48" s="256" t="s">
        <v>949</v>
      </c>
      <c r="C48" s="278">
        <f>ROUND(F30/(1+'数据-取费表'!C42),4)</f>
        <v>0</v>
      </c>
      <c r="D48" s="279" t="s">
        <v>965</v>
      </c>
      <c r="E48" s="276"/>
      <c r="F48" s="2093">
        <f>F30</f>
        <v>0</v>
      </c>
      <c r="G48" s="280" t="s">
        <v>971</v>
      </c>
    </row>
    <row r="49" ht="16.5" customHeight="1" spans="1:7">
      <c r="A49" s="255" t="s">
        <v>948</v>
      </c>
      <c r="B49" s="256" t="s">
        <v>988</v>
      </c>
      <c r="C49" s="276" t="e">
        <f ca="1">ROUND((C33+C39+C41+C45)/(1-C40-D41-D45-C48),0)</f>
        <v>#VALUE!</v>
      </c>
      <c r="D49" s="276"/>
      <c r="E49" s="276"/>
      <c r="F49" s="290"/>
      <c r="G49" s="280" t="s">
        <v>973</v>
      </c>
    </row>
    <row r="50" s="239" customFormat="1" spans="1:7">
      <c r="A50" s="255" t="s">
        <v>974</v>
      </c>
      <c r="B50" s="256" t="s">
        <v>975</v>
      </c>
      <c r="C50" s="276"/>
      <c r="D50" s="276"/>
      <c r="E50" s="276"/>
      <c r="F50" s="290" t="e">
        <f>IF('数据-取费表'!B24=0,'数据-取费表'!N16,1)</f>
        <v>#DIV/0!</v>
      </c>
      <c r="G50" s="291"/>
    </row>
    <row r="51" ht="16.5" customHeight="1" spans="1:7">
      <c r="A51" s="255" t="s">
        <v>977</v>
      </c>
      <c r="B51" s="256" t="s">
        <v>989</v>
      </c>
      <c r="C51" s="276" t="e">
        <f ca="1">ROUND(C49*F50,0)</f>
        <v>#VALUE!</v>
      </c>
      <c r="D51" s="276"/>
      <c r="E51" s="276"/>
      <c r="F51" s="290"/>
      <c r="G51" s="280" t="s">
        <v>979</v>
      </c>
    </row>
    <row r="52" s="236" customFormat="1" ht="16.35" spans="1:7">
      <c r="A52" s="303" t="s">
        <v>980</v>
      </c>
      <c r="B52" s="304"/>
      <c r="C52" s="305" t="e">
        <f ca="1">C31+C51</f>
        <v>#VALUE!</v>
      </c>
      <c r="D52" s="304"/>
      <c r="E52" s="304"/>
      <c r="F52" s="304"/>
      <c r="G52" s="306"/>
    </row>
    <row r="55" ht="15" spans="2:3">
      <c r="B55" s="307" t="s">
        <v>981</v>
      </c>
      <c r="C55" s="308"/>
    </row>
    <row r="56" spans="2:3">
      <c r="B56" s="309" t="s">
        <v>982</v>
      </c>
      <c r="C56" s="311" t="e">
        <f ca="1">1-C57</f>
        <v>#VALUE!</v>
      </c>
    </row>
    <row r="57" spans="2:3">
      <c r="B57" s="309" t="s">
        <v>983</v>
      </c>
      <c r="C57" s="310" t="e">
        <f ca="1">ROUND(C51/C52,3)</f>
        <v>#VALUE!</v>
      </c>
    </row>
  </sheetData>
  <sheetProtection formatCells="0"/>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5" workbookViewId="0">
      <selection activeCell="B49" sqref="B49"/>
    </sheetView>
  </sheetViews>
  <sheetFormatPr defaultColWidth="9" defaultRowHeight="14.4"/>
  <cols>
    <col min="1" max="1" width="3.5" style="3213" customWidth="1"/>
    <col min="2" max="9" width="10" style="3213" customWidth="1"/>
    <col min="10" max="16384" width="9" style="3213"/>
  </cols>
  <sheetData>
    <row r="36" spans="1:2">
      <c r="A36" s="3212" t="s">
        <v>75</v>
      </c>
      <c r="B36" s="3212" t="s">
        <v>76</v>
      </c>
    </row>
    <row r="37" ht="27.75" customHeight="1" spans="1:9">
      <c r="A37" s="3212"/>
      <c r="B37" s="3214" t="str">
        <f>项目基本情况!B1</f>
        <v>北京市房地产抵押价值预评估</v>
      </c>
      <c r="C37" s="3214"/>
      <c r="D37" s="3214"/>
      <c r="E37" s="3214"/>
      <c r="F37" s="3214"/>
      <c r="G37" s="3214"/>
      <c r="H37" s="3214"/>
      <c r="I37" s="3214"/>
    </row>
    <row r="38" spans="1:2">
      <c r="A38" s="3215"/>
      <c r="B38" s="3215"/>
    </row>
    <row r="39" spans="1:2">
      <c r="A39" s="3212" t="s">
        <v>75</v>
      </c>
      <c r="B39" s="3212" t="s">
        <v>77</v>
      </c>
    </row>
    <row r="40" spans="1:2">
      <c r="A40" s="3212"/>
      <c r="B40" s="3216">
        <f>项目基本情况!B5</f>
        <v>0</v>
      </c>
    </row>
    <row r="41" spans="1:2">
      <c r="A41" s="3212"/>
      <c r="B41" s="3212"/>
    </row>
    <row r="42" spans="1:2">
      <c r="A42" s="3212" t="s">
        <v>75</v>
      </c>
      <c r="B42" s="3212" t="s">
        <v>78</v>
      </c>
    </row>
    <row r="43" spans="1:2">
      <c r="A43" s="3212"/>
      <c r="B43" s="3216" t="s">
        <v>79</v>
      </c>
    </row>
    <row r="44" spans="1:2">
      <c r="A44" s="3212"/>
      <c r="B44" s="3212"/>
    </row>
    <row r="45" spans="1:2">
      <c r="A45" s="3212" t="s">
        <v>75</v>
      </c>
      <c r="B45" s="3212" t="s">
        <v>80</v>
      </c>
    </row>
    <row r="46" s="3212" customFormat="1" spans="2:2">
      <c r="B46" s="3216" t="str">
        <f ca="1">项目基本情况!K4</f>
        <v>（注册号：0)、（注册号：0)</v>
      </c>
    </row>
    <row r="47" spans="1:2">
      <c r="A47" s="3212"/>
      <c r="B47" s="3212" t="str">
        <f ca="1">项目基本情况!K5</f>
        <v>（注册号：0)、（注册号：0)</v>
      </c>
    </row>
    <row r="48" spans="1:2">
      <c r="A48" s="3212" t="s">
        <v>75</v>
      </c>
      <c r="B48" s="3212" t="s">
        <v>81</v>
      </c>
    </row>
    <row r="49" spans="2:2">
      <c r="B49" s="3216"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I37" sqref="I37"/>
    </sheetView>
  </sheetViews>
  <sheetFormatPr defaultColWidth="6.62962962962963" defaultRowHeight="13.2"/>
  <cols>
    <col min="1" max="1" width="9.75" style="415" customWidth="1"/>
    <col min="2" max="2" width="25.75" style="2016" customWidth="1"/>
    <col min="3" max="3" width="10.3796296296296" style="2017" customWidth="1"/>
    <col min="4" max="4" width="9.87962962962963" style="2016" customWidth="1"/>
    <col min="5" max="5" width="9.5" style="415" customWidth="1"/>
    <col min="6" max="6" width="10.1296296296296" style="2016" customWidth="1"/>
    <col min="7" max="7" width="10.75" style="2016" customWidth="1"/>
    <col min="8" max="8" width="10" style="2016" customWidth="1"/>
    <col min="9" max="11" width="9.5" style="2016" customWidth="1"/>
    <col min="12" max="12" width="9" style="2016" customWidth="1"/>
    <col min="13" max="13" width="10.5" style="2016" customWidth="1"/>
    <col min="14" max="254" width="9" style="2016" customWidth="1"/>
    <col min="255" max="16384" width="6.62962962962963" style="2016"/>
  </cols>
  <sheetData>
    <row r="1" ht="20.4" spans="1:11">
      <c r="A1" s="243" t="s">
        <v>990</v>
      </c>
      <c r="B1" s="1840"/>
      <c r="C1" s="2018"/>
      <c r="D1" s="2019"/>
      <c r="E1" s="2020"/>
      <c r="F1" s="2020"/>
      <c r="G1" s="2021"/>
      <c r="H1" s="2020"/>
      <c r="I1" s="2020"/>
      <c r="J1" s="2020"/>
      <c r="K1" s="2072">
        <f>MATCH(C1,'数据-取费表'!A6:A16,0)+5</f>
        <v>6</v>
      </c>
    </row>
    <row r="2" ht="18" customHeight="1" spans="1:11">
      <c r="A2" s="247" t="s">
        <v>888</v>
      </c>
      <c r="B2" s="251" t="e">
        <f ca="1">C32</f>
        <v>#VALUE!</v>
      </c>
      <c r="C2" s="2022" t="s">
        <v>991</v>
      </c>
      <c r="D2" s="2022"/>
      <c r="E2" s="2020"/>
      <c r="F2" s="2020"/>
      <c r="G2" s="2020"/>
      <c r="H2" s="2020"/>
      <c r="I2" s="2020"/>
      <c r="J2" s="2020"/>
      <c r="K2" s="2020"/>
    </row>
    <row r="3" ht="18" customHeight="1" spans="1:11">
      <c r="A3" s="250" t="s">
        <v>890</v>
      </c>
      <c r="B3" s="251" t="e">
        <f ca="1">ROUND(B2*10000/IF(C1="",'数据-汇总表'!E3,INDIRECT("'数据-取费表'!K"&amp;$K$1)),0)</f>
        <v>#VALUE!</v>
      </c>
      <c r="C3" s="2022" t="s">
        <v>992</v>
      </c>
      <c r="D3" s="2022"/>
      <c r="E3" s="2020"/>
      <c r="F3" s="2020"/>
      <c r="G3" s="2020"/>
      <c r="H3" s="2020"/>
      <c r="I3" s="2020"/>
      <c r="J3" s="2020"/>
      <c r="K3" s="2020"/>
    </row>
    <row r="4" s="2007" customFormat="1" ht="16.5" customHeight="1" spans="1:11">
      <c r="A4" s="2023" t="s">
        <v>993</v>
      </c>
      <c r="B4" s="2024"/>
      <c r="C4" s="2025">
        <f>SUM(C8:K8)</f>
        <v>0</v>
      </c>
      <c r="D4" s="2024"/>
      <c r="E4" s="2024"/>
      <c r="F4" s="2024"/>
      <c r="G4" s="2024"/>
      <c r="H4" s="2024"/>
      <c r="I4" s="2024"/>
      <c r="J4" s="2024"/>
      <c r="K4" s="2073"/>
    </row>
    <row r="5" s="2008" customFormat="1" ht="25.2" spans="1:33">
      <c r="A5" s="2026" t="s">
        <v>994</v>
      </c>
      <c r="B5" s="2027" t="s">
        <v>995</v>
      </c>
      <c r="C5" s="2028" t="s">
        <v>996</v>
      </c>
      <c r="D5" s="2028" t="s">
        <v>997</v>
      </c>
      <c r="E5" s="2028" t="s">
        <v>998</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798</v>
      </c>
      <c r="B6" s="1810" t="s">
        <v>999</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802</v>
      </c>
      <c r="B7" s="1810" t="s">
        <v>366</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847</v>
      </c>
      <c r="B8" s="2032" t="s">
        <v>1000</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1001</v>
      </c>
      <c r="B9" s="2024"/>
      <c r="C9" s="2024"/>
      <c r="D9" s="2024"/>
      <c r="E9" s="2024"/>
      <c r="F9" s="2024"/>
      <c r="G9" s="2024"/>
      <c r="H9" s="2024"/>
      <c r="I9" s="2024"/>
      <c r="J9" s="2024"/>
      <c r="K9" s="2073"/>
    </row>
    <row r="10" s="2010" customFormat="1" ht="13.5" customHeight="1" spans="1:11">
      <c r="A10" s="2026" t="s">
        <v>994</v>
      </c>
      <c r="B10" s="2035" t="s">
        <v>995</v>
      </c>
      <c r="C10" s="2036" t="s">
        <v>1002</v>
      </c>
      <c r="D10" s="2036" t="s">
        <v>1003</v>
      </c>
      <c r="E10" s="2036" t="s">
        <v>1004</v>
      </c>
      <c r="F10" s="2036" t="s">
        <v>1005</v>
      </c>
      <c r="G10" s="2035"/>
      <c r="H10" s="2037"/>
      <c r="I10" s="2037"/>
      <c r="J10" s="2037"/>
      <c r="K10" s="2078"/>
    </row>
    <row r="11" s="2011" customFormat="1" ht="13.5" customHeight="1" spans="1:11">
      <c r="A11" s="2038" t="s">
        <v>903</v>
      </c>
      <c r="B11" s="2039" t="s">
        <v>1006</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906</v>
      </c>
      <c r="B12" s="2039" t="s">
        <v>1007</v>
      </c>
      <c r="C12" s="375">
        <f ca="1">ROUND(C11*F12,0)</f>
        <v>0</v>
      </c>
      <c r="D12" s="2040"/>
      <c r="E12" s="1813"/>
      <c r="F12" s="2040">
        <f>'数据-取费表'!B33</f>
        <v>0</v>
      </c>
      <c r="G12" s="2035" t="s">
        <v>1008</v>
      </c>
      <c r="H12" s="2037"/>
      <c r="I12" s="2037"/>
      <c r="J12" s="2037"/>
      <c r="K12" s="2078"/>
    </row>
    <row r="13" s="2011" customFormat="1" ht="13.5" customHeight="1" spans="1:11">
      <c r="A13" s="2038" t="s">
        <v>1009</v>
      </c>
      <c r="B13" s="2039" t="s">
        <v>1010</v>
      </c>
      <c r="C13" s="375">
        <f ca="1">ROUND(IF(C1="",SUMIF('数据-取费表'!C:C,"住宅",'数据-取费表'!P:P)*F13,IF(INDIRECT("'数据-取费表'!c"&amp;$K$1)="住宅",INDIRECT("'数据-取费表'!P"&amp;$K$1)*F13,0)),0)</f>
        <v>0</v>
      </c>
      <c r="D13" s="2040"/>
      <c r="E13" s="1813"/>
      <c r="F13" s="2040">
        <f>'数据-取费表'!B34</f>
        <v>0</v>
      </c>
      <c r="G13" s="2035" t="s">
        <v>1011</v>
      </c>
      <c r="H13" s="2037"/>
      <c r="I13" s="2037"/>
      <c r="J13" s="2037"/>
      <c r="K13" s="2078"/>
    </row>
    <row r="14" s="2012" customFormat="1" ht="13.5" customHeight="1" spans="1:33">
      <c r="A14" s="2038" t="s">
        <v>1012</v>
      </c>
      <c r="B14" s="2039" t="s">
        <v>1013</v>
      </c>
      <c r="C14" s="375">
        <f ca="1">ROUND(D14*E14*F11/10000,0)</f>
        <v>0</v>
      </c>
      <c r="D14" s="2040">
        <f ca="1">IF(C1="",'数据-汇总表'!E3,INDIRECT("'数据-取费表'!K"&amp;$K$1)+INDIRECT("'数据-取费表'!S"&amp;$K$1))</f>
        <v>0</v>
      </c>
      <c r="E14" s="375">
        <f>'数据-取费表'!B35</f>
        <v>0</v>
      </c>
      <c r="F14" s="2040"/>
      <c r="G14" s="2035" t="s">
        <v>1014</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1015</v>
      </c>
      <c r="B15" s="2039" t="s">
        <v>1016</v>
      </c>
      <c r="C15" s="2040">
        <f ca="1">ROUND(C11*F15,0)</f>
        <v>0</v>
      </c>
      <c r="D15" s="2041"/>
      <c r="E15" s="2040"/>
      <c r="F15" s="2040">
        <f>'数据-取费表'!B36</f>
        <v>0</v>
      </c>
      <c r="G15" s="1810" t="s">
        <v>1017</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821</v>
      </c>
      <c r="B16" s="2039" t="s">
        <v>1018</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825</v>
      </c>
      <c r="B17" s="2039" t="s">
        <v>1019</v>
      </c>
      <c r="C17" s="375">
        <f ca="1">ROUND(D17*E17/10000,0)</f>
        <v>0</v>
      </c>
      <c r="D17" s="2040">
        <f ca="1">D14</f>
        <v>0</v>
      </c>
      <c r="E17" s="375">
        <f>'数据-取费表'!B32</f>
        <v>0</v>
      </c>
      <c r="F17" s="2041"/>
      <c r="G17" s="1810" t="s">
        <v>1020</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1021</v>
      </c>
      <c r="B18" s="2039" t="s">
        <v>1022</v>
      </c>
      <c r="C18" s="375">
        <f ca="1">C19+C20-IF(C1="",'数据-取费表'!B29,IF(G18="已全部缴纳",C19+C20,H18))</f>
        <v>0</v>
      </c>
      <c r="D18" s="2040"/>
      <c r="E18" s="375"/>
      <c r="F18" s="2040"/>
      <c r="G18" s="2043"/>
      <c r="H18" s="2044"/>
      <c r="I18" s="2079" t="s">
        <v>1023</v>
      </c>
      <c r="J18" s="1916"/>
      <c r="K18" s="1917"/>
    </row>
    <row r="19" s="2011" customFormat="1" ht="13.5" customHeight="1" spans="1:11">
      <c r="A19" s="2038" t="s">
        <v>903</v>
      </c>
      <c r="B19" s="2039" t="s">
        <v>354</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906</v>
      </c>
      <c r="B20" s="2039" t="s">
        <v>1024</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798</v>
      </c>
      <c r="B21" s="2047" t="s">
        <v>1025</v>
      </c>
      <c r="C21" s="2048">
        <f ca="1">C16+C17+C18</f>
        <v>0</v>
      </c>
      <c r="D21" s="2049"/>
      <c r="E21" s="2049"/>
      <c r="F21" s="2049"/>
      <c r="G21" s="1810" t="s">
        <v>1026</v>
      </c>
      <c r="H21" s="1916"/>
      <c r="I21" s="1916"/>
      <c r="J21" s="1916"/>
      <c r="K21" s="1917"/>
    </row>
    <row r="22" s="2011" customFormat="1" ht="13.5" customHeight="1" spans="1:11">
      <c r="A22" s="2029" t="s">
        <v>802</v>
      </c>
      <c r="B22" s="2047" t="s">
        <v>1027</v>
      </c>
      <c r="C22" s="2048">
        <f ca="1">ROUND(C21*F22,0)</f>
        <v>0</v>
      </c>
      <c r="D22" s="2049"/>
      <c r="E22" s="2049"/>
      <c r="F22" s="2048">
        <f>'数据-取费表'!B37</f>
        <v>0</v>
      </c>
      <c r="G22" s="2035" t="s">
        <v>1028</v>
      </c>
      <c r="H22" s="2037"/>
      <c r="I22" s="2037"/>
      <c r="J22" s="2037"/>
      <c r="K22" s="2078"/>
    </row>
    <row r="23" s="2011" customFormat="1" ht="13.5" customHeight="1" spans="1:11">
      <c r="A23" s="2029" t="s">
        <v>847</v>
      </c>
      <c r="B23" s="2047" t="s">
        <v>1029</v>
      </c>
      <c r="C23" s="2048">
        <f ca="1">ROUND(C4*F23*F11,0)</f>
        <v>0</v>
      </c>
      <c r="D23" s="2049"/>
      <c r="E23" s="2049"/>
      <c r="F23" s="2048">
        <f>'数据-取费表'!B38</f>
        <v>0</v>
      </c>
      <c r="G23" s="2035" t="s">
        <v>1030</v>
      </c>
      <c r="H23" s="2037"/>
      <c r="I23" s="2037"/>
      <c r="J23" s="2037"/>
      <c r="K23" s="2078"/>
    </row>
    <row r="24" s="2011" customFormat="1" ht="13.5" customHeight="1" spans="1:11">
      <c r="A24" s="2029" t="s">
        <v>850</v>
      </c>
      <c r="B24" s="2047" t="s">
        <v>1031</v>
      </c>
      <c r="C24" s="2050">
        <f>ROUND(F24/(1+'数据-取费表'!C42),4)</f>
        <v>0</v>
      </c>
      <c r="D24" s="2049" t="s">
        <v>1032</v>
      </c>
      <c r="E24" s="2049"/>
      <c r="F24" s="2048">
        <f>IF(项目基本情况!B8="出让",0,'数据-取费表'!B48+'数据-取费表'!B49)</f>
        <v>0</v>
      </c>
      <c r="G24" s="2035" t="s">
        <v>1033</v>
      </c>
      <c r="H24" s="2051"/>
      <c r="I24" s="2051"/>
      <c r="J24" s="2051"/>
      <c r="K24" s="2081"/>
    </row>
    <row r="25" s="2011" customFormat="1" ht="13.5" customHeight="1" spans="1:11">
      <c r="A25" s="2029" t="s">
        <v>854</v>
      </c>
      <c r="B25" s="2049" t="s">
        <v>1034</v>
      </c>
      <c r="C25" s="2052" t="e">
        <f ca="1">C27</f>
        <v>#VALUE!</v>
      </c>
      <c r="D25" s="2050" t="e">
        <f ca="1">C26</f>
        <v>#VALUE!</v>
      </c>
      <c r="E25" s="2053" t="s">
        <v>1032</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821</v>
      </c>
      <c r="B26" s="2055" t="s">
        <v>1035</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825</v>
      </c>
      <c r="B27" s="2055" t="s">
        <v>1036</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855</v>
      </c>
      <c r="B28" s="2059" t="s">
        <v>1037</v>
      </c>
      <c r="C28" s="2060" t="e">
        <f ca="1">C30</f>
        <v>#DIV/0!</v>
      </c>
      <c r="D28" s="2050" t="e">
        <f ca="1">C29</f>
        <v>#DIV/0!</v>
      </c>
      <c r="E28" s="2053" t="s">
        <v>1032</v>
      </c>
      <c r="F28" s="1188" t="e">
        <f ca="1">IF(C1="",'数据-取费表'!Q16,INDIRECT("'数据-取费表'!q"&amp;$K$1))</f>
        <v>#DIV/0!</v>
      </c>
      <c r="G28" s="2061"/>
      <c r="H28" s="2051"/>
      <c r="I28" s="2051"/>
      <c r="J28" s="2051"/>
      <c r="K28" s="2081"/>
    </row>
    <row r="29" s="2015" customFormat="1" ht="13.5" customHeight="1" spans="1:11">
      <c r="A29" s="2038" t="s">
        <v>821</v>
      </c>
      <c r="B29" s="2062" t="s">
        <v>1038</v>
      </c>
      <c r="C29" s="375" t="e">
        <f ca="1">ROUND((1+C24)*F28*'数据-取费表'!B24/'数据-取费表'!B20,4)</f>
        <v>#DIV/0!</v>
      </c>
      <c r="D29" s="375"/>
      <c r="E29" s="2056"/>
      <c r="F29" s="378"/>
      <c r="G29" s="1810" t="s">
        <v>1039</v>
      </c>
      <c r="H29" s="1916"/>
      <c r="I29" s="1916"/>
      <c r="J29" s="1916"/>
      <c r="K29" s="1917"/>
    </row>
    <row r="30" s="2015" customFormat="1" ht="13.5" customHeight="1" spans="1:11">
      <c r="A30" s="2038" t="s">
        <v>825</v>
      </c>
      <c r="B30" s="2062" t="s">
        <v>1040</v>
      </c>
      <c r="C30" s="378" t="e">
        <f ca="1">ROUND((C21+C22+C23)*F28,0)</f>
        <v>#DIV/0!</v>
      </c>
      <c r="D30" s="375"/>
      <c r="E30" s="2056"/>
      <c r="F30" s="378"/>
      <c r="G30" s="1810"/>
      <c r="H30" s="1916"/>
      <c r="I30" s="1916"/>
      <c r="J30" s="1916"/>
      <c r="K30" s="1917"/>
    </row>
    <row r="31" s="2011" customFormat="1" ht="13.5" customHeight="1" spans="1:11">
      <c r="A31" s="2063" t="s">
        <v>1041</v>
      </c>
      <c r="B31" s="2064" t="s">
        <v>1042</v>
      </c>
      <c r="C31" s="2065">
        <f>ROUND(C4*F31/(1+'数据-取费表'!C42),0)</f>
        <v>0</v>
      </c>
      <c r="D31" s="2066"/>
      <c r="E31" s="2066"/>
      <c r="F31" s="2065">
        <f>'数据-取费表'!B41</f>
        <v>0</v>
      </c>
      <c r="G31" s="2067" t="s">
        <v>1043</v>
      </c>
      <c r="H31" s="2068"/>
      <c r="I31" s="2068"/>
      <c r="J31" s="2068"/>
      <c r="K31" s="2082"/>
    </row>
    <row r="32" s="2010" customFormat="1" ht="13.5" customHeight="1" spans="1:11">
      <c r="A32" s="1190" t="s">
        <v>1044</v>
      </c>
      <c r="B32" s="2069"/>
      <c r="C32" s="2070" t="e">
        <f ca="1">ROUND((C4-C21-C22-C23-C25-C28-C31)/(1+C24+D25+D28),0)</f>
        <v>#VALUE!</v>
      </c>
      <c r="D32" s="2069"/>
      <c r="E32" s="2069"/>
      <c r="F32" s="2069"/>
      <c r="G32" s="2071" t="s">
        <v>1045</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5.1296296296296" style="1738" customWidth="1"/>
    <col min="12" max="12" width="16.3796296296296" style="239" customWidth="1"/>
    <col min="13" max="13" width="13" style="239" customWidth="1"/>
    <col min="14" max="14" width="13.75" style="1737" customWidth="1"/>
    <col min="15" max="15" width="5.12962962962963"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1"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C40+J29+L46</f>
        <v>#VALUE!</v>
      </c>
      <c r="C2" s="1746" t="s">
        <v>1049</v>
      </c>
      <c r="D2" s="1746"/>
      <c r="E2" s="1748"/>
      <c r="F2" s="1749"/>
      <c r="G2" s="1750"/>
      <c r="H2" s="1751"/>
      <c r="I2" s="1751"/>
      <c r="J2" s="1751"/>
      <c r="K2" s="1903"/>
      <c r="L2" s="1751"/>
      <c r="M2" s="1751"/>
    </row>
    <row r="3" ht="18" customHeight="1" spans="1:13">
      <c r="A3" s="1752" t="s">
        <v>1050</v>
      </c>
      <c r="B3" s="1753">
        <f ca="1">IF(ISERROR(B2*10000/F43),0,ROUND(B2*10000/F43,0))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ROUND(F6*F8*F7*(1-F9)/10000,0)</f>
        <v>0</v>
      </c>
      <c r="D6" s="1768" t="s">
        <v>1061</v>
      </c>
      <c r="E6" s="1769" t="s">
        <v>1062</v>
      </c>
      <c r="F6" s="1770">
        <f ca="1">INDIRECT("'数据-取费表'!u"&amp;$G$1)</f>
        <v>0</v>
      </c>
      <c r="G6" s="1737"/>
      <c r="H6" s="1765" t="s">
        <v>798</v>
      </c>
      <c r="I6" s="1766" t="s">
        <v>1060</v>
      </c>
      <c r="J6" s="1836">
        <f ca="1">ROUND(M6*M8*M7*(1-M9)/10000,0)</f>
        <v>0</v>
      </c>
      <c r="K6" s="1768" t="s">
        <v>1063</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780" t="s">
        <v>1068</v>
      </c>
      <c r="L10" s="1781" t="s">
        <v>1069</v>
      </c>
      <c r="M10" s="1782" t="s">
        <v>1070</v>
      </c>
    </row>
    <row r="11" ht="18" customHeight="1" spans="1:13">
      <c r="A11" s="1783"/>
      <c r="B11" s="1784" t="s">
        <v>1071</v>
      </c>
      <c r="C11" s="1785"/>
      <c r="D11" s="2000"/>
      <c r="E11" s="1781" t="s">
        <v>1072</v>
      </c>
      <c r="F11" s="1786">
        <f ca="1">'数据-取费表'!B39</f>
        <v>0.015</v>
      </c>
      <c r="G11" s="1737"/>
      <c r="H11" s="1787"/>
      <c r="I11" s="1784" t="s">
        <v>1071</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INDIRECT("'数据-取费表'!m"&amp;$G$1)+INDIRECT("'数据-取费表'!t"&amp;$G$1)</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ROUND(INDIRECT("'数据-取费表'!m"&amp;$G$1)*F16,0)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ROUND(F17*(F43+INDIRECT("'数据-取费表'!S"&amp;$G$1))/10000,0)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ROUND(J6*M18/(1+'数据-取费表'!C42),2)</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IF(K19="按租金收入计税",ROUND(J6*M19/(1+'数据-取费表'!C42),2),ROUND(C29*M19*0.7,2))</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ROUND(M20*M21/10000,2)</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ROUND(J14*M22,1)</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ROUND(J13*M23,1)</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ROUND(J5*M24,1)</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IF(项目基本情况!B11="自然人","——",ROUND(C6*F32/(1+'数据-取费表'!C42),2))</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IF(项目基本情况!B11="自然人","——",IF(D33="按租金收入计税",ROUND(C6*F33/(1+'数据-取费表'!C42),2),IF(D33="按房产原值计税",ROUND(C29*F33*0.7,2),INDIRECT("'数据-取费表'!Aj"&amp;$G$1))))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IF(项目基本情况!B11="自然人","——",ROUND(F34*F35/10000,2))</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ROUND(C29*F36,1)</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ROUND(C13*F37,1)</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ROUND(C40*10000/F43,0)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1147</v>
      </c>
      <c r="P45" s="1837"/>
      <c r="Q45" s="1837"/>
      <c r="R45" s="1837"/>
    </row>
    <row r="46" s="1737" customFormat="1" ht="13.95" spans="1:18">
      <c r="A46" s="1851" t="s">
        <v>1148</v>
      </c>
      <c r="C46" s="1852" t="e">
        <f ca="1">C68-C40</f>
        <v>#VALUE!</v>
      </c>
      <c r="D46" s="1853" t="str">
        <f>C2</f>
        <v>万元</v>
      </c>
      <c r="E46" s="1847"/>
      <c r="F46" s="1847"/>
      <c r="I46" s="1931" t="s">
        <v>1149</v>
      </c>
      <c r="J46" s="1932"/>
      <c r="K46" s="1933"/>
      <c r="L46" s="1934" t="e">
        <f ca="1">IF(M47="住宅",0,IF(L48&gt;J51,L60,J60))</f>
        <v>#VALUE!</v>
      </c>
      <c r="O46" s="1935" t="s">
        <v>1150</v>
      </c>
      <c r="P46" s="1936" t="s">
        <v>1151</v>
      </c>
      <c r="Q46" s="1978" t="s">
        <v>1152</v>
      </c>
      <c r="R46" s="1978" t="s">
        <v>1153</v>
      </c>
    </row>
    <row r="47" s="1737" customFormat="1" ht="13.95" spans="1:18">
      <c r="A47" s="1854" t="s">
        <v>1053</v>
      </c>
      <c r="B47" s="1855" t="s">
        <v>1054</v>
      </c>
      <c r="C47" s="2001"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41.5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95" spans="1:18">
      <c r="A49" s="1863" t="s">
        <v>1163</v>
      </c>
      <c r="B49" s="1864" t="s">
        <v>1164</v>
      </c>
      <c r="C49" s="1865">
        <f ca="1">ROUND(F49*F51*F50*(1-F52)/10000,0)</f>
        <v>0</v>
      </c>
      <c r="D49" s="1866" t="s">
        <v>1063</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95" spans="1:18">
      <c r="A50" s="1870"/>
      <c r="B50" s="338"/>
      <c r="C50" s="2002"/>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9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9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36.75" spans="1:18">
      <c r="A53" s="2003" t="s">
        <v>1183</v>
      </c>
      <c r="B53" s="2004" t="s">
        <v>1067</v>
      </c>
      <c r="C53" s="374">
        <f ca="1">ROUND(IF(F53="押一",C49/12*F11,IF(F53="押二",C49/12*2*F11,IF(F53="押三",C49/12*3*F11,C54*F11))),0)</f>
        <v>0</v>
      </c>
      <c r="D53" s="1780" t="s">
        <v>1068</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24.75" spans="1:18">
      <c r="A54" s="2005"/>
      <c r="B54" s="1784" t="s">
        <v>1071</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95" spans="1:18">
      <c r="A55" s="1788" t="s">
        <v>847</v>
      </c>
      <c r="B55" s="1789" t="s">
        <v>1073</v>
      </c>
      <c r="C55" s="1790"/>
      <c r="D55" s="1780"/>
      <c r="E55" s="1880"/>
      <c r="F55" s="1881"/>
      <c r="I55" s="1964" t="s">
        <v>1189</v>
      </c>
      <c r="J55" s="1965" t="e">
        <f ca="1">ROUND(IF(J47="钢混",J57/J50,1-(1-2%)*(J50-J57)/J50),3)</f>
        <v>#DIV/0!</v>
      </c>
      <c r="K55" s="1966" t="s">
        <v>1190</v>
      </c>
      <c r="L55" s="1967" t="s">
        <v>1191</v>
      </c>
      <c r="O55" s="1935" t="s">
        <v>1150</v>
      </c>
      <c r="P55" s="1936" t="s">
        <v>1151</v>
      </c>
      <c r="Q55" s="1978" t="s">
        <v>1152</v>
      </c>
      <c r="R55" s="1978" t="s">
        <v>1153</v>
      </c>
    </row>
    <row r="56" s="1737" customFormat="1" ht="37.5" spans="1:18">
      <c r="A56" s="1882">
        <v>2</v>
      </c>
      <c r="B56" s="1883" t="s">
        <v>1074</v>
      </c>
      <c r="C56" s="276" t="e">
        <f ca="1">C13</f>
        <v>#VALUE!</v>
      </c>
      <c r="D56" s="1884"/>
      <c r="E56" s="1885"/>
      <c r="F56" s="1881"/>
      <c r="I56" s="1968" t="s">
        <v>1192</v>
      </c>
      <c r="J56" s="1969"/>
      <c r="K56" s="1944" t="s">
        <v>1193</v>
      </c>
      <c r="L56" s="1947">
        <f ca="1">IF(L48&lt;J51,"——",L48-J53)</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1195</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1199</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1172</v>
      </c>
      <c r="P59" s="1943" t="s">
        <v>1202</v>
      </c>
      <c r="Q59" s="1979">
        <f>L52</f>
        <v>0</v>
      </c>
      <c r="R59" s="1979"/>
    </row>
    <row r="60" s="1737" customFormat="1" ht="17.55" spans="1:18">
      <c r="A60" s="1799" t="s">
        <v>821</v>
      </c>
      <c r="B60" s="1887" t="s">
        <v>1093</v>
      </c>
      <c r="C60" s="375">
        <f ca="1">IF(项目基本情况!B11="自然人","——",ROUND(C48*F60/(1+'数据-取费表'!C42),2))</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95" spans="1:18">
      <c r="A61" s="1799" t="s">
        <v>825</v>
      </c>
      <c r="B61" s="1887" t="s">
        <v>1097</v>
      </c>
      <c r="C61" s="375" t="e">
        <f ca="1">IF(项目基本情况!B11="自然人","——",IF(D61="按租金收入计税",ROUND(C49*F61/(1+'数据-取费表'!C42),2),IF(D61="按房产原值计税",ROUND(C57*F61*0.7,2),INDIRECT("'数据-取费表'!Aj"&amp;$G$1))))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95" spans="1:18">
      <c r="A62" s="1799" t="s">
        <v>828</v>
      </c>
      <c r="B62" s="1896" t="s">
        <v>1101</v>
      </c>
      <c r="C62" s="1827">
        <f ca="1">IF(项目基本情况!B11="自然人","——",ROUND(F62*F63/10000,2))</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9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95" spans="1:18">
      <c r="A64" s="1799" t="s">
        <v>802</v>
      </c>
      <c r="B64" s="1887" t="s">
        <v>1109</v>
      </c>
      <c r="C64" s="375" t="e">
        <f ca="1">ROUND(C57*F64,1)</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95" spans="1:18">
      <c r="A65" s="1799" t="s">
        <v>847</v>
      </c>
      <c r="B65" s="1887" t="s">
        <v>1113</v>
      </c>
      <c r="C65" s="375" t="e">
        <f ca="1">ROUND(C56*F65,1)</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55" spans="1:18">
      <c r="A66" s="1799" t="s">
        <v>850</v>
      </c>
      <c r="B66" s="1887" t="s">
        <v>1099</v>
      </c>
      <c r="C66" s="375">
        <f ca="1">ROUND(C48*F66,1)</f>
        <v>0</v>
      </c>
      <c r="D66" s="1895" t="s">
        <v>1117</v>
      </c>
      <c r="E66" s="1887" t="s">
        <v>1081</v>
      </c>
      <c r="F66" s="1770">
        <f ca="1" t="shared" si="0"/>
        <v>0</v>
      </c>
      <c r="O66" s="1942" t="s">
        <v>906</v>
      </c>
      <c r="P66" s="1943" t="s">
        <v>1196</v>
      </c>
      <c r="Q66" s="1979" t="e">
        <f ca="1">L60</f>
        <v>#VALUE!</v>
      </c>
      <c r="R66" s="1979" t="s">
        <v>1197</v>
      </c>
    </row>
    <row r="67" s="1737" customFormat="1" ht="24.7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5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95" spans="1:18">
      <c r="A69" s="1985"/>
      <c r="B69" s="1986"/>
      <c r="C69" s="1777"/>
      <c r="D69" s="1987" t="s">
        <v>1132</v>
      </c>
      <c r="E69" s="1887" t="s">
        <v>1133</v>
      </c>
      <c r="F69" s="1770">
        <f ca="1">F41</f>
        <v>0</v>
      </c>
      <c r="O69" s="1950" t="s">
        <v>1220</v>
      </c>
      <c r="P69" s="1999" t="s">
        <v>1221</v>
      </c>
      <c r="Q69" s="1979" t="e">
        <f ca="1">C39</f>
        <v>#VALUE!</v>
      </c>
      <c r="R69" s="1979" t="s">
        <v>1157</v>
      </c>
    </row>
    <row r="70" s="1737" customFormat="1" ht="13.95" spans="1:18">
      <c r="A70" s="1988"/>
      <c r="B70" s="1989"/>
      <c r="C70" s="1796"/>
      <c r="D70" s="1899"/>
      <c r="E70" s="1887" t="s">
        <v>1136</v>
      </c>
      <c r="F70" s="1877"/>
      <c r="O70" s="1950" t="s">
        <v>1222</v>
      </c>
      <c r="P70" s="1999" t="s">
        <v>1223</v>
      </c>
      <c r="Q70" s="1979" t="e">
        <f ca="1">C13</f>
        <v>#VALUE!</v>
      </c>
      <c r="R70" s="1979" t="s">
        <v>1157</v>
      </c>
    </row>
    <row r="71" s="1737" customFormat="1" ht="13.95" spans="1:18">
      <c r="A71" s="1990" t="s">
        <v>1138</v>
      </c>
      <c r="B71" s="1991" t="s">
        <v>1144</v>
      </c>
      <c r="C71" s="1843" t="e">
        <f ca="1">ROUND(C68*10000/F71,0)</f>
        <v>#VALUE!</v>
      </c>
      <c r="D71" s="1992" t="s">
        <v>1145</v>
      </c>
      <c r="E71" s="1993" t="s">
        <v>1146</v>
      </c>
      <c r="F71" s="1846">
        <f ca="1">F43</f>
        <v>0</v>
      </c>
      <c r="O71" s="1950" t="s">
        <v>1224</v>
      </c>
      <c r="P71" s="1999" t="s">
        <v>1225</v>
      </c>
      <c r="Q71" s="1979">
        <f ca="1">C76</f>
        <v>0</v>
      </c>
      <c r="R71" s="1979"/>
    </row>
    <row r="72" s="1737" customFormat="1" ht="13.95" spans="2:18">
      <c r="B72" s="407"/>
      <c r="C72" s="407"/>
      <c r="O72" s="1950" t="s">
        <v>1176</v>
      </c>
      <c r="P72" s="1943" t="s">
        <v>1202</v>
      </c>
      <c r="Q72" s="1979">
        <f>L52</f>
        <v>0</v>
      </c>
      <c r="R72" s="1979"/>
    </row>
    <row r="73" ht="17.55" spans="1:18">
      <c r="A73" s="1737"/>
      <c r="B73" s="407"/>
      <c r="C73" s="407"/>
      <c r="D73" s="1737"/>
      <c r="E73" s="1737"/>
      <c r="F73" s="1737"/>
      <c r="O73" s="1950" t="s">
        <v>1180</v>
      </c>
      <c r="P73" s="1943" t="s">
        <v>1205</v>
      </c>
      <c r="Q73" s="1979" t="e">
        <f ca="1">L58</f>
        <v>#DIV/0!</v>
      </c>
      <c r="R73" s="1979" t="s">
        <v>1206</v>
      </c>
    </row>
    <row r="74" ht="13.9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9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296296296296" style="312" customWidth="1"/>
    <col min="3" max="3" width="11.8796296296296" style="312" customWidth="1"/>
    <col min="4" max="4" width="40.5" style="239" customWidth="1"/>
    <col min="5" max="5" width="15.75" style="239" customWidth="1"/>
    <col min="6" max="6" width="10.6296296296296" style="239" customWidth="1"/>
    <col min="7" max="7" width="4.87962962962963" style="239" customWidth="1"/>
    <col min="8" max="8" width="8.5" style="239" customWidth="1"/>
    <col min="9" max="9" width="21.25" style="239" customWidth="1"/>
    <col min="10" max="10" width="12.25" style="239" customWidth="1"/>
    <col min="11" max="11" width="40.1296296296296" style="1738" customWidth="1"/>
    <col min="12" max="12" width="16.3796296296296" style="239" customWidth="1"/>
    <col min="13" max="13" width="13" style="239" customWidth="1"/>
    <col min="14" max="14" width="13.75" style="1737" customWidth="1"/>
    <col min="15" max="15" width="5.12962962962963" style="1737" customWidth="1"/>
    <col min="16" max="16" width="25.75" style="1737" customWidth="1"/>
    <col min="17" max="17" width="13.75" style="1737" customWidth="1"/>
    <col min="18" max="18" width="20.5" style="1737" customWidth="1"/>
    <col min="19" max="19" width="13.25" style="1737" customWidth="1"/>
    <col min="20" max="37" width="9" style="1737"/>
    <col min="38" max="16384" width="9" style="239"/>
  </cols>
  <sheetData>
    <row r="1" s="1735" customFormat="1" ht="21" spans="1:37">
      <c r="A1" s="1739" t="s">
        <v>1046</v>
      </c>
      <c r="B1" s="1178"/>
      <c r="C1" s="1740"/>
      <c r="D1" s="1741"/>
      <c r="E1" s="1742" t="s">
        <v>1047</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1048</v>
      </c>
      <c r="B2" s="1745" t="e">
        <f ca="1">ROUND(D2/10000,0)</f>
        <v>#VALUE!</v>
      </c>
      <c r="C2" s="1746" t="s">
        <v>1049</v>
      </c>
      <c r="D2" s="1747" t="e">
        <f ca="1">C40+J29+L46</f>
        <v>#VALUE!</v>
      </c>
      <c r="E2" s="1748" t="s">
        <v>1235</v>
      </c>
      <c r="F2" s="1749"/>
      <c r="G2" s="1750"/>
      <c r="H2" s="1751"/>
      <c r="I2" s="1751"/>
      <c r="J2" s="1751"/>
      <c r="K2" s="1903"/>
      <c r="L2" s="1751"/>
      <c r="M2" s="1751"/>
    </row>
    <row r="3" ht="18" customHeight="1" spans="1:13">
      <c r="A3" s="1752" t="s">
        <v>1050</v>
      </c>
      <c r="B3" s="1753">
        <f ca="1">IF(ISERROR(D2/F43),0,ROUND(D2/F43,0))</f>
        <v>0</v>
      </c>
      <c r="C3" s="1746" t="s">
        <v>1051</v>
      </c>
      <c r="D3" s="1746"/>
      <c r="E3" s="1748"/>
      <c r="F3" s="1749"/>
      <c r="G3" s="1750"/>
      <c r="H3" s="1754" t="s">
        <v>1052</v>
      </c>
      <c r="I3" s="1904"/>
      <c r="J3" s="1904"/>
      <c r="K3" s="1905"/>
      <c r="L3" s="1904"/>
      <c r="M3" s="1904"/>
    </row>
    <row r="4" ht="18" customHeight="1" spans="1:13">
      <c r="A4" s="1755" t="s">
        <v>1053</v>
      </c>
      <c r="B4" s="1756" t="s">
        <v>1054</v>
      </c>
      <c r="C4" s="1756" t="s">
        <v>1055</v>
      </c>
      <c r="D4" s="1756" t="s">
        <v>1056</v>
      </c>
      <c r="E4" s="1757" t="s">
        <v>1057</v>
      </c>
      <c r="F4" s="1758"/>
      <c r="G4" s="1737"/>
      <c r="H4" s="1755" t="s">
        <v>1053</v>
      </c>
      <c r="I4" s="1756" t="s">
        <v>1054</v>
      </c>
      <c r="J4" s="1756" t="s">
        <v>1055</v>
      </c>
      <c r="K4" s="1756" t="s">
        <v>1056</v>
      </c>
      <c r="L4" s="1757" t="s">
        <v>1057</v>
      </c>
      <c r="M4" s="1758"/>
    </row>
    <row r="5" ht="18" customHeight="1" spans="1:13">
      <c r="A5" s="1759">
        <v>1</v>
      </c>
      <c r="B5" s="1760" t="s">
        <v>1058</v>
      </c>
      <c r="C5" s="1761">
        <f ca="1">C6+C10+C12</f>
        <v>0</v>
      </c>
      <c r="D5" s="1762" t="s">
        <v>1059</v>
      </c>
      <c r="E5" s="1763"/>
      <c r="F5" s="1764"/>
      <c r="G5" s="1737"/>
      <c r="H5" s="1759">
        <v>1</v>
      </c>
      <c r="I5" s="1760" t="s">
        <v>1058</v>
      </c>
      <c r="J5" s="1761">
        <f ca="1">J6+J10+J12</f>
        <v>0</v>
      </c>
      <c r="K5" s="1762" t="s">
        <v>1059</v>
      </c>
      <c r="L5" s="1763"/>
      <c r="M5" s="1764"/>
    </row>
    <row r="6" ht="18" customHeight="1" spans="1:13">
      <c r="A6" s="1765" t="s">
        <v>798</v>
      </c>
      <c r="B6" s="1766" t="s">
        <v>1060</v>
      </c>
      <c r="C6" s="1767">
        <f ca="1">ROUND(F6*F8*F7*(1-F9),0)</f>
        <v>0</v>
      </c>
      <c r="D6" s="1768" t="s">
        <v>1236</v>
      </c>
      <c r="E6" s="1769" t="s">
        <v>1062</v>
      </c>
      <c r="F6" s="1770">
        <f ca="1">INDIRECT("'数据-取费表'!u"&amp;$G$1)</f>
        <v>0</v>
      </c>
      <c r="G6" s="1737"/>
      <c r="H6" s="1765" t="s">
        <v>798</v>
      </c>
      <c r="I6" s="1766" t="s">
        <v>1060</v>
      </c>
      <c r="J6" s="1836">
        <f ca="1">ROUND(M6*M8*M7*(1-M9),0)</f>
        <v>0</v>
      </c>
      <c r="K6" s="1906" t="s">
        <v>1237</v>
      </c>
      <c r="L6" s="1769" t="s">
        <v>1062</v>
      </c>
      <c r="M6" s="1770">
        <f ca="1">INDIRECT("'数据-取费表'!z"&amp;$G$1)</f>
        <v>0</v>
      </c>
    </row>
    <row r="7" ht="18" customHeight="1" spans="1:13">
      <c r="A7" s="1771"/>
      <c r="B7" s="1772"/>
      <c r="C7" s="1773"/>
      <c r="D7" s="1774"/>
      <c r="E7" s="1775" t="s">
        <v>1064</v>
      </c>
      <c r="F7" s="1770">
        <f ca="1">IF(INDIRECT("'数据-取费表'!ah"&amp;$G$1)="",INDIRECT("'数据-取费表'!k"&amp;$G$1),INDIRECT("'数据-取费表'!ah"&amp;$G$1))</f>
        <v>0</v>
      </c>
      <c r="G7" s="1737"/>
      <c r="H7" s="1776"/>
      <c r="I7" s="1772"/>
      <c r="J7" s="1777"/>
      <c r="K7" s="1774"/>
      <c r="L7" s="1769" t="s">
        <v>1064</v>
      </c>
      <c r="M7" s="1770">
        <f ca="1">F7</f>
        <v>0</v>
      </c>
    </row>
    <row r="8" ht="18" customHeight="1" spans="1:13">
      <c r="A8" s="1776"/>
      <c r="B8" s="1772"/>
      <c r="C8" s="1777"/>
      <c r="D8" s="1774"/>
      <c r="E8" s="1769" t="s">
        <v>1065</v>
      </c>
      <c r="F8" s="1770">
        <f ca="1">INDIRECT("'数据-取费表'!ai"&amp;$G$1)</f>
        <v>0</v>
      </c>
      <c r="G8" s="1737"/>
      <c r="H8" s="1776"/>
      <c r="I8" s="1772"/>
      <c r="J8" s="1777"/>
      <c r="K8" s="1774"/>
      <c r="L8" s="1769" t="s">
        <v>1065</v>
      </c>
      <c r="M8" s="1770">
        <f ca="1">INDIRECT("'数据-取费表'!ai"&amp;$G$1)</f>
        <v>0</v>
      </c>
    </row>
    <row r="9" ht="18" customHeight="1" spans="1:13">
      <c r="A9" s="1776"/>
      <c r="B9" s="1778"/>
      <c r="C9" s="1777"/>
      <c r="D9" s="1774"/>
      <c r="E9" s="1769" t="s">
        <v>1066</v>
      </c>
      <c r="F9" s="1770">
        <f ca="1">INDIRECT("'数据-取费表'!w"&amp;$G$1)</f>
        <v>0</v>
      </c>
      <c r="G9" s="1737"/>
      <c r="H9" s="1776"/>
      <c r="I9" s="1778"/>
      <c r="J9" s="1777"/>
      <c r="K9" s="1774"/>
      <c r="L9" s="1781" t="s">
        <v>1066</v>
      </c>
      <c r="M9" s="1786">
        <f ca="1">INDIRECT("'数据-取费表'!ab"&amp;$G$1)</f>
        <v>0</v>
      </c>
    </row>
    <row r="10" ht="18" customHeight="1" spans="1:13">
      <c r="A10" s="1765" t="s">
        <v>802</v>
      </c>
      <c r="B10" s="1779" t="s">
        <v>1067</v>
      </c>
      <c r="C10" s="374">
        <f ca="1">ROUND(IF(F10="押一",C6/12*F11,IF(F10="押二",C6/12*2*F11,IF(F10="押三",C6/12*3*F11,C11*F11))),0)</f>
        <v>0</v>
      </c>
      <c r="D10" s="1780" t="s">
        <v>1068</v>
      </c>
      <c r="E10" s="1781" t="s">
        <v>1069</v>
      </c>
      <c r="F10" s="1782"/>
      <c r="G10" s="1737"/>
      <c r="H10" s="1765" t="s">
        <v>802</v>
      </c>
      <c r="I10" s="1779" t="s">
        <v>1067</v>
      </c>
      <c r="J10" s="1836">
        <f ca="1">ROUND(IF(M10="押一",J6/12*M11,IF(M10="押二",J6/12*2*M11,IF(M10="押三",J6/12*3*M11,J11*M11))),0)</f>
        <v>0</v>
      </c>
      <c r="K10" s="1907" t="s">
        <v>1238</v>
      </c>
      <c r="L10" s="1781" t="s">
        <v>1069</v>
      </c>
      <c r="M10" s="1782"/>
    </row>
    <row r="11" ht="18" customHeight="1" spans="1:13">
      <c r="A11" s="1783"/>
      <c r="B11" s="1784" t="s">
        <v>1239</v>
      </c>
      <c r="C11" s="1785"/>
      <c r="D11" s="1774"/>
      <c r="E11" s="1781" t="s">
        <v>1072</v>
      </c>
      <c r="F11" s="1786">
        <f ca="1">'数据-取费表'!B39</f>
        <v>0.015</v>
      </c>
      <c r="G11" s="1737"/>
      <c r="H11" s="1787"/>
      <c r="I11" s="1784" t="s">
        <v>1240</v>
      </c>
      <c r="J11" s="1785"/>
      <c r="K11" s="1908"/>
      <c r="L11" s="1781" t="s">
        <v>1072</v>
      </c>
      <c r="M11" s="1909">
        <f ca="1">'数据-取费表'!B39</f>
        <v>0.015</v>
      </c>
    </row>
    <row r="12" ht="18" customHeight="1" spans="1:13">
      <c r="A12" s="1788" t="s">
        <v>847</v>
      </c>
      <c r="B12" s="1789" t="s">
        <v>1073</v>
      </c>
      <c r="C12" s="1790"/>
      <c r="D12" s="1791"/>
      <c r="E12" s="1792"/>
      <c r="F12" s="1793"/>
      <c r="G12" s="1737"/>
      <c r="H12" s="1788" t="s">
        <v>847</v>
      </c>
      <c r="I12" s="1789" t="s">
        <v>1073</v>
      </c>
      <c r="J12" s="1790"/>
      <c r="K12" s="1910"/>
      <c r="L12" s="1792"/>
      <c r="M12" s="1911"/>
    </row>
    <row r="13" ht="18" customHeight="1" spans="1:13">
      <c r="A13" s="1794">
        <v>2</v>
      </c>
      <c r="B13" s="1795" t="s">
        <v>1074</v>
      </c>
      <c r="C13" s="1796" t="e">
        <f ca="1">ROUND(C29*F13,0)</f>
        <v>#VALUE!</v>
      </c>
      <c r="D13" s="1797" t="s">
        <v>1075</v>
      </c>
      <c r="E13" s="1797" t="s">
        <v>1076</v>
      </c>
      <c r="F13" s="1798">
        <f ca="1">INDIRECT("'数据-取费表'!y"&amp;$G$1)</f>
        <v>0</v>
      </c>
      <c r="G13" s="1737"/>
      <c r="H13" s="1794">
        <v>2</v>
      </c>
      <c r="I13" s="1795" t="s">
        <v>1074</v>
      </c>
      <c r="J13" s="1912" t="e">
        <f ca="1">ROUND(J14*J15,0)</f>
        <v>#VALUE!</v>
      </c>
      <c r="K13" s="1818" t="s">
        <v>1075</v>
      </c>
      <c r="L13" s="1913"/>
      <c r="M13" s="1914"/>
    </row>
    <row r="14" ht="18" customHeight="1" spans="1:13">
      <c r="A14" s="1799" t="s">
        <v>821</v>
      </c>
      <c r="B14" s="1769" t="s">
        <v>1077</v>
      </c>
      <c r="C14" s="1800">
        <f ca="1">ROUND(INDIRECT("'数据-取费表'!l"&amp;$G$1)*F43+'数据-取费表'!L14*INDIRECT("'数据-取费表'!S"&amp;$G$1),0)</f>
        <v>0</v>
      </c>
      <c r="D14" s="1801" t="s">
        <v>1078</v>
      </c>
      <c r="E14" s="1802"/>
      <c r="F14" s="1803"/>
      <c r="G14" s="1737"/>
      <c r="H14" s="1799" t="s">
        <v>798</v>
      </c>
      <c r="I14" s="1769" t="s">
        <v>1079</v>
      </c>
      <c r="J14" s="375" t="e">
        <f ca="1">C29</f>
        <v>#VALUE!</v>
      </c>
      <c r="K14" s="1915"/>
      <c r="L14" s="1916"/>
      <c r="M14" s="1917"/>
    </row>
    <row r="15" s="1736" customFormat="1" ht="18" customHeight="1" spans="1:37">
      <c r="A15" s="1799" t="s">
        <v>825</v>
      </c>
      <c r="B15" s="1769" t="s">
        <v>1007</v>
      </c>
      <c r="C15" s="375">
        <f ca="1">ROUND(C14*F15,0)</f>
        <v>0</v>
      </c>
      <c r="D15" s="1804" t="s">
        <v>1080</v>
      </c>
      <c r="E15" s="1804" t="s">
        <v>1081</v>
      </c>
      <c r="F15" s="1805">
        <f>'数据-取费表'!B33</f>
        <v>0</v>
      </c>
      <c r="G15" s="1806"/>
      <c r="H15" s="1807" t="s">
        <v>802</v>
      </c>
      <c r="I15" s="1792" t="s">
        <v>1076</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828</v>
      </c>
      <c r="B16" s="1769" t="s">
        <v>1010</v>
      </c>
      <c r="C16" s="375">
        <f ca="1">ROUND(INDIRECT("'数据-取费表'!l"&amp;$G$1)*F43*F16,0)</f>
        <v>0</v>
      </c>
      <c r="D16" s="1769" t="s">
        <v>1080</v>
      </c>
      <c r="E16" s="1769" t="s">
        <v>1081</v>
      </c>
      <c r="F16" s="1808">
        <f ca="1">IF(INDIRECT("'数据-取费表'!c"&amp;$G$1)="住宅",'数据-取费表'!B34,0)</f>
        <v>0</v>
      </c>
      <c r="G16" s="1737"/>
      <c r="H16" s="1794" t="s">
        <v>1082</v>
      </c>
      <c r="I16" s="1795" t="s">
        <v>1083</v>
      </c>
      <c r="J16" s="1796" t="e">
        <f ca="1">ROUND(J17+J22+J23+J24,0)</f>
        <v>#VALUE!</v>
      </c>
      <c r="K16" s="1818" t="s">
        <v>1084</v>
      </c>
      <c r="L16" s="1819"/>
      <c r="M16" s="1764"/>
    </row>
    <row r="17" s="1736" customFormat="1" ht="18" customHeight="1" spans="1:37">
      <c r="A17" s="1799" t="s">
        <v>1085</v>
      </c>
      <c r="B17" s="1769" t="s">
        <v>1086</v>
      </c>
      <c r="C17" s="375">
        <f ca="1">ROUND(F17*(F43+INDIRECT("'数据-取费表'!S"&amp;$G$1)),0)</f>
        <v>0</v>
      </c>
      <c r="D17" s="1769" t="s">
        <v>1087</v>
      </c>
      <c r="E17" s="1769" t="s">
        <v>1088</v>
      </c>
      <c r="F17" s="1809">
        <f>'数据-取费表'!B35</f>
        <v>0</v>
      </c>
      <c r="G17" s="1806"/>
      <c r="H17" s="1799" t="s">
        <v>798</v>
      </c>
      <c r="I17" s="1769" t="s">
        <v>1089</v>
      </c>
      <c r="J17" s="1821" t="e">
        <f ca="1">ROUND(IF(AND(项目基本情况!B11="自然人",项目基本情况!B10="北京市"),J6*M17/(1+'数据-取费表'!C42),J18+J19+J20),0)</f>
        <v>#VALUE!</v>
      </c>
      <c r="K17" s="1801" t="s">
        <v>1090</v>
      </c>
      <c r="L17" s="1822" t="s">
        <v>1091</v>
      </c>
      <c r="M17" s="1823"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1092</v>
      </c>
      <c r="B18" s="1769" t="s">
        <v>1016</v>
      </c>
      <c r="C18" s="375">
        <f ca="1">ROUND(C14*F18,0)</f>
        <v>0</v>
      </c>
      <c r="D18" s="1769" t="s">
        <v>1080</v>
      </c>
      <c r="E18" s="1769" t="s">
        <v>1081</v>
      </c>
      <c r="F18" s="1808">
        <f>'数据-取费表'!B36</f>
        <v>0</v>
      </c>
      <c r="G18" s="1806"/>
      <c r="H18" s="1799" t="s">
        <v>821</v>
      </c>
      <c r="I18" s="1769" t="s">
        <v>1093</v>
      </c>
      <c r="J18" s="375">
        <f ca="1">ROUND(J6*M18/(1+'数据-取费表'!C42),0)</f>
        <v>0</v>
      </c>
      <c r="K18" s="1822" t="s">
        <v>1094</v>
      </c>
      <c r="L18" s="1769" t="s">
        <v>1081</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798</v>
      </c>
      <c r="B19" s="1769" t="s">
        <v>1095</v>
      </c>
      <c r="C19" s="375">
        <f ca="1">SUM(C14:C18)</f>
        <v>0</v>
      </c>
      <c r="D19" s="1810" t="s">
        <v>1096</v>
      </c>
      <c r="E19" s="377"/>
      <c r="F19" s="1809"/>
      <c r="G19" s="1737"/>
      <c r="H19" s="1799" t="s">
        <v>825</v>
      </c>
      <c r="I19" s="1769" t="s">
        <v>1097</v>
      </c>
      <c r="J19" s="375" t="e">
        <f ca="1">IF(K19="按租金收入计税",ROUND(J6*M19/(1+'数据-取费表'!C42),0),ROUND(C29*M19*0.7,0))</f>
        <v>#VALUE!</v>
      </c>
      <c r="K19" s="1825" t="s">
        <v>1098</v>
      </c>
      <c r="L19" s="1769" t="s">
        <v>1081</v>
      </c>
      <c r="M19" s="1808">
        <f>IF(K19="按租金收入计税",'数据-取费表'!B51,'数据-取费表'!B50)</f>
        <v>0.012</v>
      </c>
    </row>
    <row r="20" s="1736" customFormat="1" ht="18" customHeight="1" spans="1:37">
      <c r="A20" s="1799" t="s">
        <v>802</v>
      </c>
      <c r="B20" s="1769" t="s">
        <v>1099</v>
      </c>
      <c r="C20" s="375">
        <f ca="1">ROUND(C19*F20,0)</f>
        <v>0</v>
      </c>
      <c r="D20" s="1811" t="s">
        <v>1100</v>
      </c>
      <c r="E20" s="1769" t="s">
        <v>1081</v>
      </c>
      <c r="F20" s="1808">
        <f>'数据-取费表'!B37</f>
        <v>0</v>
      </c>
      <c r="G20" s="1806"/>
      <c r="H20" s="1799" t="s">
        <v>828</v>
      </c>
      <c r="I20" s="1768" t="s">
        <v>1101</v>
      </c>
      <c r="J20" s="1827">
        <f ca="1">ROUND(M20*M21,0)</f>
        <v>0</v>
      </c>
      <c r="K20" s="1828" t="s">
        <v>1102</v>
      </c>
      <c r="L20" s="1769" t="s">
        <v>1103</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847</v>
      </c>
      <c r="B21" s="1769" t="s">
        <v>1104</v>
      </c>
      <c r="C21" s="375" t="s">
        <v>124</v>
      </c>
      <c r="D21" s="1811" t="s">
        <v>1105</v>
      </c>
      <c r="E21" s="1769" t="s">
        <v>1106</v>
      </c>
      <c r="F21" s="1808">
        <f>'数据-取费表'!B38</f>
        <v>0</v>
      </c>
      <c r="G21" s="1806"/>
      <c r="H21" s="1812"/>
      <c r="I21" s="1921"/>
      <c r="J21" s="1830"/>
      <c r="K21" s="703"/>
      <c r="L21" s="1769" t="s">
        <v>1107</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850</v>
      </c>
      <c r="B22" s="1769" t="s">
        <v>1108</v>
      </c>
      <c r="C22" s="375"/>
      <c r="D22" s="1810" t="str">
        <f>IF(F23&lt;=1,"单利计息。","复利计息。")&amp;"建造成本、管理费用、销售费用产生的利息。"</f>
        <v>单利计息。建造成本、管理费用、销售费用产生的利息。</v>
      </c>
      <c r="E22" s="377"/>
      <c r="F22" s="1809"/>
      <c r="G22" s="1737"/>
      <c r="H22" s="1799" t="s">
        <v>802</v>
      </c>
      <c r="I22" s="1769" t="s">
        <v>1109</v>
      </c>
      <c r="J22" s="375" t="e">
        <f ca="1">ROUND(J14*M22,0)</f>
        <v>#VALUE!</v>
      </c>
      <c r="K22" s="1822" t="s">
        <v>1110</v>
      </c>
      <c r="L22" s="1769" t="s">
        <v>1081</v>
      </c>
      <c r="M22" s="1770">
        <f ca="1">INDIRECT("'数据-取费表'!Ak"&amp;$G$1)</f>
        <v>0</v>
      </c>
    </row>
    <row r="23" s="1736" customFormat="1" ht="18" customHeight="1" spans="1:37">
      <c r="A23" s="1799" t="s">
        <v>821</v>
      </c>
      <c r="B23" s="1769" t="s">
        <v>1111</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1112</v>
      </c>
      <c r="F23" s="1808">
        <f>'数据-取费表'!B20</f>
        <v>0</v>
      </c>
      <c r="G23" s="1806"/>
      <c r="H23" s="1799" t="s">
        <v>847</v>
      </c>
      <c r="I23" s="1769" t="s">
        <v>1113</v>
      </c>
      <c r="J23" s="375" t="e">
        <f ca="1">ROUND(J13*M23,0)</f>
        <v>#VALUE!</v>
      </c>
      <c r="K23" s="1822" t="s">
        <v>1114</v>
      </c>
      <c r="L23" s="1769" t="s">
        <v>1081</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825</v>
      </c>
      <c r="B24" s="1769" t="s">
        <v>1115</v>
      </c>
      <c r="C24" s="375" t="e">
        <f ca="1">ROUND(IF('数据-取费表'!B22&lt;=1,F21*F24*F23/2,F21*(POWER((1+F24),F23/2)-1)),4)</f>
        <v>#VALUE!</v>
      </c>
      <c r="D24" s="1813" t="str">
        <f>IF(F23&lt;=1,"销售费用×利率×(建设周期÷2)","销售费用×((1+利率)^(建设周期÷2)-1)")</f>
        <v>销售费用×利率×(建设周期÷2)</v>
      </c>
      <c r="E24" s="1769" t="s">
        <v>1116</v>
      </c>
      <c r="F24" s="1808" t="e">
        <f ca="1">'数据-取费表'!B40</f>
        <v>#VALUE!</v>
      </c>
      <c r="G24" s="1806"/>
      <c r="H24" s="1807" t="s">
        <v>850</v>
      </c>
      <c r="I24" s="1792" t="s">
        <v>1099</v>
      </c>
      <c r="J24" s="1814">
        <f ca="1">ROUND(J5*M24,0)</f>
        <v>0</v>
      </c>
      <c r="K24" s="1815" t="s">
        <v>1117</v>
      </c>
      <c r="L24" s="1792" t="s">
        <v>1081</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854</v>
      </c>
      <c r="B25" s="1769" t="s">
        <v>1118</v>
      </c>
      <c r="C25" s="375"/>
      <c r="D25" s="1810" t="s">
        <v>1119</v>
      </c>
      <c r="E25" s="377"/>
      <c r="F25" s="1809"/>
      <c r="G25" s="1737"/>
      <c r="H25" s="1794" t="s">
        <v>1120</v>
      </c>
      <c r="I25" s="1832" t="s">
        <v>1121</v>
      </c>
      <c r="J25" s="1796" t="e">
        <f ca="1">J5-J16</f>
        <v>#VALUE!</v>
      </c>
      <c r="K25" s="1833" t="s">
        <v>1122</v>
      </c>
      <c r="L25" s="1834"/>
      <c r="M25" s="1835"/>
    </row>
    <row r="26" ht="18" customHeight="1" spans="1:13">
      <c r="A26" s="1799" t="s">
        <v>821</v>
      </c>
      <c r="B26" s="1769" t="s">
        <v>1123</v>
      </c>
      <c r="C26" s="375">
        <f ca="1">ROUND((C19+C20)*F26,0)</f>
        <v>0</v>
      </c>
      <c r="D26" s="1811" t="s">
        <v>1124</v>
      </c>
      <c r="E26" s="1781" t="s">
        <v>1125</v>
      </c>
      <c r="F26" s="1770">
        <f ca="1">INDIRECT("'数据-取费表'!q"&amp;$G$1)</f>
        <v>0</v>
      </c>
      <c r="G26" s="1737"/>
      <c r="H26" s="1759" t="s">
        <v>1126</v>
      </c>
      <c r="I26" s="1760" t="s">
        <v>1127</v>
      </c>
      <c r="J26" s="1836">
        <f ca="1">IF(J5&lt;&gt;0,ROUND(J25*(1-((1+M28)/(1+M26))^M27)/(M26-M28),0),0)</f>
        <v>0</v>
      </c>
      <c r="K26" s="1828" t="s">
        <v>1128</v>
      </c>
      <c r="L26" s="1769" t="s">
        <v>1129</v>
      </c>
      <c r="M26" s="1770">
        <f ca="1">INDIRECT("'数据-取费表'!I"&amp;$G$1)</f>
        <v>0</v>
      </c>
    </row>
    <row r="27" ht="18" customHeight="1" spans="1:13">
      <c r="A27" s="1799" t="s">
        <v>825</v>
      </c>
      <c r="B27" s="1769" t="s">
        <v>1130</v>
      </c>
      <c r="C27" s="375">
        <f ca="1">ROUND(F21*F26,4)</f>
        <v>0</v>
      </c>
      <c r="D27" s="1811" t="s">
        <v>1131</v>
      </c>
      <c r="E27" s="1804"/>
      <c r="F27" s="1805"/>
      <c r="G27" s="1737"/>
      <c r="H27" s="1776"/>
      <c r="I27" s="1838"/>
      <c r="J27" s="1777"/>
      <c r="K27" s="1839" t="s">
        <v>1132</v>
      </c>
      <c r="L27" s="1769" t="s">
        <v>1133</v>
      </c>
      <c r="M27" s="1770">
        <f ca="1">INDIRECT("'数据-取费表'!ag"&amp;$G$1)</f>
        <v>0</v>
      </c>
    </row>
    <row r="28" s="1736" customFormat="1" ht="18" customHeight="1" spans="1:37">
      <c r="A28" s="1799" t="s">
        <v>855</v>
      </c>
      <c r="B28" s="1769" t="s">
        <v>1134</v>
      </c>
      <c r="C28" s="375">
        <f>ROUND(F28/(1+'数据-取费表'!C42),4)</f>
        <v>0</v>
      </c>
      <c r="D28" s="1811" t="s">
        <v>1135</v>
      </c>
      <c r="E28" s="1769" t="s">
        <v>1081</v>
      </c>
      <c r="F28" s="1808">
        <f>'数据-取费表'!B41</f>
        <v>0</v>
      </c>
      <c r="G28" s="1806"/>
      <c r="H28" s="1783"/>
      <c r="I28" s="1841"/>
      <c r="J28" s="1796"/>
      <c r="K28" s="703"/>
      <c r="L28" s="1769" t="s">
        <v>1136</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1041</v>
      </c>
      <c r="B29" s="1792" t="s">
        <v>1137</v>
      </c>
      <c r="C29" s="1814" t="e">
        <f ca="1">ROUND((C19+C20+C23+C26)/(1-F21-C24-C27-C28),0)</f>
        <v>#VALUE!</v>
      </c>
      <c r="D29" s="1815"/>
      <c r="E29" s="1792"/>
      <c r="F29" s="1816"/>
      <c r="G29" s="1806"/>
      <c r="H29" s="1817" t="s">
        <v>1138</v>
      </c>
      <c r="I29" s="1842" t="s">
        <v>1139</v>
      </c>
      <c r="J29" s="1843">
        <f ca="1">ROUND(J26/(1+F40)^F41,0)</f>
        <v>0</v>
      </c>
      <c r="K29" s="1844" t="s">
        <v>1140</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1082</v>
      </c>
      <c r="B30" s="1795" t="s">
        <v>1083</v>
      </c>
      <c r="C30" s="1796" t="e">
        <f ca="1">ROUND(C31+C36+C37+C38,0)</f>
        <v>#VALUE!</v>
      </c>
      <c r="D30" s="1818" t="s">
        <v>1084</v>
      </c>
      <c r="E30" s="1819"/>
      <c r="F30" s="1764"/>
      <c r="G30" s="1737"/>
      <c r="H30" s="1820"/>
      <c r="I30" s="1820"/>
      <c r="J30" s="1922"/>
      <c r="K30" s="1923"/>
      <c r="L30" s="1924"/>
      <c r="M30" s="1922"/>
    </row>
    <row r="31" ht="18" customHeight="1" spans="1:13">
      <c r="A31" s="1799" t="s">
        <v>798</v>
      </c>
      <c r="B31" s="1769" t="s">
        <v>1089</v>
      </c>
      <c r="C31" s="1821" t="e">
        <f ca="1">ROUND(IF(AND(项目基本情况!B11="自然人",项目基本情况!B10="北京市"),C6*F31/(1+'数据-取费表'!C42),C32+C33+C34),0)</f>
        <v>#VALUE!</v>
      </c>
      <c r="D31" s="1801" t="s">
        <v>1090</v>
      </c>
      <c r="E31" s="1822" t="s">
        <v>1091</v>
      </c>
      <c r="F31" s="1823" t="str">
        <f ca="1">IF(项目基本情况!B11="企业","——",IF('数据-取费表'!B10="住宅",IF(F6*F7*F8/12/(1+'数据-取费表'!F30)&gt;100000,4%,2.5%),IF(F6*F7*F8/12/(1+'数据-取费表'!F30)&gt;100000,12%,7%)))</f>
        <v>——</v>
      </c>
      <c r="G31" s="1737"/>
      <c r="H31" s="1824" t="s">
        <v>1141</v>
      </c>
      <c r="I31" s="1820"/>
      <c r="J31" s="1922"/>
      <c r="K31" s="1923"/>
      <c r="L31" s="1924"/>
      <c r="M31" s="1922"/>
    </row>
    <row r="32" ht="18" customHeight="1" spans="1:13">
      <c r="A32" s="1799" t="s">
        <v>821</v>
      </c>
      <c r="B32" s="1769" t="s">
        <v>1093</v>
      </c>
      <c r="C32" s="375">
        <f ca="1">IF(项目基本情况!B11="自然人","——",ROUND(C6*F32/(1+'数据-取费表'!C42),0))</f>
        <v>0</v>
      </c>
      <c r="D32" s="1822" t="s">
        <v>1094</v>
      </c>
      <c r="E32" s="1769" t="s">
        <v>1081</v>
      </c>
      <c r="F32" s="1808">
        <f>'数据-取费表'!B41</f>
        <v>0</v>
      </c>
      <c r="G32" s="1737"/>
      <c r="H32" s="1820"/>
      <c r="I32" s="1820"/>
      <c r="J32" s="1922"/>
      <c r="K32" s="1923"/>
      <c r="L32" s="1924"/>
      <c r="M32" s="1922"/>
    </row>
    <row r="33" ht="18" customHeight="1" spans="1:13">
      <c r="A33" s="1799" t="s">
        <v>825</v>
      </c>
      <c r="B33" s="1769" t="s">
        <v>1097</v>
      </c>
      <c r="C33" s="375" t="e">
        <f ca="1">IF(项目基本情况!B11="自然人","——",IF(D33="按租金收入计税",ROUND(C6*F33/(1+'数据-取费表'!C42),0),IF(D33="按房产原值计税",ROUND(C29*F33*0.7,0),INDIRECT("'数据-取费表'!Aj"&amp;$G$1))))</f>
        <v>#VALUE!</v>
      </c>
      <c r="D33" s="1825" t="s">
        <v>1098</v>
      </c>
      <c r="E33" s="1769" t="s">
        <v>1081</v>
      </c>
      <c r="F33" s="1808">
        <f>IF(D33="按票据","——",IF(D33="按租金收入计税",'数据-取费表'!B51,'数据-取费表'!B50))</f>
        <v>0.012</v>
      </c>
      <c r="G33" s="1737"/>
      <c r="H33" s="1826"/>
      <c r="I33" s="1820"/>
      <c r="J33" s="1922"/>
      <c r="K33" s="1925"/>
      <c r="L33" s="1826"/>
      <c r="M33" s="1826"/>
    </row>
    <row r="34" ht="18" customHeight="1" spans="1:13">
      <c r="A34" s="1765" t="s">
        <v>828</v>
      </c>
      <c r="B34" s="1768" t="s">
        <v>1101</v>
      </c>
      <c r="C34" s="1827">
        <f ca="1">IF(项目基本情况!B11="自然人","——",ROUND(F34*F35,))</f>
        <v>0</v>
      </c>
      <c r="D34" s="1828" t="s">
        <v>1102</v>
      </c>
      <c r="E34" s="1769" t="s">
        <v>1103</v>
      </c>
      <c r="F34" s="1808">
        <f>'数据-取费表'!B52</f>
        <v>0</v>
      </c>
      <c r="G34" s="1737"/>
      <c r="H34" s="1820"/>
      <c r="I34" s="1820"/>
      <c r="J34" s="1922"/>
      <c r="K34" s="1926"/>
      <c r="L34" s="1927"/>
      <c r="M34" s="1927"/>
    </row>
    <row r="35" ht="18" customHeight="1" spans="1:13">
      <c r="A35" s="1829"/>
      <c r="B35" s="1829"/>
      <c r="C35" s="1830"/>
      <c r="D35" s="703"/>
      <c r="E35" s="1769" t="s">
        <v>1107</v>
      </c>
      <c r="F35" s="1770">
        <f ca="1">INDIRECT("'数据-取费表'!r"&amp;$G$1)</f>
        <v>0</v>
      </c>
      <c r="G35" s="1737"/>
      <c r="H35" s="1820"/>
      <c r="I35" s="1820"/>
      <c r="J35" s="1922"/>
      <c r="K35" s="1925"/>
      <c r="L35" s="1826"/>
      <c r="M35" s="1826"/>
    </row>
    <row r="36" ht="18" customHeight="1" spans="1:13">
      <c r="A36" s="1831" t="s">
        <v>802</v>
      </c>
      <c r="B36" s="1769" t="s">
        <v>1109</v>
      </c>
      <c r="C36" s="375" t="e">
        <f ca="1">ROUND(C29*F36,0)</f>
        <v>#VALUE!</v>
      </c>
      <c r="D36" s="1822" t="s">
        <v>1142</v>
      </c>
      <c r="E36" s="1769" t="s">
        <v>1081</v>
      </c>
      <c r="F36" s="1770">
        <f ca="1">INDIRECT("'数据-取费表'!Ak"&amp;$G$1)</f>
        <v>0</v>
      </c>
      <c r="G36" s="1737"/>
      <c r="H36" s="1826"/>
      <c r="I36" s="1820"/>
      <c r="J36" s="1922"/>
      <c r="K36" s="1928"/>
      <c r="L36" s="1826"/>
      <c r="M36" s="1826"/>
    </row>
    <row r="37" ht="18" customHeight="1" spans="1:13">
      <c r="A37" s="1799" t="s">
        <v>847</v>
      </c>
      <c r="B37" s="1769" t="s">
        <v>1113</v>
      </c>
      <c r="C37" s="375" t="e">
        <f ca="1">ROUND(C13*F37,0)</f>
        <v>#VALUE!</v>
      </c>
      <c r="D37" s="1822" t="s">
        <v>1114</v>
      </c>
      <c r="E37" s="1769" t="s">
        <v>1081</v>
      </c>
      <c r="F37" s="1770">
        <f ca="1">INDIRECT("'数据-取费表'!Al"&amp;$G$1)</f>
        <v>0</v>
      </c>
      <c r="G37" s="1737"/>
      <c r="H37" s="1826"/>
      <c r="I37" s="1820"/>
      <c r="J37" s="1922"/>
      <c r="K37" s="1928"/>
      <c r="L37" s="1826"/>
      <c r="M37" s="1826"/>
    </row>
    <row r="38" ht="18" customHeight="1" spans="1:13">
      <c r="A38" s="1807" t="s">
        <v>850</v>
      </c>
      <c r="B38" s="1792" t="s">
        <v>1099</v>
      </c>
      <c r="C38" s="1814">
        <f ca="1">ROUND(C5*F38,1)</f>
        <v>0</v>
      </c>
      <c r="D38" s="1815" t="s">
        <v>1117</v>
      </c>
      <c r="E38" s="1792" t="s">
        <v>1081</v>
      </c>
      <c r="F38" s="1793">
        <f ca="1">INDIRECT("'数据-取费表'!Am"&amp;$G$1)</f>
        <v>0</v>
      </c>
      <c r="G38" s="1737"/>
      <c r="H38" s="1826"/>
      <c r="I38" s="1820"/>
      <c r="J38" s="1922"/>
      <c r="K38" s="1929"/>
      <c r="L38" s="1826"/>
      <c r="M38" s="1826"/>
    </row>
    <row r="39" ht="24.6" customHeight="1" spans="1:13">
      <c r="A39" s="1794" t="s">
        <v>1120</v>
      </c>
      <c r="B39" s="1832" t="s">
        <v>1121</v>
      </c>
      <c r="C39" s="1796" t="e">
        <f ca="1">C5-C30</f>
        <v>#VALUE!</v>
      </c>
      <c r="D39" s="1833" t="s">
        <v>1122</v>
      </c>
      <c r="E39" s="1834"/>
      <c r="F39" s="1835"/>
      <c r="G39" s="1737"/>
      <c r="H39" s="1826"/>
      <c r="I39" s="1820"/>
      <c r="J39" s="1922"/>
      <c r="K39" s="1929"/>
      <c r="L39" s="1826"/>
      <c r="M39" s="1826"/>
    </row>
    <row r="40" ht="18" customHeight="1" spans="1:13">
      <c r="A40" s="1759" t="s">
        <v>1126</v>
      </c>
      <c r="B40" s="1760" t="s">
        <v>1143</v>
      </c>
      <c r="C40" s="1836" t="e">
        <f ca="1">ROUND(C39*(1-((1+F42)/(1+F40))^F41)/(F40-F42),0)</f>
        <v>#VALUE!</v>
      </c>
      <c r="D40" s="1828" t="s">
        <v>1128</v>
      </c>
      <c r="E40" s="1769" t="s">
        <v>1129</v>
      </c>
      <c r="F40" s="1770">
        <f ca="1">INDIRECT("'数据-取费表'!I"&amp;$G$1)</f>
        <v>0</v>
      </c>
      <c r="G40" s="1737"/>
      <c r="H40" s="1837"/>
      <c r="I40" s="1820"/>
      <c r="J40" s="1922"/>
      <c r="K40" s="1929"/>
      <c r="L40" s="1837"/>
      <c r="M40" s="1837"/>
    </row>
    <row r="41" ht="18" customHeight="1" spans="1:13">
      <c r="A41" s="1776"/>
      <c r="B41" s="1838"/>
      <c r="C41" s="1777"/>
      <c r="D41" s="1839" t="s">
        <v>1132</v>
      </c>
      <c r="E41" s="1769" t="s">
        <v>1133</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1136</v>
      </c>
      <c r="F42" s="1770">
        <f ca="1">INDIRECT("'数据-取费表'!v"&amp;$G$1)</f>
        <v>0</v>
      </c>
      <c r="G42" s="1737"/>
      <c r="H42" s="1840"/>
      <c r="I42" s="1820"/>
      <c r="J42" s="1922"/>
      <c r="K42" s="1928"/>
      <c r="L42" s="1840"/>
      <c r="M42" s="1840"/>
    </row>
    <row r="43" ht="18" customHeight="1" spans="1:13">
      <c r="A43" s="1817" t="s">
        <v>1138</v>
      </c>
      <c r="B43" s="1842" t="s">
        <v>1144</v>
      </c>
      <c r="C43" s="1843" t="e">
        <f ca="1">ROUND(C40/F43,0)</f>
        <v>#VALUE!</v>
      </c>
      <c r="D43" s="1844" t="s">
        <v>1145</v>
      </c>
      <c r="E43" s="1845" t="s">
        <v>1146</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1241</v>
      </c>
      <c r="E45" s="1847"/>
      <c r="F45" s="1847"/>
      <c r="O45" s="1930" t="s">
        <v>1147</v>
      </c>
      <c r="P45" s="1837"/>
      <c r="Q45" s="1837"/>
      <c r="R45" s="1837"/>
    </row>
    <row r="46" s="1737" customFormat="1" ht="13.95" spans="1:18">
      <c r="A46" s="1851" t="s">
        <v>1148</v>
      </c>
      <c r="C46" s="1852" t="e">
        <f ca="1">ROUND(C45/10000,0)</f>
        <v>#VALUE!</v>
      </c>
      <c r="D46" s="1853" t="str">
        <f>C2</f>
        <v>万元</v>
      </c>
      <c r="I46" s="1931" t="s">
        <v>1149</v>
      </c>
      <c r="J46" s="1932"/>
      <c r="K46" s="1933"/>
      <c r="L46" s="1934" t="e">
        <f ca="1">IF(M47="住宅",0,IF(L48&gt;J51,L60,J60))</f>
        <v>#VALUE!</v>
      </c>
      <c r="O46" s="1935" t="s">
        <v>1150</v>
      </c>
      <c r="P46" s="1936" t="s">
        <v>1151</v>
      </c>
      <c r="Q46" s="1978" t="s">
        <v>1152</v>
      </c>
      <c r="R46" s="1978" t="s">
        <v>1153</v>
      </c>
    </row>
    <row r="47" s="1737" customFormat="1" ht="13.95" spans="1:18">
      <c r="A47" s="1854" t="s">
        <v>1053</v>
      </c>
      <c r="B47" s="1855" t="s">
        <v>1054</v>
      </c>
      <c r="C47" s="1855" t="s">
        <v>1055</v>
      </c>
      <c r="D47" s="1855" t="s">
        <v>1056</v>
      </c>
      <c r="E47" s="1856" t="s">
        <v>1057</v>
      </c>
      <c r="F47" s="368"/>
      <c r="G47" s="1857"/>
      <c r="I47" s="1937" t="s">
        <v>1154</v>
      </c>
      <c r="J47" s="1938"/>
      <c r="K47" s="1939" t="s">
        <v>1155</v>
      </c>
      <c r="L47" s="1940">
        <f ca="1">INDIRECT("'数据-取费表'!d"&amp;$G$1)</f>
        <v>0</v>
      </c>
      <c r="M47" s="1941" t="str">
        <f>IF(ISNUMBER(FIND("住宅",C1)),"住宅","非住宅")</f>
        <v>非住宅</v>
      </c>
      <c r="O47" s="1942" t="s">
        <v>903</v>
      </c>
      <c r="P47" s="1943" t="s">
        <v>1156</v>
      </c>
      <c r="Q47" s="1979" t="e">
        <f ca="1">C40+J29</f>
        <v>#VALUE!</v>
      </c>
      <c r="R47" s="1979" t="s">
        <v>1157</v>
      </c>
    </row>
    <row r="48" s="1737" customFormat="1" ht="41.55" spans="1:18">
      <c r="A48" s="1858" t="s">
        <v>1158</v>
      </c>
      <c r="B48" s="1760" t="s">
        <v>1058</v>
      </c>
      <c r="C48" s="376">
        <f ca="1">C49+C53+C55</f>
        <v>0</v>
      </c>
      <c r="D48" s="1859"/>
      <c r="E48" s="1860"/>
      <c r="F48" s="1861"/>
      <c r="G48" s="1857"/>
      <c r="H48" s="1862"/>
      <c r="I48" s="1944" t="s">
        <v>1159</v>
      </c>
      <c r="J48" s="1945"/>
      <c r="K48" s="1946" t="s">
        <v>1160</v>
      </c>
      <c r="L48" s="1947">
        <f ca="1">INDIRECT("'数据-取费表'!f"&amp;$G$1)</f>
        <v>0</v>
      </c>
      <c r="O48" s="1942" t="s">
        <v>906</v>
      </c>
      <c r="P48" s="1943" t="s">
        <v>1161</v>
      </c>
      <c r="Q48" s="1979" t="e">
        <f ca="1">J60</f>
        <v>#VALUE!</v>
      </c>
      <c r="R48" s="1979" t="s">
        <v>1162</v>
      </c>
    </row>
    <row r="49" s="1737" customFormat="1" ht="13.95" spans="1:18">
      <c r="A49" s="1863" t="s">
        <v>1163</v>
      </c>
      <c r="B49" s="1864" t="s">
        <v>1164</v>
      </c>
      <c r="C49" s="1865">
        <f ca="1">ROUND(F49*F51*F50*(1-F52),0)</f>
        <v>0</v>
      </c>
      <c r="D49" s="1866" t="s">
        <v>1242</v>
      </c>
      <c r="E49" s="1867" t="s">
        <v>1165</v>
      </c>
      <c r="F49" s="1868"/>
      <c r="G49" s="1869"/>
      <c r="H49" s="1862"/>
      <c r="I49" s="1944" t="s">
        <v>1166</v>
      </c>
      <c r="J49" s="1948"/>
      <c r="K49" s="1946" t="s">
        <v>1167</v>
      </c>
      <c r="L49" s="1949"/>
      <c r="O49" s="1950" t="s">
        <v>1168</v>
      </c>
      <c r="P49" s="1943" t="s">
        <v>1169</v>
      </c>
      <c r="Q49" s="1979" t="e">
        <f ca="1">C29</f>
        <v>#VALUE!</v>
      </c>
      <c r="R49" s="1979" t="s">
        <v>1157</v>
      </c>
    </row>
    <row r="50" s="1737" customFormat="1" ht="13.95" spans="1:18">
      <c r="A50" s="1870"/>
      <c r="B50" s="338"/>
      <c r="C50" s="1871"/>
      <c r="D50" s="1872"/>
      <c r="E50" s="1873" t="s">
        <v>1064</v>
      </c>
      <c r="F50" s="1874">
        <f ca="1">F7</f>
        <v>0</v>
      </c>
      <c r="H50" s="1862"/>
      <c r="I50" s="1944" t="s">
        <v>1170</v>
      </c>
      <c r="J50" s="1951">
        <f>SUMPRODUCT((I63:I65=J47)*(J62:L62=J48)*(J63:L65))</f>
        <v>0</v>
      </c>
      <c r="K50" s="1946" t="s">
        <v>1171</v>
      </c>
      <c r="L50" s="1949"/>
      <c r="M50" s="1952"/>
      <c r="O50" s="1950" t="s">
        <v>1172</v>
      </c>
      <c r="P50" s="1943" t="s">
        <v>1173</v>
      </c>
      <c r="Q50" s="1979" t="e">
        <f ca="1">J58</f>
        <v>#DIV/0!</v>
      </c>
      <c r="R50" s="1979"/>
    </row>
    <row r="51" s="1737" customFormat="1" ht="13.95" spans="1:18">
      <c r="A51" s="1875"/>
      <c r="B51" s="338"/>
      <c r="C51" s="1871"/>
      <c r="D51" s="1872"/>
      <c r="E51" s="1876" t="s">
        <v>1065</v>
      </c>
      <c r="F51" s="1770">
        <f ca="1">F8</f>
        <v>0</v>
      </c>
      <c r="I51" s="903" t="s">
        <v>1174</v>
      </c>
      <c r="J51" s="1947">
        <f>IF(J49="",J50,J49+J50-YEAR('数据-取费表'!B2))</f>
        <v>0</v>
      </c>
      <c r="K51" s="1953" t="s">
        <v>1175</v>
      </c>
      <c r="L51" s="1947" t="e">
        <f ca="1">ROUND(-PV(INDIRECT("'数据-取费表'!h"&amp;$G$1),J51,(C39-C13*C76),0),0)</f>
        <v>#VALUE!</v>
      </c>
      <c r="M51" s="1954"/>
      <c r="O51" s="1950" t="s">
        <v>1176</v>
      </c>
      <c r="P51" s="1943" t="s">
        <v>1177</v>
      </c>
      <c r="Q51" s="1979">
        <f>J52</f>
        <v>0</v>
      </c>
      <c r="R51" s="1979"/>
    </row>
    <row r="52" s="1737" customFormat="1" ht="13.95" spans="1:18">
      <c r="A52" s="1875"/>
      <c r="B52" s="338"/>
      <c r="C52" s="1871"/>
      <c r="D52" s="1872"/>
      <c r="E52" s="1876" t="s">
        <v>1066</v>
      </c>
      <c r="F52" s="1877"/>
      <c r="I52" s="1955" t="s">
        <v>1178</v>
      </c>
      <c r="J52" s="1956"/>
      <c r="K52" s="1955" t="s">
        <v>1179</v>
      </c>
      <c r="L52" s="1956"/>
      <c r="O52" s="1950" t="s">
        <v>1180</v>
      </c>
      <c r="P52" s="1943" t="s">
        <v>1181</v>
      </c>
      <c r="Q52" s="1979">
        <f ca="1">J53</f>
        <v>0</v>
      </c>
      <c r="R52" s="1979" t="s">
        <v>1182</v>
      </c>
    </row>
    <row r="53" s="1737" customFormat="1" ht="30.75" customHeight="1" spans="1:18">
      <c r="A53" s="1878" t="s">
        <v>1183</v>
      </c>
      <c r="B53" s="1811" t="s">
        <v>1067</v>
      </c>
      <c r="C53" s="374">
        <f ca="1">ROUND(IF(F53="押一",C49/12*F11,IF(F53="押二",C49/12*2*F11,IF(F53="押三",C49/12*3*F11,C54*F11))),0)</f>
        <v>0</v>
      </c>
      <c r="D53" s="1780" t="s">
        <v>1243</v>
      </c>
      <c r="E53" s="1781" t="s">
        <v>1069</v>
      </c>
      <c r="F53" s="1782"/>
      <c r="I53" s="1957" t="s">
        <v>1184</v>
      </c>
      <c r="J53" s="1958">
        <f ca="1">IF(M47="住宅",IF(D1="——",MAX(J51,L48),MAX(J51,L48-'数据-取费表'!B24)),IF(D1="——",MIN(J51,L48),MIN(J51,L48-'数据-取费表'!B24)))</f>
        <v>0</v>
      </c>
      <c r="K53" s="1959" t="s">
        <v>1185</v>
      </c>
      <c r="L53" s="1960"/>
      <c r="O53" s="1942" t="s">
        <v>1009</v>
      </c>
      <c r="P53" s="1943" t="s">
        <v>1186</v>
      </c>
      <c r="Q53" s="1979" t="e">
        <f ca="1">Q47+Q48</f>
        <v>#VALUE!</v>
      </c>
      <c r="R53" s="1979" t="s">
        <v>1187</v>
      </c>
    </row>
    <row r="54" s="1737" customFormat="1" ht="13.95" spans="1:18">
      <c r="A54" s="1863"/>
      <c r="B54" s="1879" t="s">
        <v>1240</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1188</v>
      </c>
      <c r="P54" s="1963"/>
      <c r="Q54" s="1963"/>
      <c r="R54" s="1963"/>
    </row>
    <row r="55" s="1737" customFormat="1" ht="13.95" spans="1:18">
      <c r="A55" s="1788" t="s">
        <v>847</v>
      </c>
      <c r="B55" s="1789" t="s">
        <v>1073</v>
      </c>
      <c r="C55" s="1790"/>
      <c r="D55" s="1780"/>
      <c r="E55" s="1880"/>
      <c r="F55" s="1881"/>
      <c r="I55" s="1964" t="s">
        <v>1189</v>
      </c>
      <c r="J55" s="1965" t="e">
        <f ca="1">ROUND(IF(J47="钢混",J57/J50,1-(1-2%)*(J50-J57)/J50),3)</f>
        <v>#DIV/0!</v>
      </c>
      <c r="K55" s="1966" t="s">
        <v>1190</v>
      </c>
      <c r="L55" s="1967"/>
      <c r="O55" s="1935" t="s">
        <v>1150</v>
      </c>
      <c r="P55" s="1936" t="s">
        <v>1151</v>
      </c>
      <c r="Q55" s="1978" t="s">
        <v>1152</v>
      </c>
      <c r="R55" s="1978" t="s">
        <v>1153</v>
      </c>
    </row>
    <row r="56" s="1737" customFormat="1" ht="36" customHeight="1" spans="1:18">
      <c r="A56" s="1882">
        <v>2</v>
      </c>
      <c r="B56" s="1883" t="s">
        <v>1074</v>
      </c>
      <c r="C56" s="276" t="e">
        <f ca="1">C13</f>
        <v>#VALUE!</v>
      </c>
      <c r="D56" s="1884"/>
      <c r="E56" s="1885"/>
      <c r="F56" s="1881"/>
      <c r="I56" s="1968" t="s">
        <v>1192</v>
      </c>
      <c r="J56" s="1969"/>
      <c r="K56" s="1944" t="s">
        <v>1193</v>
      </c>
      <c r="L56" s="1947">
        <f ca="1">IF(L48&lt;J51,"——",L48-J51)</f>
        <v>0</v>
      </c>
      <c r="O56" s="1942" t="s">
        <v>903</v>
      </c>
      <c r="P56" s="1943" t="s">
        <v>1156</v>
      </c>
      <c r="Q56" s="1979" t="e">
        <f ca="1">C40+J29</f>
        <v>#VALUE!</v>
      </c>
      <c r="R56" s="1979" t="s">
        <v>1157</v>
      </c>
    </row>
    <row r="57" s="1737" customFormat="1" ht="24.75" spans="1:18">
      <c r="A57" s="1886"/>
      <c r="B57" s="1887" t="s">
        <v>1137</v>
      </c>
      <c r="C57" s="283" t="e">
        <f ca="1">C29</f>
        <v>#VALUE!</v>
      </c>
      <c r="D57" s="1888"/>
      <c r="E57" s="1889"/>
      <c r="F57" s="1890"/>
      <c r="I57" s="1970" t="s">
        <v>1194</v>
      </c>
      <c r="J57" s="1971">
        <f ca="1">IF(OR(M47="住宅",J51&lt;L48,J56="是"),"——",J51-L48)</f>
        <v>0</v>
      </c>
      <c r="K57" s="1944" t="s">
        <v>1244</v>
      </c>
      <c r="L57" s="1947" t="e">
        <f ca="1">IF(L48&lt;J51,"——",IF(L55="比较法",L49,IF(L55="基准地价",L50,L51)))</f>
        <v>#VALUE!</v>
      </c>
      <c r="O57" s="1942" t="s">
        <v>906</v>
      </c>
      <c r="P57" s="1943" t="s">
        <v>1196</v>
      </c>
      <c r="Q57" s="1979" t="e">
        <f ca="1">L60</f>
        <v>#VALUE!</v>
      </c>
      <c r="R57" s="1979" t="s">
        <v>1197</v>
      </c>
    </row>
    <row r="58" s="1737" customFormat="1" ht="24.75" spans="1:18">
      <c r="A58" s="1891" t="s">
        <v>1082</v>
      </c>
      <c r="B58" s="1883" t="s">
        <v>1083</v>
      </c>
      <c r="C58" s="374" t="e">
        <f ca="1">ROUND(C59+C64+C65+C66,0)</f>
        <v>#VALUE!</v>
      </c>
      <c r="D58" s="1892" t="s">
        <v>1084</v>
      </c>
      <c r="E58" s="1893"/>
      <c r="F58" s="1861"/>
      <c r="I58" s="1970" t="s">
        <v>1198</v>
      </c>
      <c r="J58" s="1971" t="e">
        <f ca="1">IF(J55&lt;0.4,0.4,J55)</f>
        <v>#DIV/0!</v>
      </c>
      <c r="K58" s="1953" t="s">
        <v>1245</v>
      </c>
      <c r="L58" s="1947" t="e">
        <f ca="1">ROUND(POWER(1+L52,L47-L48)*(POWER(1+L52,L48)-1)/(POWER(1+L52,L47)-1),4)</f>
        <v>#DIV/0!</v>
      </c>
      <c r="O58" s="1950" t="s">
        <v>1168</v>
      </c>
      <c r="P58" s="1943" t="s">
        <v>1200</v>
      </c>
      <c r="Q58" s="1979">
        <f>IF(L55="比较法",L49,IF(L55="基准地价",L50,0))</f>
        <v>0</v>
      </c>
      <c r="R58" s="1979" t="s">
        <v>1157</v>
      </c>
    </row>
    <row r="59" s="1737" customFormat="1" ht="24.75" spans="1:18">
      <c r="A59" s="1799" t="s">
        <v>798</v>
      </c>
      <c r="B59" s="1887" t="s">
        <v>1089</v>
      </c>
      <c r="C59" s="1821" t="e">
        <f ca="1">ROUND(IF(AND(项目基本情况!B11="自然人",项目基本情况!B10="北京市"),C49*F59/(1+'数据-取费表'!C42),C60+C61+C62),0)</f>
        <v>#VALUE!</v>
      </c>
      <c r="D59" s="1894" t="s">
        <v>1090</v>
      </c>
      <c r="E59" s="1895" t="s">
        <v>1091</v>
      </c>
      <c r="F59" s="1823" t="str">
        <f ca="1">IF(项目基本情况!B11="企业","——",IF('数据-取费表'!B10="住宅",IF(F49*F50*F51/12/(1+'数据-取费表'!F30)&gt;100000,4%,2.5%),IF(F49*F50*F51/12/(1+'数据-取费表'!F30)&gt;100000,12%,7%)))</f>
        <v>——</v>
      </c>
      <c r="I59" s="1970" t="s">
        <v>1201</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1172</v>
      </c>
      <c r="P59" s="1943" t="s">
        <v>1202</v>
      </c>
      <c r="Q59" s="1979">
        <f>L52</f>
        <v>0</v>
      </c>
      <c r="R59" s="1979"/>
    </row>
    <row r="60" s="1737" customFormat="1" ht="17.55" spans="1:18">
      <c r="A60" s="1799" t="s">
        <v>821</v>
      </c>
      <c r="B60" s="1887" t="s">
        <v>1093</v>
      </c>
      <c r="C60" s="375">
        <f ca="1">IF(项目基本情况!B11="自然人","——",ROUND(C48*F60/(1+'数据-取费表'!C42),0))</f>
        <v>0</v>
      </c>
      <c r="D60" s="1895" t="s">
        <v>1094</v>
      </c>
      <c r="E60" s="1887" t="s">
        <v>1081</v>
      </c>
      <c r="F60" s="1808">
        <f t="shared" ref="F60:F66" si="0">F32</f>
        <v>0</v>
      </c>
      <c r="I60" s="1972" t="s">
        <v>1203</v>
      </c>
      <c r="J60" s="1973" t="e">
        <f ca="1">IF(OR(M47="住宅",J51&lt;L48,J56="是"),"0",ROUND(J59/(1+J52)^J53,0))</f>
        <v>#VALUE!</v>
      </c>
      <c r="K60" s="1974" t="s">
        <v>1204</v>
      </c>
      <c r="L60" s="1973" t="e">
        <f ca="1">IF(OR(M47="住宅",L48&lt;J51),0,ROUND(L57*(L58/L59-1),0))</f>
        <v>#VALUE!</v>
      </c>
      <c r="O60" s="1950" t="s">
        <v>1176</v>
      </c>
      <c r="P60" s="1943" t="s">
        <v>1205</v>
      </c>
      <c r="Q60" s="1979" t="e">
        <f ca="1">L58</f>
        <v>#DIV/0!</v>
      </c>
      <c r="R60" s="1979" t="s">
        <v>1206</v>
      </c>
    </row>
    <row r="61" s="1737" customFormat="1" ht="13.95" spans="1:18">
      <c r="A61" s="1799" t="s">
        <v>825</v>
      </c>
      <c r="B61" s="1887" t="s">
        <v>1097</v>
      </c>
      <c r="C61" s="375" t="e">
        <f ca="1">IF(项目基本情况!B11="自然人","——",IF(D61="按租金收入计税",ROUND(C49*F61/(1+'数据-取费表'!C42),0),IF(D61="按房产原值计税",ROUND(C57*F61*0.7,0),INDIRECT("'数据-取费表'!Aj"&amp;$G$1))))</f>
        <v>#VALUE!</v>
      </c>
      <c r="D61" s="1825" t="s">
        <v>1098</v>
      </c>
      <c r="E61" s="1887" t="s">
        <v>1081</v>
      </c>
      <c r="F61" s="1808">
        <f t="shared" si="0"/>
        <v>0.012</v>
      </c>
      <c r="I61" s="1837"/>
      <c r="J61" s="1837"/>
      <c r="K61" s="1837"/>
      <c r="L61" s="1837"/>
      <c r="O61" s="1950" t="s">
        <v>1180</v>
      </c>
      <c r="P61" s="1943" t="str">
        <f>K59</f>
        <v>建设期及建筑物耐用年限下的土地年期修正系数Kn</v>
      </c>
      <c r="Q61" s="1979" t="e">
        <f ca="1">L59</f>
        <v>#DIV/0!</v>
      </c>
      <c r="R61" s="1979" t="s">
        <v>1207</v>
      </c>
    </row>
    <row r="62" s="1737" customFormat="1" ht="13.95" spans="1:18">
      <c r="A62" s="1799" t="s">
        <v>828</v>
      </c>
      <c r="B62" s="1896" t="s">
        <v>1101</v>
      </c>
      <c r="C62" s="1827">
        <f ca="1">IF(项目基本情况!B11="自然人","——",ROUND(F62*F63,0))</f>
        <v>0</v>
      </c>
      <c r="D62" s="1897" t="s">
        <v>1102</v>
      </c>
      <c r="E62" s="1887" t="s">
        <v>1103</v>
      </c>
      <c r="F62" s="1808">
        <f t="shared" si="0"/>
        <v>0</v>
      </c>
      <c r="I62" s="1975" t="s">
        <v>1208</v>
      </c>
      <c r="J62" s="1976" t="s">
        <v>1209</v>
      </c>
      <c r="K62" s="1976" t="s">
        <v>1210</v>
      </c>
      <c r="L62" s="1976" t="s">
        <v>1211</v>
      </c>
      <c r="M62" s="1977" t="s">
        <v>1212</v>
      </c>
      <c r="O62" s="1942" t="s">
        <v>1009</v>
      </c>
      <c r="P62" s="1943" t="s">
        <v>1186</v>
      </c>
      <c r="Q62" s="1979" t="e">
        <f ca="1">Q56+Q57</f>
        <v>#VALUE!</v>
      </c>
      <c r="R62" s="1979" t="s">
        <v>1187</v>
      </c>
    </row>
    <row r="63" s="1737" customFormat="1" ht="13.95" spans="1:18">
      <c r="A63" s="1812"/>
      <c r="B63" s="1898"/>
      <c r="C63" s="1830"/>
      <c r="D63" s="1899"/>
      <c r="E63" s="1887" t="s">
        <v>1107</v>
      </c>
      <c r="F63" s="1770">
        <f ca="1" t="shared" si="0"/>
        <v>0</v>
      </c>
      <c r="I63" s="1975" t="s">
        <v>1213</v>
      </c>
      <c r="J63" s="1976">
        <v>70</v>
      </c>
      <c r="K63" s="1976">
        <v>50</v>
      </c>
      <c r="L63" s="1976">
        <v>80</v>
      </c>
      <c r="M63" s="1977">
        <v>0.02</v>
      </c>
      <c r="O63" s="1930" t="s">
        <v>1214</v>
      </c>
      <c r="P63" s="1963"/>
      <c r="Q63" s="1963"/>
      <c r="R63" s="1963"/>
    </row>
    <row r="64" s="1737" customFormat="1" ht="13.95" spans="1:18">
      <c r="A64" s="1799" t="s">
        <v>802</v>
      </c>
      <c r="B64" s="1887" t="s">
        <v>1109</v>
      </c>
      <c r="C64" s="375" t="e">
        <f ca="1">ROUND(C57*F64,0)</f>
        <v>#VALUE!</v>
      </c>
      <c r="D64" s="1895" t="s">
        <v>1142</v>
      </c>
      <c r="E64" s="1887" t="s">
        <v>1081</v>
      </c>
      <c r="F64" s="1770">
        <f ca="1" t="shared" si="0"/>
        <v>0</v>
      </c>
      <c r="I64" s="1975" t="s">
        <v>1215</v>
      </c>
      <c r="J64" s="1976">
        <v>50</v>
      </c>
      <c r="K64" s="1976">
        <v>35</v>
      </c>
      <c r="L64" s="1976">
        <v>60</v>
      </c>
      <c r="M64" s="1977">
        <v>0</v>
      </c>
      <c r="O64" s="1935" t="s">
        <v>1150</v>
      </c>
      <c r="P64" s="1936" t="s">
        <v>1151</v>
      </c>
      <c r="Q64" s="1978" t="s">
        <v>1152</v>
      </c>
      <c r="R64" s="1978" t="s">
        <v>1153</v>
      </c>
    </row>
    <row r="65" s="1737" customFormat="1" ht="13.95" spans="1:18">
      <c r="A65" s="1799" t="s">
        <v>847</v>
      </c>
      <c r="B65" s="1887" t="s">
        <v>1113</v>
      </c>
      <c r="C65" s="375" t="e">
        <f ca="1">ROUND(C56*F65,0)</f>
        <v>#VALUE!</v>
      </c>
      <c r="D65" s="1895" t="s">
        <v>1114</v>
      </c>
      <c r="E65" s="1887" t="s">
        <v>1081</v>
      </c>
      <c r="F65" s="1770">
        <f ca="1" t="shared" si="0"/>
        <v>0</v>
      </c>
      <c r="I65" s="1975" t="s">
        <v>1216</v>
      </c>
      <c r="J65" s="1976">
        <v>40</v>
      </c>
      <c r="K65" s="1976">
        <v>30</v>
      </c>
      <c r="L65" s="1976">
        <v>50</v>
      </c>
      <c r="M65" s="1977">
        <v>0.02</v>
      </c>
      <c r="O65" s="1942" t="s">
        <v>903</v>
      </c>
      <c r="P65" s="1943" t="s">
        <v>1156</v>
      </c>
      <c r="Q65" s="1979" t="e">
        <f ca="1">C40+J29</f>
        <v>#VALUE!</v>
      </c>
      <c r="R65" s="1979" t="s">
        <v>1157</v>
      </c>
    </row>
    <row r="66" s="1737" customFormat="1" ht="17.55" spans="1:18">
      <c r="A66" s="1799" t="s">
        <v>850</v>
      </c>
      <c r="B66" s="1887" t="s">
        <v>1099</v>
      </c>
      <c r="C66" s="375">
        <f ca="1">ROUND(C48*F66,0)</f>
        <v>0</v>
      </c>
      <c r="D66" s="1895" t="s">
        <v>1117</v>
      </c>
      <c r="E66" s="1887" t="s">
        <v>1081</v>
      </c>
      <c r="F66" s="1770">
        <f ca="1" t="shared" si="0"/>
        <v>0</v>
      </c>
      <c r="O66" s="1942" t="s">
        <v>906</v>
      </c>
      <c r="P66" s="1943" t="s">
        <v>1196</v>
      </c>
      <c r="Q66" s="1979" t="e">
        <f ca="1">L60</f>
        <v>#VALUE!</v>
      </c>
      <c r="R66" s="1979" t="s">
        <v>1197</v>
      </c>
    </row>
    <row r="67" s="1737" customFormat="1" ht="24.75" spans="1:18">
      <c r="A67" s="1882" t="s">
        <v>1120</v>
      </c>
      <c r="B67" s="1980" t="s">
        <v>1121</v>
      </c>
      <c r="C67" s="374" t="e">
        <f ca="1">C48-C58</f>
        <v>#VALUE!</v>
      </c>
      <c r="D67" s="1894" t="s">
        <v>1122</v>
      </c>
      <c r="E67" s="1981"/>
      <c r="F67" s="1982"/>
      <c r="O67" s="1950" t="s">
        <v>1168</v>
      </c>
      <c r="P67" s="1943" t="s">
        <v>1200</v>
      </c>
      <c r="Q67" s="1979" t="e">
        <f ca="1">L51</f>
        <v>#VALUE!</v>
      </c>
      <c r="R67" s="1979" t="s">
        <v>1217</v>
      </c>
    </row>
    <row r="68" s="1737" customFormat="1" ht="17.55" spans="1:18">
      <c r="A68" s="1983" t="s">
        <v>1126</v>
      </c>
      <c r="B68" s="1984" t="s">
        <v>1143</v>
      </c>
      <c r="C68" s="1836" t="e">
        <f ca="1">ROUND(C67*(1-((1+F70)/(1+F68))^F69)/(F68-F70),0)</f>
        <v>#VALUE!</v>
      </c>
      <c r="D68" s="1897" t="s">
        <v>1128</v>
      </c>
      <c r="E68" s="1887" t="s">
        <v>1129</v>
      </c>
      <c r="F68" s="1770">
        <f ca="1">F40</f>
        <v>0</v>
      </c>
      <c r="O68" s="1950" t="s">
        <v>1172</v>
      </c>
      <c r="P68" s="1999" t="s">
        <v>1218</v>
      </c>
      <c r="Q68" s="1979" t="e">
        <f ca="1">ROUND(Q69-Q70*Q71,0)</f>
        <v>#VALUE!</v>
      </c>
      <c r="R68" s="1979" t="s">
        <v>1219</v>
      </c>
    </row>
    <row r="69" s="1737" customFormat="1" ht="13.95" spans="1:18">
      <c r="A69" s="1985"/>
      <c r="B69" s="1986"/>
      <c r="C69" s="1777"/>
      <c r="D69" s="1987" t="s">
        <v>1132</v>
      </c>
      <c r="E69" s="1887" t="s">
        <v>1133</v>
      </c>
      <c r="F69" s="1770">
        <f ca="1">F41</f>
        <v>0</v>
      </c>
      <c r="O69" s="1950" t="s">
        <v>1220</v>
      </c>
      <c r="P69" s="1999" t="s">
        <v>1221</v>
      </c>
      <c r="Q69" s="1979" t="e">
        <f ca="1">C39</f>
        <v>#VALUE!</v>
      </c>
      <c r="R69" s="1979" t="s">
        <v>1157</v>
      </c>
    </row>
    <row r="70" s="1737" customFormat="1" ht="13.95" spans="1:18">
      <c r="A70" s="1988"/>
      <c r="B70" s="1989"/>
      <c r="C70" s="1796"/>
      <c r="D70" s="1899"/>
      <c r="E70" s="1887" t="s">
        <v>1136</v>
      </c>
      <c r="F70" s="1877">
        <f ca="1">F42</f>
        <v>0</v>
      </c>
      <c r="O70" s="1950" t="s">
        <v>1222</v>
      </c>
      <c r="P70" s="1999" t="s">
        <v>1223</v>
      </c>
      <c r="Q70" s="1979" t="e">
        <f ca="1">C13</f>
        <v>#VALUE!</v>
      </c>
      <c r="R70" s="1979" t="s">
        <v>1157</v>
      </c>
    </row>
    <row r="71" s="1737" customFormat="1" ht="13.95" spans="1:18">
      <c r="A71" s="1990" t="s">
        <v>1138</v>
      </c>
      <c r="B71" s="1991" t="s">
        <v>1144</v>
      </c>
      <c r="C71" s="1843" t="e">
        <f ca="1">ROUND(C68/F71,0)</f>
        <v>#VALUE!</v>
      </c>
      <c r="D71" s="1992" t="s">
        <v>1145</v>
      </c>
      <c r="E71" s="1993" t="s">
        <v>1146</v>
      </c>
      <c r="F71" s="1846">
        <f ca="1">F43</f>
        <v>0</v>
      </c>
      <c r="O71" s="1950" t="s">
        <v>1224</v>
      </c>
      <c r="P71" s="1999" t="s">
        <v>1225</v>
      </c>
      <c r="Q71" s="1979">
        <f ca="1">C76</f>
        <v>0</v>
      </c>
      <c r="R71" s="1979"/>
    </row>
    <row r="72" s="1737" customFormat="1" ht="13.95" spans="2:18">
      <c r="B72" s="407"/>
      <c r="C72" s="407"/>
      <c r="O72" s="1950" t="s">
        <v>1176</v>
      </c>
      <c r="P72" s="1943" t="s">
        <v>1202</v>
      </c>
      <c r="Q72" s="1979">
        <f>L52</f>
        <v>0</v>
      </c>
      <c r="R72" s="1979"/>
    </row>
    <row r="73" ht="17.55" spans="1:18">
      <c r="A73" s="1737"/>
      <c r="B73" s="407"/>
      <c r="C73" s="407"/>
      <c r="D73" s="1737"/>
      <c r="E73" s="1737"/>
      <c r="F73" s="1737"/>
      <c r="O73" s="1950" t="s">
        <v>1180</v>
      </c>
      <c r="P73" s="1943" t="s">
        <v>1205</v>
      </c>
      <c r="Q73" s="1979" t="e">
        <f ca="1">L58</f>
        <v>#DIV/0!</v>
      </c>
      <c r="R73" s="1979" t="s">
        <v>1206</v>
      </c>
    </row>
    <row r="74" ht="13.95" spans="1:18">
      <c r="A74" s="1737"/>
      <c r="B74" s="309" t="s">
        <v>1226</v>
      </c>
      <c r="C74" s="311"/>
      <c r="D74" s="1737"/>
      <c r="E74" s="1737"/>
      <c r="F74" s="1737"/>
      <c r="O74" s="1950" t="s">
        <v>1227</v>
      </c>
      <c r="P74" s="1943" t="str">
        <f>K59</f>
        <v>建设期及建筑物耐用年限下的土地年期修正系数Kn</v>
      </c>
      <c r="Q74" s="1979" t="e">
        <f ca="1">L59</f>
        <v>#DIV/0!</v>
      </c>
      <c r="R74" s="1979" t="s">
        <v>1207</v>
      </c>
    </row>
    <row r="75" ht="13.95" spans="1:18">
      <c r="A75" s="1737"/>
      <c r="B75" s="1994" t="s">
        <v>1228</v>
      </c>
      <c r="C75" s="310" t="e">
        <f ca="1">ROUND(C13*C76,0)</f>
        <v>#VALUE!</v>
      </c>
      <c r="D75" s="1737"/>
      <c r="E75" s="1737"/>
      <c r="F75" s="1737"/>
      <c r="K75" s="840"/>
      <c r="L75" s="1737"/>
      <c r="O75" s="1942" t="s">
        <v>1009</v>
      </c>
      <c r="P75" s="1943" t="s">
        <v>1186</v>
      </c>
      <c r="Q75" s="1979" t="e">
        <f ca="1">Q65+Q66</f>
        <v>#VALUE!</v>
      </c>
      <c r="R75" s="1979" t="s">
        <v>1187</v>
      </c>
    </row>
    <row r="76" spans="2:12">
      <c r="B76" s="1995" t="s">
        <v>1229</v>
      </c>
      <c r="C76" s="374">
        <f ca="1">INDIRECT("'数据-取费表'!j"&amp;$G$1)</f>
        <v>0</v>
      </c>
      <c r="I76" s="1737"/>
      <c r="J76" s="1737"/>
      <c r="K76" s="840"/>
      <c r="L76" s="1737"/>
    </row>
    <row r="77" spans="2:12">
      <c r="B77" s="1996" t="s">
        <v>1230</v>
      </c>
      <c r="C77" s="1997"/>
      <c r="I77" s="1737"/>
      <c r="J77" s="1737"/>
      <c r="K77" s="840"/>
      <c r="L77" s="1737"/>
    </row>
    <row r="78" spans="2:3">
      <c r="B78" s="307" t="s">
        <v>1231</v>
      </c>
      <c r="C78" s="1998"/>
    </row>
    <row r="79" spans="2:3">
      <c r="B79" s="1994" t="s">
        <v>1232</v>
      </c>
      <c r="C79" s="310" t="e">
        <f ca="1">1-C80</f>
        <v>#VALUE!</v>
      </c>
    </row>
    <row r="80" spans="2:3">
      <c r="B80" s="1994" t="s">
        <v>1233</v>
      </c>
      <c r="C80" s="310" t="e">
        <f ca="1">ROUND(C75/C39,3)</f>
        <v>#VALUE!</v>
      </c>
    </row>
    <row r="81" spans="2:3">
      <c r="B81" s="307" t="s">
        <v>1234</v>
      </c>
      <c r="C81" s="283"/>
    </row>
    <row r="82" spans="2:3">
      <c r="B82" s="309" t="s">
        <v>982</v>
      </c>
      <c r="C82" s="311" t="e">
        <f ca="1">1-C83</f>
        <v>#VALUE!</v>
      </c>
    </row>
    <row r="83" spans="2:3">
      <c r="B83" s="309" t="s">
        <v>983</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15" customHeight="1"/>
  <cols>
    <col min="1" max="1" width="9.5" style="1582" customWidth="1"/>
    <col min="2" max="2" width="8.87962962962963" style="1582"/>
    <col min="3" max="5" width="12.8796296296296" style="1582" customWidth="1"/>
    <col min="6" max="6" width="47.5" style="1582" customWidth="1"/>
    <col min="7" max="7" width="13" style="1583" customWidth="1"/>
    <col min="8" max="8" width="8.87962962962963" style="1584"/>
    <col min="9" max="9" width="8.87962962962963" style="1585"/>
    <col min="10" max="10" width="5.75" style="1586" customWidth="1"/>
    <col min="11" max="11" width="11.75" style="1586" customWidth="1"/>
    <col min="12" max="13" width="10.75" style="1586" customWidth="1"/>
    <col min="14" max="14" width="10" style="1586" customWidth="1"/>
    <col min="15" max="16" width="10.5" style="1586" customWidth="1"/>
    <col min="17" max="17" width="10" style="1586" customWidth="1"/>
    <col min="18" max="18" width="10.1296296296296" style="1586" customWidth="1"/>
    <col min="19" max="19" width="10" style="1586" customWidth="1"/>
    <col min="20" max="20" width="26.1296296296296" style="1586" customWidth="1"/>
    <col min="21" max="21" width="8.87962962962963" style="1586"/>
    <col min="22" max="22" width="8.87962962962963" style="1585"/>
    <col min="23" max="256" width="8.87962962962963" style="1582"/>
    <col min="257" max="257" width="9.5" style="1582" customWidth="1"/>
    <col min="258" max="258" width="8.87962962962963" style="1582"/>
    <col min="259" max="261" width="12.8796296296296" style="1582" customWidth="1"/>
    <col min="262" max="262" width="47.5" style="1582" customWidth="1"/>
    <col min="263" max="263" width="13" style="1582" customWidth="1"/>
    <col min="264" max="265" width="8.87962962962963" style="1582"/>
    <col min="266" max="266" width="5.75" style="1582" customWidth="1"/>
    <col min="267" max="267" width="11.75" style="1582" customWidth="1"/>
    <col min="268" max="269" width="10.75" style="1582" customWidth="1"/>
    <col min="270" max="270" width="10" style="1582" customWidth="1"/>
    <col min="271" max="272" width="10.5" style="1582" customWidth="1"/>
    <col min="273" max="273" width="10" style="1582" customWidth="1"/>
    <col min="274" max="274" width="10.1296296296296" style="1582" customWidth="1"/>
    <col min="275" max="275" width="10" style="1582" customWidth="1"/>
    <col min="276" max="276" width="26.1296296296296" style="1582" customWidth="1"/>
    <col min="277" max="512" width="8.87962962962963" style="1582"/>
    <col min="513" max="513" width="9.5" style="1582" customWidth="1"/>
    <col min="514" max="514" width="8.87962962962963" style="1582"/>
    <col min="515" max="517" width="12.8796296296296" style="1582" customWidth="1"/>
    <col min="518" max="518" width="47.5" style="1582" customWidth="1"/>
    <col min="519" max="519" width="13" style="1582" customWidth="1"/>
    <col min="520" max="521" width="8.87962962962963" style="1582"/>
    <col min="522" max="522" width="5.75" style="1582" customWidth="1"/>
    <col min="523" max="523" width="11.75" style="1582" customWidth="1"/>
    <col min="524" max="525" width="10.75" style="1582" customWidth="1"/>
    <col min="526" max="526" width="10" style="1582" customWidth="1"/>
    <col min="527" max="528" width="10.5" style="1582" customWidth="1"/>
    <col min="529" max="529" width="10" style="1582" customWidth="1"/>
    <col min="530" max="530" width="10.1296296296296" style="1582" customWidth="1"/>
    <col min="531" max="531" width="10" style="1582" customWidth="1"/>
    <col min="532" max="532" width="26.1296296296296" style="1582" customWidth="1"/>
    <col min="533" max="768" width="8.87962962962963" style="1582"/>
    <col min="769" max="769" width="9.5" style="1582" customWidth="1"/>
    <col min="770" max="770" width="8.87962962962963" style="1582"/>
    <col min="771" max="773" width="12.8796296296296" style="1582" customWidth="1"/>
    <col min="774" max="774" width="47.5" style="1582" customWidth="1"/>
    <col min="775" max="775" width="13" style="1582" customWidth="1"/>
    <col min="776" max="777" width="8.87962962962963" style="1582"/>
    <col min="778" max="778" width="5.75" style="1582" customWidth="1"/>
    <col min="779" max="779" width="11.75" style="1582" customWidth="1"/>
    <col min="780" max="781" width="10.75" style="1582" customWidth="1"/>
    <col min="782" max="782" width="10" style="1582" customWidth="1"/>
    <col min="783" max="784" width="10.5" style="1582" customWidth="1"/>
    <col min="785" max="785" width="10" style="1582" customWidth="1"/>
    <col min="786" max="786" width="10.1296296296296" style="1582" customWidth="1"/>
    <col min="787" max="787" width="10" style="1582" customWidth="1"/>
    <col min="788" max="788" width="26.1296296296296" style="1582" customWidth="1"/>
    <col min="789" max="1024" width="8.87962962962963" style="1582"/>
    <col min="1025" max="1025" width="9.5" style="1582" customWidth="1"/>
    <col min="1026" max="1026" width="8.87962962962963" style="1582"/>
    <col min="1027" max="1029" width="12.8796296296296" style="1582" customWidth="1"/>
    <col min="1030" max="1030" width="47.5" style="1582" customWidth="1"/>
    <col min="1031" max="1031" width="13" style="1582" customWidth="1"/>
    <col min="1032" max="1033" width="8.87962962962963" style="1582"/>
    <col min="1034" max="1034" width="5.75" style="1582" customWidth="1"/>
    <col min="1035" max="1035" width="11.75" style="1582" customWidth="1"/>
    <col min="1036" max="1037" width="10.75" style="1582" customWidth="1"/>
    <col min="1038" max="1038" width="10" style="1582" customWidth="1"/>
    <col min="1039" max="1040" width="10.5" style="1582" customWidth="1"/>
    <col min="1041" max="1041" width="10" style="1582" customWidth="1"/>
    <col min="1042" max="1042" width="10.1296296296296" style="1582" customWidth="1"/>
    <col min="1043" max="1043" width="10" style="1582" customWidth="1"/>
    <col min="1044" max="1044" width="26.1296296296296" style="1582" customWidth="1"/>
    <col min="1045" max="1280" width="8.87962962962963" style="1582"/>
    <col min="1281" max="1281" width="9.5" style="1582" customWidth="1"/>
    <col min="1282" max="1282" width="8.87962962962963" style="1582"/>
    <col min="1283" max="1285" width="12.8796296296296" style="1582" customWidth="1"/>
    <col min="1286" max="1286" width="47.5" style="1582" customWidth="1"/>
    <col min="1287" max="1287" width="13" style="1582" customWidth="1"/>
    <col min="1288" max="1289" width="8.87962962962963" style="1582"/>
    <col min="1290" max="1290" width="5.75" style="1582" customWidth="1"/>
    <col min="1291" max="1291" width="11.75" style="1582" customWidth="1"/>
    <col min="1292" max="1293" width="10.75" style="1582" customWidth="1"/>
    <col min="1294" max="1294" width="10" style="1582" customWidth="1"/>
    <col min="1295" max="1296" width="10.5" style="1582" customWidth="1"/>
    <col min="1297" max="1297" width="10" style="1582" customWidth="1"/>
    <col min="1298" max="1298" width="10.1296296296296" style="1582" customWidth="1"/>
    <col min="1299" max="1299" width="10" style="1582" customWidth="1"/>
    <col min="1300" max="1300" width="26.1296296296296" style="1582" customWidth="1"/>
    <col min="1301" max="1536" width="8.87962962962963" style="1582"/>
    <col min="1537" max="1537" width="9.5" style="1582" customWidth="1"/>
    <col min="1538" max="1538" width="8.87962962962963" style="1582"/>
    <col min="1539" max="1541" width="12.8796296296296" style="1582" customWidth="1"/>
    <col min="1542" max="1542" width="47.5" style="1582" customWidth="1"/>
    <col min="1543" max="1543" width="13" style="1582" customWidth="1"/>
    <col min="1544" max="1545" width="8.87962962962963" style="1582"/>
    <col min="1546" max="1546" width="5.75" style="1582" customWidth="1"/>
    <col min="1547" max="1547" width="11.75" style="1582" customWidth="1"/>
    <col min="1548" max="1549" width="10.75" style="1582" customWidth="1"/>
    <col min="1550" max="1550" width="10" style="1582" customWidth="1"/>
    <col min="1551" max="1552" width="10.5" style="1582" customWidth="1"/>
    <col min="1553" max="1553" width="10" style="1582" customWidth="1"/>
    <col min="1554" max="1554" width="10.1296296296296" style="1582" customWidth="1"/>
    <col min="1555" max="1555" width="10" style="1582" customWidth="1"/>
    <col min="1556" max="1556" width="26.1296296296296" style="1582" customWidth="1"/>
    <col min="1557" max="1792" width="8.87962962962963" style="1582"/>
    <col min="1793" max="1793" width="9.5" style="1582" customWidth="1"/>
    <col min="1794" max="1794" width="8.87962962962963" style="1582"/>
    <col min="1795" max="1797" width="12.8796296296296" style="1582" customWidth="1"/>
    <col min="1798" max="1798" width="47.5" style="1582" customWidth="1"/>
    <col min="1799" max="1799" width="13" style="1582" customWidth="1"/>
    <col min="1800" max="1801" width="8.87962962962963" style="1582"/>
    <col min="1802" max="1802" width="5.75" style="1582" customWidth="1"/>
    <col min="1803" max="1803" width="11.75" style="1582" customWidth="1"/>
    <col min="1804" max="1805" width="10.75" style="1582" customWidth="1"/>
    <col min="1806" max="1806" width="10" style="1582" customWidth="1"/>
    <col min="1807" max="1808" width="10.5" style="1582" customWidth="1"/>
    <col min="1809" max="1809" width="10" style="1582" customWidth="1"/>
    <col min="1810" max="1810" width="10.1296296296296" style="1582" customWidth="1"/>
    <col min="1811" max="1811" width="10" style="1582" customWidth="1"/>
    <col min="1812" max="1812" width="26.1296296296296" style="1582" customWidth="1"/>
    <col min="1813" max="2048" width="8.87962962962963" style="1582"/>
    <col min="2049" max="2049" width="9.5" style="1582" customWidth="1"/>
    <col min="2050" max="2050" width="8.87962962962963" style="1582"/>
    <col min="2051" max="2053" width="12.8796296296296" style="1582" customWidth="1"/>
    <col min="2054" max="2054" width="47.5" style="1582" customWidth="1"/>
    <col min="2055" max="2055" width="13" style="1582" customWidth="1"/>
    <col min="2056" max="2057" width="8.87962962962963" style="1582"/>
    <col min="2058" max="2058" width="5.75" style="1582" customWidth="1"/>
    <col min="2059" max="2059" width="11.75" style="1582" customWidth="1"/>
    <col min="2060" max="2061" width="10.75" style="1582" customWidth="1"/>
    <col min="2062" max="2062" width="10" style="1582" customWidth="1"/>
    <col min="2063" max="2064" width="10.5" style="1582" customWidth="1"/>
    <col min="2065" max="2065" width="10" style="1582" customWidth="1"/>
    <col min="2066" max="2066" width="10.1296296296296" style="1582" customWidth="1"/>
    <col min="2067" max="2067" width="10" style="1582" customWidth="1"/>
    <col min="2068" max="2068" width="26.1296296296296" style="1582" customWidth="1"/>
    <col min="2069" max="2304" width="8.87962962962963" style="1582"/>
    <col min="2305" max="2305" width="9.5" style="1582" customWidth="1"/>
    <col min="2306" max="2306" width="8.87962962962963" style="1582"/>
    <col min="2307" max="2309" width="12.8796296296296" style="1582" customWidth="1"/>
    <col min="2310" max="2310" width="47.5" style="1582" customWidth="1"/>
    <col min="2311" max="2311" width="13" style="1582" customWidth="1"/>
    <col min="2312" max="2313" width="8.87962962962963" style="1582"/>
    <col min="2314" max="2314" width="5.75" style="1582" customWidth="1"/>
    <col min="2315" max="2315" width="11.75" style="1582" customWidth="1"/>
    <col min="2316" max="2317" width="10.75" style="1582" customWidth="1"/>
    <col min="2318" max="2318" width="10" style="1582" customWidth="1"/>
    <col min="2319" max="2320" width="10.5" style="1582" customWidth="1"/>
    <col min="2321" max="2321" width="10" style="1582" customWidth="1"/>
    <col min="2322" max="2322" width="10.1296296296296" style="1582" customWidth="1"/>
    <col min="2323" max="2323" width="10" style="1582" customWidth="1"/>
    <col min="2324" max="2324" width="26.1296296296296" style="1582" customWidth="1"/>
    <col min="2325" max="2560" width="8.87962962962963" style="1582"/>
    <col min="2561" max="2561" width="9.5" style="1582" customWidth="1"/>
    <col min="2562" max="2562" width="8.87962962962963" style="1582"/>
    <col min="2563" max="2565" width="12.8796296296296" style="1582" customWidth="1"/>
    <col min="2566" max="2566" width="47.5" style="1582" customWidth="1"/>
    <col min="2567" max="2567" width="13" style="1582" customWidth="1"/>
    <col min="2568" max="2569" width="8.87962962962963" style="1582"/>
    <col min="2570" max="2570" width="5.75" style="1582" customWidth="1"/>
    <col min="2571" max="2571" width="11.75" style="1582" customWidth="1"/>
    <col min="2572" max="2573" width="10.75" style="1582" customWidth="1"/>
    <col min="2574" max="2574" width="10" style="1582" customWidth="1"/>
    <col min="2575" max="2576" width="10.5" style="1582" customWidth="1"/>
    <col min="2577" max="2577" width="10" style="1582" customWidth="1"/>
    <col min="2578" max="2578" width="10.1296296296296" style="1582" customWidth="1"/>
    <col min="2579" max="2579" width="10" style="1582" customWidth="1"/>
    <col min="2580" max="2580" width="26.1296296296296" style="1582" customWidth="1"/>
    <col min="2581" max="2816" width="8.87962962962963" style="1582"/>
    <col min="2817" max="2817" width="9.5" style="1582" customWidth="1"/>
    <col min="2818" max="2818" width="8.87962962962963" style="1582"/>
    <col min="2819" max="2821" width="12.8796296296296" style="1582" customWidth="1"/>
    <col min="2822" max="2822" width="47.5" style="1582" customWidth="1"/>
    <col min="2823" max="2823" width="13" style="1582" customWidth="1"/>
    <col min="2824" max="2825" width="8.87962962962963" style="1582"/>
    <col min="2826" max="2826" width="5.75" style="1582" customWidth="1"/>
    <col min="2827" max="2827" width="11.75" style="1582" customWidth="1"/>
    <col min="2828" max="2829" width="10.75" style="1582" customWidth="1"/>
    <col min="2830" max="2830" width="10" style="1582" customWidth="1"/>
    <col min="2831" max="2832" width="10.5" style="1582" customWidth="1"/>
    <col min="2833" max="2833" width="10" style="1582" customWidth="1"/>
    <col min="2834" max="2834" width="10.1296296296296" style="1582" customWidth="1"/>
    <col min="2835" max="2835" width="10" style="1582" customWidth="1"/>
    <col min="2836" max="2836" width="26.1296296296296" style="1582" customWidth="1"/>
    <col min="2837" max="3072" width="8.87962962962963" style="1582"/>
    <col min="3073" max="3073" width="9.5" style="1582" customWidth="1"/>
    <col min="3074" max="3074" width="8.87962962962963" style="1582"/>
    <col min="3075" max="3077" width="12.8796296296296" style="1582" customWidth="1"/>
    <col min="3078" max="3078" width="47.5" style="1582" customWidth="1"/>
    <col min="3079" max="3079" width="13" style="1582" customWidth="1"/>
    <col min="3080" max="3081" width="8.87962962962963" style="1582"/>
    <col min="3082" max="3082" width="5.75" style="1582" customWidth="1"/>
    <col min="3083" max="3083" width="11.75" style="1582" customWidth="1"/>
    <col min="3084" max="3085" width="10.75" style="1582" customWidth="1"/>
    <col min="3086" max="3086" width="10" style="1582" customWidth="1"/>
    <col min="3087" max="3088" width="10.5" style="1582" customWidth="1"/>
    <col min="3089" max="3089" width="10" style="1582" customWidth="1"/>
    <col min="3090" max="3090" width="10.1296296296296" style="1582" customWidth="1"/>
    <col min="3091" max="3091" width="10" style="1582" customWidth="1"/>
    <col min="3092" max="3092" width="26.1296296296296" style="1582" customWidth="1"/>
    <col min="3093" max="3328" width="8.87962962962963" style="1582"/>
    <col min="3329" max="3329" width="9.5" style="1582" customWidth="1"/>
    <col min="3330" max="3330" width="8.87962962962963" style="1582"/>
    <col min="3331" max="3333" width="12.8796296296296" style="1582" customWidth="1"/>
    <col min="3334" max="3334" width="47.5" style="1582" customWidth="1"/>
    <col min="3335" max="3335" width="13" style="1582" customWidth="1"/>
    <col min="3336" max="3337" width="8.87962962962963" style="1582"/>
    <col min="3338" max="3338" width="5.75" style="1582" customWidth="1"/>
    <col min="3339" max="3339" width="11.75" style="1582" customWidth="1"/>
    <col min="3340" max="3341" width="10.75" style="1582" customWidth="1"/>
    <col min="3342" max="3342" width="10" style="1582" customWidth="1"/>
    <col min="3343" max="3344" width="10.5" style="1582" customWidth="1"/>
    <col min="3345" max="3345" width="10" style="1582" customWidth="1"/>
    <col min="3346" max="3346" width="10.1296296296296" style="1582" customWidth="1"/>
    <col min="3347" max="3347" width="10" style="1582" customWidth="1"/>
    <col min="3348" max="3348" width="26.1296296296296" style="1582" customWidth="1"/>
    <col min="3349" max="3584" width="8.87962962962963" style="1582"/>
    <col min="3585" max="3585" width="9.5" style="1582" customWidth="1"/>
    <col min="3586" max="3586" width="8.87962962962963" style="1582"/>
    <col min="3587" max="3589" width="12.8796296296296" style="1582" customWidth="1"/>
    <col min="3590" max="3590" width="47.5" style="1582" customWidth="1"/>
    <col min="3591" max="3591" width="13" style="1582" customWidth="1"/>
    <col min="3592" max="3593" width="8.87962962962963" style="1582"/>
    <col min="3594" max="3594" width="5.75" style="1582" customWidth="1"/>
    <col min="3595" max="3595" width="11.75" style="1582" customWidth="1"/>
    <col min="3596" max="3597" width="10.75" style="1582" customWidth="1"/>
    <col min="3598" max="3598" width="10" style="1582" customWidth="1"/>
    <col min="3599" max="3600" width="10.5" style="1582" customWidth="1"/>
    <col min="3601" max="3601" width="10" style="1582" customWidth="1"/>
    <col min="3602" max="3602" width="10.1296296296296" style="1582" customWidth="1"/>
    <col min="3603" max="3603" width="10" style="1582" customWidth="1"/>
    <col min="3604" max="3604" width="26.1296296296296" style="1582" customWidth="1"/>
    <col min="3605" max="3840" width="8.87962962962963" style="1582"/>
    <col min="3841" max="3841" width="9.5" style="1582" customWidth="1"/>
    <col min="3842" max="3842" width="8.87962962962963" style="1582"/>
    <col min="3843" max="3845" width="12.8796296296296" style="1582" customWidth="1"/>
    <col min="3846" max="3846" width="47.5" style="1582" customWidth="1"/>
    <col min="3847" max="3847" width="13" style="1582" customWidth="1"/>
    <col min="3848" max="3849" width="8.87962962962963" style="1582"/>
    <col min="3850" max="3850" width="5.75" style="1582" customWidth="1"/>
    <col min="3851" max="3851" width="11.75" style="1582" customWidth="1"/>
    <col min="3852" max="3853" width="10.75" style="1582" customWidth="1"/>
    <col min="3854" max="3854" width="10" style="1582" customWidth="1"/>
    <col min="3855" max="3856" width="10.5" style="1582" customWidth="1"/>
    <col min="3857" max="3857" width="10" style="1582" customWidth="1"/>
    <col min="3858" max="3858" width="10.1296296296296" style="1582" customWidth="1"/>
    <col min="3859" max="3859" width="10" style="1582" customWidth="1"/>
    <col min="3860" max="3860" width="26.1296296296296" style="1582" customWidth="1"/>
    <col min="3861" max="4096" width="8.87962962962963" style="1582"/>
    <col min="4097" max="4097" width="9.5" style="1582" customWidth="1"/>
    <col min="4098" max="4098" width="8.87962962962963" style="1582"/>
    <col min="4099" max="4101" width="12.8796296296296" style="1582" customWidth="1"/>
    <col min="4102" max="4102" width="47.5" style="1582" customWidth="1"/>
    <col min="4103" max="4103" width="13" style="1582" customWidth="1"/>
    <col min="4104" max="4105" width="8.87962962962963" style="1582"/>
    <col min="4106" max="4106" width="5.75" style="1582" customWidth="1"/>
    <col min="4107" max="4107" width="11.75" style="1582" customWidth="1"/>
    <col min="4108" max="4109" width="10.75" style="1582" customWidth="1"/>
    <col min="4110" max="4110" width="10" style="1582" customWidth="1"/>
    <col min="4111" max="4112" width="10.5" style="1582" customWidth="1"/>
    <col min="4113" max="4113" width="10" style="1582" customWidth="1"/>
    <col min="4114" max="4114" width="10.1296296296296" style="1582" customWidth="1"/>
    <col min="4115" max="4115" width="10" style="1582" customWidth="1"/>
    <col min="4116" max="4116" width="26.1296296296296" style="1582" customWidth="1"/>
    <col min="4117" max="4352" width="8.87962962962963" style="1582"/>
    <col min="4353" max="4353" width="9.5" style="1582" customWidth="1"/>
    <col min="4354" max="4354" width="8.87962962962963" style="1582"/>
    <col min="4355" max="4357" width="12.8796296296296" style="1582" customWidth="1"/>
    <col min="4358" max="4358" width="47.5" style="1582" customWidth="1"/>
    <col min="4359" max="4359" width="13" style="1582" customWidth="1"/>
    <col min="4360" max="4361" width="8.87962962962963" style="1582"/>
    <col min="4362" max="4362" width="5.75" style="1582" customWidth="1"/>
    <col min="4363" max="4363" width="11.75" style="1582" customWidth="1"/>
    <col min="4364" max="4365" width="10.75" style="1582" customWidth="1"/>
    <col min="4366" max="4366" width="10" style="1582" customWidth="1"/>
    <col min="4367" max="4368" width="10.5" style="1582" customWidth="1"/>
    <col min="4369" max="4369" width="10" style="1582" customWidth="1"/>
    <col min="4370" max="4370" width="10.1296296296296" style="1582" customWidth="1"/>
    <col min="4371" max="4371" width="10" style="1582" customWidth="1"/>
    <col min="4372" max="4372" width="26.1296296296296" style="1582" customWidth="1"/>
    <col min="4373" max="4608" width="8.87962962962963" style="1582"/>
    <col min="4609" max="4609" width="9.5" style="1582" customWidth="1"/>
    <col min="4610" max="4610" width="8.87962962962963" style="1582"/>
    <col min="4611" max="4613" width="12.8796296296296" style="1582" customWidth="1"/>
    <col min="4614" max="4614" width="47.5" style="1582" customWidth="1"/>
    <col min="4615" max="4615" width="13" style="1582" customWidth="1"/>
    <col min="4616" max="4617" width="8.87962962962963" style="1582"/>
    <col min="4618" max="4618" width="5.75" style="1582" customWidth="1"/>
    <col min="4619" max="4619" width="11.75" style="1582" customWidth="1"/>
    <col min="4620" max="4621" width="10.75" style="1582" customWidth="1"/>
    <col min="4622" max="4622" width="10" style="1582" customWidth="1"/>
    <col min="4623" max="4624" width="10.5" style="1582" customWidth="1"/>
    <col min="4625" max="4625" width="10" style="1582" customWidth="1"/>
    <col min="4626" max="4626" width="10.1296296296296" style="1582" customWidth="1"/>
    <col min="4627" max="4627" width="10" style="1582" customWidth="1"/>
    <col min="4628" max="4628" width="26.1296296296296" style="1582" customWidth="1"/>
    <col min="4629" max="4864" width="8.87962962962963" style="1582"/>
    <col min="4865" max="4865" width="9.5" style="1582" customWidth="1"/>
    <col min="4866" max="4866" width="8.87962962962963" style="1582"/>
    <col min="4867" max="4869" width="12.8796296296296" style="1582" customWidth="1"/>
    <col min="4870" max="4870" width="47.5" style="1582" customWidth="1"/>
    <col min="4871" max="4871" width="13" style="1582" customWidth="1"/>
    <col min="4872" max="4873" width="8.87962962962963" style="1582"/>
    <col min="4874" max="4874" width="5.75" style="1582" customWidth="1"/>
    <col min="4875" max="4875" width="11.75" style="1582" customWidth="1"/>
    <col min="4876" max="4877" width="10.75" style="1582" customWidth="1"/>
    <col min="4878" max="4878" width="10" style="1582" customWidth="1"/>
    <col min="4879" max="4880" width="10.5" style="1582" customWidth="1"/>
    <col min="4881" max="4881" width="10" style="1582" customWidth="1"/>
    <col min="4882" max="4882" width="10.1296296296296" style="1582" customWidth="1"/>
    <col min="4883" max="4883" width="10" style="1582" customWidth="1"/>
    <col min="4884" max="4884" width="26.1296296296296" style="1582" customWidth="1"/>
    <col min="4885" max="5120" width="8.87962962962963" style="1582"/>
    <col min="5121" max="5121" width="9.5" style="1582" customWidth="1"/>
    <col min="5122" max="5122" width="8.87962962962963" style="1582"/>
    <col min="5123" max="5125" width="12.8796296296296" style="1582" customWidth="1"/>
    <col min="5126" max="5126" width="47.5" style="1582" customWidth="1"/>
    <col min="5127" max="5127" width="13" style="1582" customWidth="1"/>
    <col min="5128" max="5129" width="8.87962962962963" style="1582"/>
    <col min="5130" max="5130" width="5.75" style="1582" customWidth="1"/>
    <col min="5131" max="5131" width="11.75" style="1582" customWidth="1"/>
    <col min="5132" max="5133" width="10.75" style="1582" customWidth="1"/>
    <col min="5134" max="5134" width="10" style="1582" customWidth="1"/>
    <col min="5135" max="5136" width="10.5" style="1582" customWidth="1"/>
    <col min="5137" max="5137" width="10" style="1582" customWidth="1"/>
    <col min="5138" max="5138" width="10.1296296296296" style="1582" customWidth="1"/>
    <col min="5139" max="5139" width="10" style="1582" customWidth="1"/>
    <col min="5140" max="5140" width="26.1296296296296" style="1582" customWidth="1"/>
    <col min="5141" max="5376" width="8.87962962962963" style="1582"/>
    <col min="5377" max="5377" width="9.5" style="1582" customWidth="1"/>
    <col min="5378" max="5378" width="8.87962962962963" style="1582"/>
    <col min="5379" max="5381" width="12.8796296296296" style="1582" customWidth="1"/>
    <col min="5382" max="5382" width="47.5" style="1582" customWidth="1"/>
    <col min="5383" max="5383" width="13" style="1582" customWidth="1"/>
    <col min="5384" max="5385" width="8.87962962962963" style="1582"/>
    <col min="5386" max="5386" width="5.75" style="1582" customWidth="1"/>
    <col min="5387" max="5387" width="11.75" style="1582" customWidth="1"/>
    <col min="5388" max="5389" width="10.75" style="1582" customWidth="1"/>
    <col min="5390" max="5390" width="10" style="1582" customWidth="1"/>
    <col min="5391" max="5392" width="10.5" style="1582" customWidth="1"/>
    <col min="5393" max="5393" width="10" style="1582" customWidth="1"/>
    <col min="5394" max="5394" width="10.1296296296296" style="1582" customWidth="1"/>
    <col min="5395" max="5395" width="10" style="1582" customWidth="1"/>
    <col min="5396" max="5396" width="26.1296296296296" style="1582" customWidth="1"/>
    <col min="5397" max="5632" width="8.87962962962963" style="1582"/>
    <col min="5633" max="5633" width="9.5" style="1582" customWidth="1"/>
    <col min="5634" max="5634" width="8.87962962962963" style="1582"/>
    <col min="5635" max="5637" width="12.8796296296296" style="1582" customWidth="1"/>
    <col min="5638" max="5638" width="47.5" style="1582" customWidth="1"/>
    <col min="5639" max="5639" width="13" style="1582" customWidth="1"/>
    <col min="5640" max="5641" width="8.87962962962963" style="1582"/>
    <col min="5642" max="5642" width="5.75" style="1582" customWidth="1"/>
    <col min="5643" max="5643" width="11.75" style="1582" customWidth="1"/>
    <col min="5644" max="5645" width="10.75" style="1582" customWidth="1"/>
    <col min="5646" max="5646" width="10" style="1582" customWidth="1"/>
    <col min="5647" max="5648" width="10.5" style="1582" customWidth="1"/>
    <col min="5649" max="5649" width="10" style="1582" customWidth="1"/>
    <col min="5650" max="5650" width="10.1296296296296" style="1582" customWidth="1"/>
    <col min="5651" max="5651" width="10" style="1582" customWidth="1"/>
    <col min="5652" max="5652" width="26.1296296296296" style="1582" customWidth="1"/>
    <col min="5653" max="5888" width="8.87962962962963" style="1582"/>
    <col min="5889" max="5889" width="9.5" style="1582" customWidth="1"/>
    <col min="5890" max="5890" width="8.87962962962963" style="1582"/>
    <col min="5891" max="5893" width="12.8796296296296" style="1582" customWidth="1"/>
    <col min="5894" max="5894" width="47.5" style="1582" customWidth="1"/>
    <col min="5895" max="5895" width="13" style="1582" customWidth="1"/>
    <col min="5896" max="5897" width="8.87962962962963" style="1582"/>
    <col min="5898" max="5898" width="5.75" style="1582" customWidth="1"/>
    <col min="5899" max="5899" width="11.75" style="1582" customWidth="1"/>
    <col min="5900" max="5901" width="10.75" style="1582" customWidth="1"/>
    <col min="5902" max="5902" width="10" style="1582" customWidth="1"/>
    <col min="5903" max="5904" width="10.5" style="1582" customWidth="1"/>
    <col min="5905" max="5905" width="10" style="1582" customWidth="1"/>
    <col min="5906" max="5906" width="10.1296296296296" style="1582" customWidth="1"/>
    <col min="5907" max="5907" width="10" style="1582" customWidth="1"/>
    <col min="5908" max="5908" width="26.1296296296296" style="1582" customWidth="1"/>
    <col min="5909" max="6144" width="8.87962962962963" style="1582"/>
    <col min="6145" max="6145" width="9.5" style="1582" customWidth="1"/>
    <col min="6146" max="6146" width="8.87962962962963" style="1582"/>
    <col min="6147" max="6149" width="12.8796296296296" style="1582" customWidth="1"/>
    <col min="6150" max="6150" width="47.5" style="1582" customWidth="1"/>
    <col min="6151" max="6151" width="13" style="1582" customWidth="1"/>
    <col min="6152" max="6153" width="8.87962962962963" style="1582"/>
    <col min="6154" max="6154" width="5.75" style="1582" customWidth="1"/>
    <col min="6155" max="6155" width="11.75" style="1582" customWidth="1"/>
    <col min="6156" max="6157" width="10.75" style="1582" customWidth="1"/>
    <col min="6158" max="6158" width="10" style="1582" customWidth="1"/>
    <col min="6159" max="6160" width="10.5" style="1582" customWidth="1"/>
    <col min="6161" max="6161" width="10" style="1582" customWidth="1"/>
    <col min="6162" max="6162" width="10.1296296296296" style="1582" customWidth="1"/>
    <col min="6163" max="6163" width="10" style="1582" customWidth="1"/>
    <col min="6164" max="6164" width="26.1296296296296" style="1582" customWidth="1"/>
    <col min="6165" max="6400" width="8.87962962962963" style="1582"/>
    <col min="6401" max="6401" width="9.5" style="1582" customWidth="1"/>
    <col min="6402" max="6402" width="8.87962962962963" style="1582"/>
    <col min="6403" max="6405" width="12.8796296296296" style="1582" customWidth="1"/>
    <col min="6406" max="6406" width="47.5" style="1582" customWidth="1"/>
    <col min="6407" max="6407" width="13" style="1582" customWidth="1"/>
    <col min="6408" max="6409" width="8.87962962962963" style="1582"/>
    <col min="6410" max="6410" width="5.75" style="1582" customWidth="1"/>
    <col min="6411" max="6411" width="11.75" style="1582" customWidth="1"/>
    <col min="6412" max="6413" width="10.75" style="1582" customWidth="1"/>
    <col min="6414" max="6414" width="10" style="1582" customWidth="1"/>
    <col min="6415" max="6416" width="10.5" style="1582" customWidth="1"/>
    <col min="6417" max="6417" width="10" style="1582" customWidth="1"/>
    <col min="6418" max="6418" width="10.1296296296296" style="1582" customWidth="1"/>
    <col min="6419" max="6419" width="10" style="1582" customWidth="1"/>
    <col min="6420" max="6420" width="26.1296296296296" style="1582" customWidth="1"/>
    <col min="6421" max="6656" width="8.87962962962963" style="1582"/>
    <col min="6657" max="6657" width="9.5" style="1582" customWidth="1"/>
    <col min="6658" max="6658" width="8.87962962962963" style="1582"/>
    <col min="6659" max="6661" width="12.8796296296296" style="1582" customWidth="1"/>
    <col min="6662" max="6662" width="47.5" style="1582" customWidth="1"/>
    <col min="6663" max="6663" width="13" style="1582" customWidth="1"/>
    <col min="6664" max="6665" width="8.87962962962963" style="1582"/>
    <col min="6666" max="6666" width="5.75" style="1582" customWidth="1"/>
    <col min="6667" max="6667" width="11.75" style="1582" customWidth="1"/>
    <col min="6668" max="6669" width="10.75" style="1582" customWidth="1"/>
    <col min="6670" max="6670" width="10" style="1582" customWidth="1"/>
    <col min="6671" max="6672" width="10.5" style="1582" customWidth="1"/>
    <col min="6673" max="6673" width="10" style="1582" customWidth="1"/>
    <col min="6674" max="6674" width="10.1296296296296" style="1582" customWidth="1"/>
    <col min="6675" max="6675" width="10" style="1582" customWidth="1"/>
    <col min="6676" max="6676" width="26.1296296296296" style="1582" customWidth="1"/>
    <col min="6677" max="6912" width="8.87962962962963" style="1582"/>
    <col min="6913" max="6913" width="9.5" style="1582" customWidth="1"/>
    <col min="6914" max="6914" width="8.87962962962963" style="1582"/>
    <col min="6915" max="6917" width="12.8796296296296" style="1582" customWidth="1"/>
    <col min="6918" max="6918" width="47.5" style="1582" customWidth="1"/>
    <col min="6919" max="6919" width="13" style="1582" customWidth="1"/>
    <col min="6920" max="6921" width="8.87962962962963" style="1582"/>
    <col min="6922" max="6922" width="5.75" style="1582" customWidth="1"/>
    <col min="6923" max="6923" width="11.75" style="1582" customWidth="1"/>
    <col min="6924" max="6925" width="10.75" style="1582" customWidth="1"/>
    <col min="6926" max="6926" width="10" style="1582" customWidth="1"/>
    <col min="6927" max="6928" width="10.5" style="1582" customWidth="1"/>
    <col min="6929" max="6929" width="10" style="1582" customWidth="1"/>
    <col min="6930" max="6930" width="10.1296296296296" style="1582" customWidth="1"/>
    <col min="6931" max="6931" width="10" style="1582" customWidth="1"/>
    <col min="6932" max="6932" width="26.1296296296296" style="1582" customWidth="1"/>
    <col min="6933" max="7168" width="8.87962962962963" style="1582"/>
    <col min="7169" max="7169" width="9.5" style="1582" customWidth="1"/>
    <col min="7170" max="7170" width="8.87962962962963" style="1582"/>
    <col min="7171" max="7173" width="12.8796296296296" style="1582" customWidth="1"/>
    <col min="7174" max="7174" width="47.5" style="1582" customWidth="1"/>
    <col min="7175" max="7175" width="13" style="1582" customWidth="1"/>
    <col min="7176" max="7177" width="8.87962962962963" style="1582"/>
    <col min="7178" max="7178" width="5.75" style="1582" customWidth="1"/>
    <col min="7179" max="7179" width="11.75" style="1582" customWidth="1"/>
    <col min="7180" max="7181" width="10.75" style="1582" customWidth="1"/>
    <col min="7182" max="7182" width="10" style="1582" customWidth="1"/>
    <col min="7183" max="7184" width="10.5" style="1582" customWidth="1"/>
    <col min="7185" max="7185" width="10" style="1582" customWidth="1"/>
    <col min="7186" max="7186" width="10.1296296296296" style="1582" customWidth="1"/>
    <col min="7187" max="7187" width="10" style="1582" customWidth="1"/>
    <col min="7188" max="7188" width="26.1296296296296" style="1582" customWidth="1"/>
    <col min="7189" max="7424" width="8.87962962962963" style="1582"/>
    <col min="7425" max="7425" width="9.5" style="1582" customWidth="1"/>
    <col min="7426" max="7426" width="8.87962962962963" style="1582"/>
    <col min="7427" max="7429" width="12.8796296296296" style="1582" customWidth="1"/>
    <col min="7430" max="7430" width="47.5" style="1582" customWidth="1"/>
    <col min="7431" max="7431" width="13" style="1582" customWidth="1"/>
    <col min="7432" max="7433" width="8.87962962962963" style="1582"/>
    <col min="7434" max="7434" width="5.75" style="1582" customWidth="1"/>
    <col min="7435" max="7435" width="11.75" style="1582" customWidth="1"/>
    <col min="7436" max="7437" width="10.75" style="1582" customWidth="1"/>
    <col min="7438" max="7438" width="10" style="1582" customWidth="1"/>
    <col min="7439" max="7440" width="10.5" style="1582" customWidth="1"/>
    <col min="7441" max="7441" width="10" style="1582" customWidth="1"/>
    <col min="7442" max="7442" width="10.1296296296296" style="1582" customWidth="1"/>
    <col min="7443" max="7443" width="10" style="1582" customWidth="1"/>
    <col min="7444" max="7444" width="26.1296296296296" style="1582" customWidth="1"/>
    <col min="7445" max="7680" width="8.87962962962963" style="1582"/>
    <col min="7681" max="7681" width="9.5" style="1582" customWidth="1"/>
    <col min="7682" max="7682" width="8.87962962962963" style="1582"/>
    <col min="7683" max="7685" width="12.8796296296296" style="1582" customWidth="1"/>
    <col min="7686" max="7686" width="47.5" style="1582" customWidth="1"/>
    <col min="7687" max="7687" width="13" style="1582" customWidth="1"/>
    <col min="7688" max="7689" width="8.87962962962963" style="1582"/>
    <col min="7690" max="7690" width="5.75" style="1582" customWidth="1"/>
    <col min="7691" max="7691" width="11.75" style="1582" customWidth="1"/>
    <col min="7692" max="7693" width="10.75" style="1582" customWidth="1"/>
    <col min="7694" max="7694" width="10" style="1582" customWidth="1"/>
    <col min="7695" max="7696" width="10.5" style="1582" customWidth="1"/>
    <col min="7697" max="7697" width="10" style="1582" customWidth="1"/>
    <col min="7698" max="7698" width="10.1296296296296" style="1582" customWidth="1"/>
    <col min="7699" max="7699" width="10" style="1582" customWidth="1"/>
    <col min="7700" max="7700" width="26.1296296296296" style="1582" customWidth="1"/>
    <col min="7701" max="7936" width="8.87962962962963" style="1582"/>
    <col min="7937" max="7937" width="9.5" style="1582" customWidth="1"/>
    <col min="7938" max="7938" width="8.87962962962963" style="1582"/>
    <col min="7939" max="7941" width="12.8796296296296" style="1582" customWidth="1"/>
    <col min="7942" max="7942" width="47.5" style="1582" customWidth="1"/>
    <col min="7943" max="7943" width="13" style="1582" customWidth="1"/>
    <col min="7944" max="7945" width="8.87962962962963" style="1582"/>
    <col min="7946" max="7946" width="5.75" style="1582" customWidth="1"/>
    <col min="7947" max="7947" width="11.75" style="1582" customWidth="1"/>
    <col min="7948" max="7949" width="10.75" style="1582" customWidth="1"/>
    <col min="7950" max="7950" width="10" style="1582" customWidth="1"/>
    <col min="7951" max="7952" width="10.5" style="1582" customWidth="1"/>
    <col min="7953" max="7953" width="10" style="1582" customWidth="1"/>
    <col min="7954" max="7954" width="10.1296296296296" style="1582" customWidth="1"/>
    <col min="7955" max="7955" width="10" style="1582" customWidth="1"/>
    <col min="7956" max="7956" width="26.1296296296296" style="1582" customWidth="1"/>
    <col min="7957" max="8192" width="8.87962962962963" style="1582"/>
    <col min="8193" max="8193" width="9.5" style="1582" customWidth="1"/>
    <col min="8194" max="8194" width="8.87962962962963" style="1582"/>
    <col min="8195" max="8197" width="12.8796296296296" style="1582" customWidth="1"/>
    <col min="8198" max="8198" width="47.5" style="1582" customWidth="1"/>
    <col min="8199" max="8199" width="13" style="1582" customWidth="1"/>
    <col min="8200" max="8201" width="8.87962962962963" style="1582"/>
    <col min="8202" max="8202" width="5.75" style="1582" customWidth="1"/>
    <col min="8203" max="8203" width="11.75" style="1582" customWidth="1"/>
    <col min="8204" max="8205" width="10.75" style="1582" customWidth="1"/>
    <col min="8206" max="8206" width="10" style="1582" customWidth="1"/>
    <col min="8207" max="8208" width="10.5" style="1582" customWidth="1"/>
    <col min="8209" max="8209" width="10" style="1582" customWidth="1"/>
    <col min="8210" max="8210" width="10.1296296296296" style="1582" customWidth="1"/>
    <col min="8211" max="8211" width="10" style="1582" customWidth="1"/>
    <col min="8212" max="8212" width="26.1296296296296" style="1582" customWidth="1"/>
    <col min="8213" max="8448" width="8.87962962962963" style="1582"/>
    <col min="8449" max="8449" width="9.5" style="1582" customWidth="1"/>
    <col min="8450" max="8450" width="8.87962962962963" style="1582"/>
    <col min="8451" max="8453" width="12.8796296296296" style="1582" customWidth="1"/>
    <col min="8454" max="8454" width="47.5" style="1582" customWidth="1"/>
    <col min="8455" max="8455" width="13" style="1582" customWidth="1"/>
    <col min="8456" max="8457" width="8.87962962962963" style="1582"/>
    <col min="8458" max="8458" width="5.75" style="1582" customWidth="1"/>
    <col min="8459" max="8459" width="11.75" style="1582" customWidth="1"/>
    <col min="8460" max="8461" width="10.75" style="1582" customWidth="1"/>
    <col min="8462" max="8462" width="10" style="1582" customWidth="1"/>
    <col min="8463" max="8464" width="10.5" style="1582" customWidth="1"/>
    <col min="8465" max="8465" width="10" style="1582" customWidth="1"/>
    <col min="8466" max="8466" width="10.1296296296296" style="1582" customWidth="1"/>
    <col min="8467" max="8467" width="10" style="1582" customWidth="1"/>
    <col min="8468" max="8468" width="26.1296296296296" style="1582" customWidth="1"/>
    <col min="8469" max="8704" width="8.87962962962963" style="1582"/>
    <col min="8705" max="8705" width="9.5" style="1582" customWidth="1"/>
    <col min="8706" max="8706" width="8.87962962962963" style="1582"/>
    <col min="8707" max="8709" width="12.8796296296296" style="1582" customWidth="1"/>
    <col min="8710" max="8710" width="47.5" style="1582" customWidth="1"/>
    <col min="8711" max="8711" width="13" style="1582" customWidth="1"/>
    <col min="8712" max="8713" width="8.87962962962963" style="1582"/>
    <col min="8714" max="8714" width="5.75" style="1582" customWidth="1"/>
    <col min="8715" max="8715" width="11.75" style="1582" customWidth="1"/>
    <col min="8716" max="8717" width="10.75" style="1582" customWidth="1"/>
    <col min="8718" max="8718" width="10" style="1582" customWidth="1"/>
    <col min="8719" max="8720" width="10.5" style="1582" customWidth="1"/>
    <col min="8721" max="8721" width="10" style="1582" customWidth="1"/>
    <col min="8722" max="8722" width="10.1296296296296" style="1582" customWidth="1"/>
    <col min="8723" max="8723" width="10" style="1582" customWidth="1"/>
    <col min="8724" max="8724" width="26.1296296296296" style="1582" customWidth="1"/>
    <col min="8725" max="8960" width="8.87962962962963" style="1582"/>
    <col min="8961" max="8961" width="9.5" style="1582" customWidth="1"/>
    <col min="8962" max="8962" width="8.87962962962963" style="1582"/>
    <col min="8963" max="8965" width="12.8796296296296" style="1582" customWidth="1"/>
    <col min="8966" max="8966" width="47.5" style="1582" customWidth="1"/>
    <col min="8967" max="8967" width="13" style="1582" customWidth="1"/>
    <col min="8968" max="8969" width="8.87962962962963" style="1582"/>
    <col min="8970" max="8970" width="5.75" style="1582" customWidth="1"/>
    <col min="8971" max="8971" width="11.75" style="1582" customWidth="1"/>
    <col min="8972" max="8973" width="10.75" style="1582" customWidth="1"/>
    <col min="8974" max="8974" width="10" style="1582" customWidth="1"/>
    <col min="8975" max="8976" width="10.5" style="1582" customWidth="1"/>
    <col min="8977" max="8977" width="10" style="1582" customWidth="1"/>
    <col min="8978" max="8978" width="10.1296296296296" style="1582" customWidth="1"/>
    <col min="8979" max="8979" width="10" style="1582" customWidth="1"/>
    <col min="8980" max="8980" width="26.1296296296296" style="1582" customWidth="1"/>
    <col min="8981" max="9216" width="8.87962962962963" style="1582"/>
    <col min="9217" max="9217" width="9.5" style="1582" customWidth="1"/>
    <col min="9218" max="9218" width="8.87962962962963" style="1582"/>
    <col min="9219" max="9221" width="12.8796296296296" style="1582" customWidth="1"/>
    <col min="9222" max="9222" width="47.5" style="1582" customWidth="1"/>
    <col min="9223" max="9223" width="13" style="1582" customWidth="1"/>
    <col min="9224" max="9225" width="8.87962962962963" style="1582"/>
    <col min="9226" max="9226" width="5.75" style="1582" customWidth="1"/>
    <col min="9227" max="9227" width="11.75" style="1582" customWidth="1"/>
    <col min="9228" max="9229" width="10.75" style="1582" customWidth="1"/>
    <col min="9230" max="9230" width="10" style="1582" customWidth="1"/>
    <col min="9231" max="9232" width="10.5" style="1582" customWidth="1"/>
    <col min="9233" max="9233" width="10" style="1582" customWidth="1"/>
    <col min="9234" max="9234" width="10.1296296296296" style="1582" customWidth="1"/>
    <col min="9235" max="9235" width="10" style="1582" customWidth="1"/>
    <col min="9236" max="9236" width="26.1296296296296" style="1582" customWidth="1"/>
    <col min="9237" max="9472" width="8.87962962962963" style="1582"/>
    <col min="9473" max="9473" width="9.5" style="1582" customWidth="1"/>
    <col min="9474" max="9474" width="8.87962962962963" style="1582"/>
    <col min="9475" max="9477" width="12.8796296296296" style="1582" customWidth="1"/>
    <col min="9478" max="9478" width="47.5" style="1582" customWidth="1"/>
    <col min="9479" max="9479" width="13" style="1582" customWidth="1"/>
    <col min="9480" max="9481" width="8.87962962962963" style="1582"/>
    <col min="9482" max="9482" width="5.75" style="1582" customWidth="1"/>
    <col min="9483" max="9483" width="11.75" style="1582" customWidth="1"/>
    <col min="9484" max="9485" width="10.75" style="1582" customWidth="1"/>
    <col min="9486" max="9486" width="10" style="1582" customWidth="1"/>
    <col min="9487" max="9488" width="10.5" style="1582" customWidth="1"/>
    <col min="9489" max="9489" width="10" style="1582" customWidth="1"/>
    <col min="9490" max="9490" width="10.1296296296296" style="1582" customWidth="1"/>
    <col min="9491" max="9491" width="10" style="1582" customWidth="1"/>
    <col min="9492" max="9492" width="26.1296296296296" style="1582" customWidth="1"/>
    <col min="9493" max="9728" width="8.87962962962963" style="1582"/>
    <col min="9729" max="9729" width="9.5" style="1582" customWidth="1"/>
    <col min="9730" max="9730" width="8.87962962962963" style="1582"/>
    <col min="9731" max="9733" width="12.8796296296296" style="1582" customWidth="1"/>
    <col min="9734" max="9734" width="47.5" style="1582" customWidth="1"/>
    <col min="9735" max="9735" width="13" style="1582" customWidth="1"/>
    <col min="9736" max="9737" width="8.87962962962963" style="1582"/>
    <col min="9738" max="9738" width="5.75" style="1582" customWidth="1"/>
    <col min="9739" max="9739" width="11.75" style="1582" customWidth="1"/>
    <col min="9740" max="9741" width="10.75" style="1582" customWidth="1"/>
    <col min="9742" max="9742" width="10" style="1582" customWidth="1"/>
    <col min="9743" max="9744" width="10.5" style="1582" customWidth="1"/>
    <col min="9745" max="9745" width="10" style="1582" customWidth="1"/>
    <col min="9746" max="9746" width="10.1296296296296" style="1582" customWidth="1"/>
    <col min="9747" max="9747" width="10" style="1582" customWidth="1"/>
    <col min="9748" max="9748" width="26.1296296296296" style="1582" customWidth="1"/>
    <col min="9749" max="9984" width="8.87962962962963" style="1582"/>
    <col min="9985" max="9985" width="9.5" style="1582" customWidth="1"/>
    <col min="9986" max="9986" width="8.87962962962963" style="1582"/>
    <col min="9987" max="9989" width="12.8796296296296" style="1582" customWidth="1"/>
    <col min="9990" max="9990" width="47.5" style="1582" customWidth="1"/>
    <col min="9991" max="9991" width="13" style="1582" customWidth="1"/>
    <col min="9992" max="9993" width="8.87962962962963" style="1582"/>
    <col min="9994" max="9994" width="5.75" style="1582" customWidth="1"/>
    <col min="9995" max="9995" width="11.75" style="1582" customWidth="1"/>
    <col min="9996" max="9997" width="10.75" style="1582" customWidth="1"/>
    <col min="9998" max="9998" width="10" style="1582" customWidth="1"/>
    <col min="9999" max="10000" width="10.5" style="1582" customWidth="1"/>
    <col min="10001" max="10001" width="10" style="1582" customWidth="1"/>
    <col min="10002" max="10002" width="10.1296296296296" style="1582" customWidth="1"/>
    <col min="10003" max="10003" width="10" style="1582" customWidth="1"/>
    <col min="10004" max="10004" width="26.1296296296296" style="1582" customWidth="1"/>
    <col min="10005" max="10240" width="8.87962962962963" style="1582"/>
    <col min="10241" max="10241" width="9.5" style="1582" customWidth="1"/>
    <col min="10242" max="10242" width="8.87962962962963" style="1582"/>
    <col min="10243" max="10245" width="12.8796296296296" style="1582" customWidth="1"/>
    <col min="10246" max="10246" width="47.5" style="1582" customWidth="1"/>
    <col min="10247" max="10247" width="13" style="1582" customWidth="1"/>
    <col min="10248" max="10249" width="8.87962962962963" style="1582"/>
    <col min="10250" max="10250" width="5.75" style="1582" customWidth="1"/>
    <col min="10251" max="10251" width="11.75" style="1582" customWidth="1"/>
    <col min="10252" max="10253" width="10.75" style="1582" customWidth="1"/>
    <col min="10254" max="10254" width="10" style="1582" customWidth="1"/>
    <col min="10255" max="10256" width="10.5" style="1582" customWidth="1"/>
    <col min="10257" max="10257" width="10" style="1582" customWidth="1"/>
    <col min="10258" max="10258" width="10.1296296296296" style="1582" customWidth="1"/>
    <col min="10259" max="10259" width="10" style="1582" customWidth="1"/>
    <col min="10260" max="10260" width="26.1296296296296" style="1582" customWidth="1"/>
    <col min="10261" max="10496" width="8.87962962962963" style="1582"/>
    <col min="10497" max="10497" width="9.5" style="1582" customWidth="1"/>
    <col min="10498" max="10498" width="8.87962962962963" style="1582"/>
    <col min="10499" max="10501" width="12.8796296296296" style="1582" customWidth="1"/>
    <col min="10502" max="10502" width="47.5" style="1582" customWidth="1"/>
    <col min="10503" max="10503" width="13" style="1582" customWidth="1"/>
    <col min="10504" max="10505" width="8.87962962962963" style="1582"/>
    <col min="10506" max="10506" width="5.75" style="1582" customWidth="1"/>
    <col min="10507" max="10507" width="11.75" style="1582" customWidth="1"/>
    <col min="10508" max="10509" width="10.75" style="1582" customWidth="1"/>
    <col min="10510" max="10510" width="10" style="1582" customWidth="1"/>
    <col min="10511" max="10512" width="10.5" style="1582" customWidth="1"/>
    <col min="10513" max="10513" width="10" style="1582" customWidth="1"/>
    <col min="10514" max="10514" width="10.1296296296296" style="1582" customWidth="1"/>
    <col min="10515" max="10515" width="10" style="1582" customWidth="1"/>
    <col min="10516" max="10516" width="26.1296296296296" style="1582" customWidth="1"/>
    <col min="10517" max="10752" width="8.87962962962963" style="1582"/>
    <col min="10753" max="10753" width="9.5" style="1582" customWidth="1"/>
    <col min="10754" max="10754" width="8.87962962962963" style="1582"/>
    <col min="10755" max="10757" width="12.8796296296296" style="1582" customWidth="1"/>
    <col min="10758" max="10758" width="47.5" style="1582" customWidth="1"/>
    <col min="10759" max="10759" width="13" style="1582" customWidth="1"/>
    <col min="10760" max="10761" width="8.87962962962963" style="1582"/>
    <col min="10762" max="10762" width="5.75" style="1582" customWidth="1"/>
    <col min="10763" max="10763" width="11.75" style="1582" customWidth="1"/>
    <col min="10764" max="10765" width="10.75" style="1582" customWidth="1"/>
    <col min="10766" max="10766" width="10" style="1582" customWidth="1"/>
    <col min="10767" max="10768" width="10.5" style="1582" customWidth="1"/>
    <col min="10769" max="10769" width="10" style="1582" customWidth="1"/>
    <col min="10770" max="10770" width="10.1296296296296" style="1582" customWidth="1"/>
    <col min="10771" max="10771" width="10" style="1582" customWidth="1"/>
    <col min="10772" max="10772" width="26.1296296296296" style="1582" customWidth="1"/>
    <col min="10773" max="11008" width="8.87962962962963" style="1582"/>
    <col min="11009" max="11009" width="9.5" style="1582" customWidth="1"/>
    <col min="11010" max="11010" width="8.87962962962963" style="1582"/>
    <col min="11011" max="11013" width="12.8796296296296" style="1582" customWidth="1"/>
    <col min="11014" max="11014" width="47.5" style="1582" customWidth="1"/>
    <col min="11015" max="11015" width="13" style="1582" customWidth="1"/>
    <col min="11016" max="11017" width="8.87962962962963" style="1582"/>
    <col min="11018" max="11018" width="5.75" style="1582" customWidth="1"/>
    <col min="11019" max="11019" width="11.75" style="1582" customWidth="1"/>
    <col min="11020" max="11021" width="10.75" style="1582" customWidth="1"/>
    <col min="11022" max="11022" width="10" style="1582" customWidth="1"/>
    <col min="11023" max="11024" width="10.5" style="1582" customWidth="1"/>
    <col min="11025" max="11025" width="10" style="1582" customWidth="1"/>
    <col min="11026" max="11026" width="10.1296296296296" style="1582" customWidth="1"/>
    <col min="11027" max="11027" width="10" style="1582" customWidth="1"/>
    <col min="11028" max="11028" width="26.1296296296296" style="1582" customWidth="1"/>
    <col min="11029" max="11264" width="8.87962962962963" style="1582"/>
    <col min="11265" max="11265" width="9.5" style="1582" customWidth="1"/>
    <col min="11266" max="11266" width="8.87962962962963" style="1582"/>
    <col min="11267" max="11269" width="12.8796296296296" style="1582" customWidth="1"/>
    <col min="11270" max="11270" width="47.5" style="1582" customWidth="1"/>
    <col min="11271" max="11271" width="13" style="1582" customWidth="1"/>
    <col min="11272" max="11273" width="8.87962962962963" style="1582"/>
    <col min="11274" max="11274" width="5.75" style="1582" customWidth="1"/>
    <col min="11275" max="11275" width="11.75" style="1582" customWidth="1"/>
    <col min="11276" max="11277" width="10.75" style="1582" customWidth="1"/>
    <col min="11278" max="11278" width="10" style="1582" customWidth="1"/>
    <col min="11279" max="11280" width="10.5" style="1582" customWidth="1"/>
    <col min="11281" max="11281" width="10" style="1582" customWidth="1"/>
    <col min="11282" max="11282" width="10.1296296296296" style="1582" customWidth="1"/>
    <col min="11283" max="11283" width="10" style="1582" customWidth="1"/>
    <col min="11284" max="11284" width="26.1296296296296" style="1582" customWidth="1"/>
    <col min="11285" max="11520" width="8.87962962962963" style="1582"/>
    <col min="11521" max="11521" width="9.5" style="1582" customWidth="1"/>
    <col min="11522" max="11522" width="8.87962962962963" style="1582"/>
    <col min="11523" max="11525" width="12.8796296296296" style="1582" customWidth="1"/>
    <col min="11526" max="11526" width="47.5" style="1582" customWidth="1"/>
    <col min="11527" max="11527" width="13" style="1582" customWidth="1"/>
    <col min="11528" max="11529" width="8.87962962962963" style="1582"/>
    <col min="11530" max="11530" width="5.75" style="1582" customWidth="1"/>
    <col min="11531" max="11531" width="11.75" style="1582" customWidth="1"/>
    <col min="11532" max="11533" width="10.75" style="1582" customWidth="1"/>
    <col min="11534" max="11534" width="10" style="1582" customWidth="1"/>
    <col min="11535" max="11536" width="10.5" style="1582" customWidth="1"/>
    <col min="11537" max="11537" width="10" style="1582" customWidth="1"/>
    <col min="11538" max="11538" width="10.1296296296296" style="1582" customWidth="1"/>
    <col min="11539" max="11539" width="10" style="1582" customWidth="1"/>
    <col min="11540" max="11540" width="26.1296296296296" style="1582" customWidth="1"/>
    <col min="11541" max="11776" width="8.87962962962963" style="1582"/>
    <col min="11777" max="11777" width="9.5" style="1582" customWidth="1"/>
    <col min="11778" max="11778" width="8.87962962962963" style="1582"/>
    <col min="11779" max="11781" width="12.8796296296296" style="1582" customWidth="1"/>
    <col min="11782" max="11782" width="47.5" style="1582" customWidth="1"/>
    <col min="11783" max="11783" width="13" style="1582" customWidth="1"/>
    <col min="11784" max="11785" width="8.87962962962963" style="1582"/>
    <col min="11786" max="11786" width="5.75" style="1582" customWidth="1"/>
    <col min="11787" max="11787" width="11.75" style="1582" customWidth="1"/>
    <col min="11788" max="11789" width="10.75" style="1582" customWidth="1"/>
    <col min="11790" max="11790" width="10" style="1582" customWidth="1"/>
    <col min="11791" max="11792" width="10.5" style="1582" customWidth="1"/>
    <col min="11793" max="11793" width="10" style="1582" customWidth="1"/>
    <col min="11794" max="11794" width="10.1296296296296" style="1582" customWidth="1"/>
    <col min="11795" max="11795" width="10" style="1582" customWidth="1"/>
    <col min="11796" max="11796" width="26.1296296296296" style="1582" customWidth="1"/>
    <col min="11797" max="12032" width="8.87962962962963" style="1582"/>
    <col min="12033" max="12033" width="9.5" style="1582" customWidth="1"/>
    <col min="12034" max="12034" width="8.87962962962963" style="1582"/>
    <col min="12035" max="12037" width="12.8796296296296" style="1582" customWidth="1"/>
    <col min="12038" max="12038" width="47.5" style="1582" customWidth="1"/>
    <col min="12039" max="12039" width="13" style="1582" customWidth="1"/>
    <col min="12040" max="12041" width="8.87962962962963" style="1582"/>
    <col min="12042" max="12042" width="5.75" style="1582" customWidth="1"/>
    <col min="12043" max="12043" width="11.75" style="1582" customWidth="1"/>
    <col min="12044" max="12045" width="10.75" style="1582" customWidth="1"/>
    <col min="12046" max="12046" width="10" style="1582" customWidth="1"/>
    <col min="12047" max="12048" width="10.5" style="1582" customWidth="1"/>
    <col min="12049" max="12049" width="10" style="1582" customWidth="1"/>
    <col min="12050" max="12050" width="10.1296296296296" style="1582" customWidth="1"/>
    <col min="12051" max="12051" width="10" style="1582" customWidth="1"/>
    <col min="12052" max="12052" width="26.1296296296296" style="1582" customWidth="1"/>
    <col min="12053" max="12288" width="8.87962962962963" style="1582"/>
    <col min="12289" max="12289" width="9.5" style="1582" customWidth="1"/>
    <col min="12290" max="12290" width="8.87962962962963" style="1582"/>
    <col min="12291" max="12293" width="12.8796296296296" style="1582" customWidth="1"/>
    <col min="12294" max="12294" width="47.5" style="1582" customWidth="1"/>
    <col min="12295" max="12295" width="13" style="1582" customWidth="1"/>
    <col min="12296" max="12297" width="8.87962962962963" style="1582"/>
    <col min="12298" max="12298" width="5.75" style="1582" customWidth="1"/>
    <col min="12299" max="12299" width="11.75" style="1582" customWidth="1"/>
    <col min="12300" max="12301" width="10.75" style="1582" customWidth="1"/>
    <col min="12302" max="12302" width="10" style="1582" customWidth="1"/>
    <col min="12303" max="12304" width="10.5" style="1582" customWidth="1"/>
    <col min="12305" max="12305" width="10" style="1582" customWidth="1"/>
    <col min="12306" max="12306" width="10.1296296296296" style="1582" customWidth="1"/>
    <col min="12307" max="12307" width="10" style="1582" customWidth="1"/>
    <col min="12308" max="12308" width="26.1296296296296" style="1582" customWidth="1"/>
    <col min="12309" max="12544" width="8.87962962962963" style="1582"/>
    <col min="12545" max="12545" width="9.5" style="1582" customWidth="1"/>
    <col min="12546" max="12546" width="8.87962962962963" style="1582"/>
    <col min="12547" max="12549" width="12.8796296296296" style="1582" customWidth="1"/>
    <col min="12550" max="12550" width="47.5" style="1582" customWidth="1"/>
    <col min="12551" max="12551" width="13" style="1582" customWidth="1"/>
    <col min="12552" max="12553" width="8.87962962962963" style="1582"/>
    <col min="12554" max="12554" width="5.75" style="1582" customWidth="1"/>
    <col min="12555" max="12555" width="11.75" style="1582" customWidth="1"/>
    <col min="12556" max="12557" width="10.75" style="1582" customWidth="1"/>
    <col min="12558" max="12558" width="10" style="1582" customWidth="1"/>
    <col min="12559" max="12560" width="10.5" style="1582" customWidth="1"/>
    <col min="12561" max="12561" width="10" style="1582" customWidth="1"/>
    <col min="12562" max="12562" width="10.1296296296296" style="1582" customWidth="1"/>
    <col min="12563" max="12563" width="10" style="1582" customWidth="1"/>
    <col min="12564" max="12564" width="26.1296296296296" style="1582" customWidth="1"/>
    <col min="12565" max="12800" width="8.87962962962963" style="1582"/>
    <col min="12801" max="12801" width="9.5" style="1582" customWidth="1"/>
    <col min="12802" max="12802" width="8.87962962962963" style="1582"/>
    <col min="12803" max="12805" width="12.8796296296296" style="1582" customWidth="1"/>
    <col min="12806" max="12806" width="47.5" style="1582" customWidth="1"/>
    <col min="12807" max="12807" width="13" style="1582" customWidth="1"/>
    <col min="12808" max="12809" width="8.87962962962963" style="1582"/>
    <col min="12810" max="12810" width="5.75" style="1582" customWidth="1"/>
    <col min="12811" max="12811" width="11.75" style="1582" customWidth="1"/>
    <col min="12812" max="12813" width="10.75" style="1582" customWidth="1"/>
    <col min="12814" max="12814" width="10" style="1582" customWidth="1"/>
    <col min="12815" max="12816" width="10.5" style="1582" customWidth="1"/>
    <col min="12817" max="12817" width="10" style="1582" customWidth="1"/>
    <col min="12818" max="12818" width="10.1296296296296" style="1582" customWidth="1"/>
    <col min="12819" max="12819" width="10" style="1582" customWidth="1"/>
    <col min="12820" max="12820" width="26.1296296296296" style="1582" customWidth="1"/>
    <col min="12821" max="13056" width="8.87962962962963" style="1582"/>
    <col min="13057" max="13057" width="9.5" style="1582" customWidth="1"/>
    <col min="13058" max="13058" width="8.87962962962963" style="1582"/>
    <col min="13059" max="13061" width="12.8796296296296" style="1582" customWidth="1"/>
    <col min="13062" max="13062" width="47.5" style="1582" customWidth="1"/>
    <col min="13063" max="13063" width="13" style="1582" customWidth="1"/>
    <col min="13064" max="13065" width="8.87962962962963" style="1582"/>
    <col min="13066" max="13066" width="5.75" style="1582" customWidth="1"/>
    <col min="13067" max="13067" width="11.75" style="1582" customWidth="1"/>
    <col min="13068" max="13069" width="10.75" style="1582" customWidth="1"/>
    <col min="13070" max="13070" width="10" style="1582" customWidth="1"/>
    <col min="13071" max="13072" width="10.5" style="1582" customWidth="1"/>
    <col min="13073" max="13073" width="10" style="1582" customWidth="1"/>
    <col min="13074" max="13074" width="10.1296296296296" style="1582" customWidth="1"/>
    <col min="13075" max="13075" width="10" style="1582" customWidth="1"/>
    <col min="13076" max="13076" width="26.1296296296296" style="1582" customWidth="1"/>
    <col min="13077" max="13312" width="8.87962962962963" style="1582"/>
    <col min="13313" max="13313" width="9.5" style="1582" customWidth="1"/>
    <col min="13314" max="13314" width="8.87962962962963" style="1582"/>
    <col min="13315" max="13317" width="12.8796296296296" style="1582" customWidth="1"/>
    <col min="13318" max="13318" width="47.5" style="1582" customWidth="1"/>
    <col min="13319" max="13319" width="13" style="1582" customWidth="1"/>
    <col min="13320" max="13321" width="8.87962962962963" style="1582"/>
    <col min="13322" max="13322" width="5.75" style="1582" customWidth="1"/>
    <col min="13323" max="13323" width="11.75" style="1582" customWidth="1"/>
    <col min="13324" max="13325" width="10.75" style="1582" customWidth="1"/>
    <col min="13326" max="13326" width="10" style="1582" customWidth="1"/>
    <col min="13327" max="13328" width="10.5" style="1582" customWidth="1"/>
    <col min="13329" max="13329" width="10" style="1582" customWidth="1"/>
    <col min="13330" max="13330" width="10.1296296296296" style="1582" customWidth="1"/>
    <col min="13331" max="13331" width="10" style="1582" customWidth="1"/>
    <col min="13332" max="13332" width="26.1296296296296" style="1582" customWidth="1"/>
    <col min="13333" max="13568" width="8.87962962962963" style="1582"/>
    <col min="13569" max="13569" width="9.5" style="1582" customWidth="1"/>
    <col min="13570" max="13570" width="8.87962962962963" style="1582"/>
    <col min="13571" max="13573" width="12.8796296296296" style="1582" customWidth="1"/>
    <col min="13574" max="13574" width="47.5" style="1582" customWidth="1"/>
    <col min="13575" max="13575" width="13" style="1582" customWidth="1"/>
    <col min="13576" max="13577" width="8.87962962962963" style="1582"/>
    <col min="13578" max="13578" width="5.75" style="1582" customWidth="1"/>
    <col min="13579" max="13579" width="11.75" style="1582" customWidth="1"/>
    <col min="13580" max="13581" width="10.75" style="1582" customWidth="1"/>
    <col min="13582" max="13582" width="10" style="1582" customWidth="1"/>
    <col min="13583" max="13584" width="10.5" style="1582" customWidth="1"/>
    <col min="13585" max="13585" width="10" style="1582" customWidth="1"/>
    <col min="13586" max="13586" width="10.1296296296296" style="1582" customWidth="1"/>
    <col min="13587" max="13587" width="10" style="1582" customWidth="1"/>
    <col min="13588" max="13588" width="26.1296296296296" style="1582" customWidth="1"/>
    <col min="13589" max="13824" width="8.87962962962963" style="1582"/>
    <col min="13825" max="13825" width="9.5" style="1582" customWidth="1"/>
    <col min="13826" max="13826" width="8.87962962962963" style="1582"/>
    <col min="13827" max="13829" width="12.8796296296296" style="1582" customWidth="1"/>
    <col min="13830" max="13830" width="47.5" style="1582" customWidth="1"/>
    <col min="13831" max="13831" width="13" style="1582" customWidth="1"/>
    <col min="13832" max="13833" width="8.87962962962963" style="1582"/>
    <col min="13834" max="13834" width="5.75" style="1582" customWidth="1"/>
    <col min="13835" max="13835" width="11.75" style="1582" customWidth="1"/>
    <col min="13836" max="13837" width="10.75" style="1582" customWidth="1"/>
    <col min="13838" max="13838" width="10" style="1582" customWidth="1"/>
    <col min="13839" max="13840" width="10.5" style="1582" customWidth="1"/>
    <col min="13841" max="13841" width="10" style="1582" customWidth="1"/>
    <col min="13842" max="13842" width="10.1296296296296" style="1582" customWidth="1"/>
    <col min="13843" max="13843" width="10" style="1582" customWidth="1"/>
    <col min="13844" max="13844" width="26.1296296296296" style="1582" customWidth="1"/>
    <col min="13845" max="14080" width="8.87962962962963" style="1582"/>
    <col min="14081" max="14081" width="9.5" style="1582" customWidth="1"/>
    <col min="14082" max="14082" width="8.87962962962963" style="1582"/>
    <col min="14083" max="14085" width="12.8796296296296" style="1582" customWidth="1"/>
    <col min="14086" max="14086" width="47.5" style="1582" customWidth="1"/>
    <col min="14087" max="14087" width="13" style="1582" customWidth="1"/>
    <col min="14088" max="14089" width="8.87962962962963" style="1582"/>
    <col min="14090" max="14090" width="5.75" style="1582" customWidth="1"/>
    <col min="14091" max="14091" width="11.75" style="1582" customWidth="1"/>
    <col min="14092" max="14093" width="10.75" style="1582" customWidth="1"/>
    <col min="14094" max="14094" width="10" style="1582" customWidth="1"/>
    <col min="14095" max="14096" width="10.5" style="1582" customWidth="1"/>
    <col min="14097" max="14097" width="10" style="1582" customWidth="1"/>
    <col min="14098" max="14098" width="10.1296296296296" style="1582" customWidth="1"/>
    <col min="14099" max="14099" width="10" style="1582" customWidth="1"/>
    <col min="14100" max="14100" width="26.1296296296296" style="1582" customWidth="1"/>
    <col min="14101" max="14336" width="8.87962962962963" style="1582"/>
    <col min="14337" max="14337" width="9.5" style="1582" customWidth="1"/>
    <col min="14338" max="14338" width="8.87962962962963" style="1582"/>
    <col min="14339" max="14341" width="12.8796296296296" style="1582" customWidth="1"/>
    <col min="14342" max="14342" width="47.5" style="1582" customWidth="1"/>
    <col min="14343" max="14343" width="13" style="1582" customWidth="1"/>
    <col min="14344" max="14345" width="8.87962962962963" style="1582"/>
    <col min="14346" max="14346" width="5.75" style="1582" customWidth="1"/>
    <col min="14347" max="14347" width="11.75" style="1582" customWidth="1"/>
    <col min="14348" max="14349" width="10.75" style="1582" customWidth="1"/>
    <col min="14350" max="14350" width="10" style="1582" customWidth="1"/>
    <col min="14351" max="14352" width="10.5" style="1582" customWidth="1"/>
    <col min="14353" max="14353" width="10" style="1582" customWidth="1"/>
    <col min="14354" max="14354" width="10.1296296296296" style="1582" customWidth="1"/>
    <col min="14355" max="14355" width="10" style="1582" customWidth="1"/>
    <col min="14356" max="14356" width="26.1296296296296" style="1582" customWidth="1"/>
    <col min="14357" max="14592" width="8.87962962962963" style="1582"/>
    <col min="14593" max="14593" width="9.5" style="1582" customWidth="1"/>
    <col min="14594" max="14594" width="8.87962962962963" style="1582"/>
    <col min="14595" max="14597" width="12.8796296296296" style="1582" customWidth="1"/>
    <col min="14598" max="14598" width="47.5" style="1582" customWidth="1"/>
    <col min="14599" max="14599" width="13" style="1582" customWidth="1"/>
    <col min="14600" max="14601" width="8.87962962962963" style="1582"/>
    <col min="14602" max="14602" width="5.75" style="1582" customWidth="1"/>
    <col min="14603" max="14603" width="11.75" style="1582" customWidth="1"/>
    <col min="14604" max="14605" width="10.75" style="1582" customWidth="1"/>
    <col min="14606" max="14606" width="10" style="1582" customWidth="1"/>
    <col min="14607" max="14608" width="10.5" style="1582" customWidth="1"/>
    <col min="14609" max="14609" width="10" style="1582" customWidth="1"/>
    <col min="14610" max="14610" width="10.1296296296296" style="1582" customWidth="1"/>
    <col min="14611" max="14611" width="10" style="1582" customWidth="1"/>
    <col min="14612" max="14612" width="26.1296296296296" style="1582" customWidth="1"/>
    <col min="14613" max="14848" width="8.87962962962963" style="1582"/>
    <col min="14849" max="14849" width="9.5" style="1582" customWidth="1"/>
    <col min="14850" max="14850" width="8.87962962962963" style="1582"/>
    <col min="14851" max="14853" width="12.8796296296296" style="1582" customWidth="1"/>
    <col min="14854" max="14854" width="47.5" style="1582" customWidth="1"/>
    <col min="14855" max="14855" width="13" style="1582" customWidth="1"/>
    <col min="14856" max="14857" width="8.87962962962963" style="1582"/>
    <col min="14858" max="14858" width="5.75" style="1582" customWidth="1"/>
    <col min="14859" max="14859" width="11.75" style="1582" customWidth="1"/>
    <col min="14860" max="14861" width="10.75" style="1582" customWidth="1"/>
    <col min="14862" max="14862" width="10" style="1582" customWidth="1"/>
    <col min="14863" max="14864" width="10.5" style="1582" customWidth="1"/>
    <col min="14865" max="14865" width="10" style="1582" customWidth="1"/>
    <col min="14866" max="14866" width="10.1296296296296" style="1582" customWidth="1"/>
    <col min="14867" max="14867" width="10" style="1582" customWidth="1"/>
    <col min="14868" max="14868" width="26.1296296296296" style="1582" customWidth="1"/>
    <col min="14869" max="15104" width="8.87962962962963" style="1582"/>
    <col min="15105" max="15105" width="9.5" style="1582" customWidth="1"/>
    <col min="15106" max="15106" width="8.87962962962963" style="1582"/>
    <col min="15107" max="15109" width="12.8796296296296" style="1582" customWidth="1"/>
    <col min="15110" max="15110" width="47.5" style="1582" customWidth="1"/>
    <col min="15111" max="15111" width="13" style="1582" customWidth="1"/>
    <col min="15112" max="15113" width="8.87962962962963" style="1582"/>
    <col min="15114" max="15114" width="5.75" style="1582" customWidth="1"/>
    <col min="15115" max="15115" width="11.75" style="1582" customWidth="1"/>
    <col min="15116" max="15117" width="10.75" style="1582" customWidth="1"/>
    <col min="15118" max="15118" width="10" style="1582" customWidth="1"/>
    <col min="15119" max="15120" width="10.5" style="1582" customWidth="1"/>
    <col min="15121" max="15121" width="10" style="1582" customWidth="1"/>
    <col min="15122" max="15122" width="10.1296296296296" style="1582" customWidth="1"/>
    <col min="15123" max="15123" width="10" style="1582" customWidth="1"/>
    <col min="15124" max="15124" width="26.1296296296296" style="1582" customWidth="1"/>
    <col min="15125" max="15360" width="8.87962962962963" style="1582"/>
    <col min="15361" max="15361" width="9.5" style="1582" customWidth="1"/>
    <col min="15362" max="15362" width="8.87962962962963" style="1582"/>
    <col min="15363" max="15365" width="12.8796296296296" style="1582" customWidth="1"/>
    <col min="15366" max="15366" width="47.5" style="1582" customWidth="1"/>
    <col min="15367" max="15367" width="13" style="1582" customWidth="1"/>
    <col min="15368" max="15369" width="8.87962962962963" style="1582"/>
    <col min="15370" max="15370" width="5.75" style="1582" customWidth="1"/>
    <col min="15371" max="15371" width="11.75" style="1582" customWidth="1"/>
    <col min="15372" max="15373" width="10.75" style="1582" customWidth="1"/>
    <col min="15374" max="15374" width="10" style="1582" customWidth="1"/>
    <col min="15375" max="15376" width="10.5" style="1582" customWidth="1"/>
    <col min="15377" max="15377" width="10" style="1582" customWidth="1"/>
    <col min="15378" max="15378" width="10.1296296296296" style="1582" customWidth="1"/>
    <col min="15379" max="15379" width="10" style="1582" customWidth="1"/>
    <col min="15380" max="15380" width="26.1296296296296" style="1582" customWidth="1"/>
    <col min="15381" max="15616" width="8.87962962962963" style="1582"/>
    <col min="15617" max="15617" width="9.5" style="1582" customWidth="1"/>
    <col min="15618" max="15618" width="8.87962962962963" style="1582"/>
    <col min="15619" max="15621" width="12.8796296296296" style="1582" customWidth="1"/>
    <col min="15622" max="15622" width="47.5" style="1582" customWidth="1"/>
    <col min="15623" max="15623" width="13" style="1582" customWidth="1"/>
    <col min="15624" max="15625" width="8.87962962962963" style="1582"/>
    <col min="15626" max="15626" width="5.75" style="1582" customWidth="1"/>
    <col min="15627" max="15627" width="11.75" style="1582" customWidth="1"/>
    <col min="15628" max="15629" width="10.75" style="1582" customWidth="1"/>
    <col min="15630" max="15630" width="10" style="1582" customWidth="1"/>
    <col min="15631" max="15632" width="10.5" style="1582" customWidth="1"/>
    <col min="15633" max="15633" width="10" style="1582" customWidth="1"/>
    <col min="15634" max="15634" width="10.1296296296296" style="1582" customWidth="1"/>
    <col min="15635" max="15635" width="10" style="1582" customWidth="1"/>
    <col min="15636" max="15636" width="26.1296296296296" style="1582" customWidth="1"/>
    <col min="15637" max="15872" width="8.87962962962963" style="1582"/>
    <col min="15873" max="15873" width="9.5" style="1582" customWidth="1"/>
    <col min="15874" max="15874" width="8.87962962962963" style="1582"/>
    <col min="15875" max="15877" width="12.8796296296296" style="1582" customWidth="1"/>
    <col min="15878" max="15878" width="47.5" style="1582" customWidth="1"/>
    <col min="15879" max="15879" width="13" style="1582" customWidth="1"/>
    <col min="15880" max="15881" width="8.87962962962963" style="1582"/>
    <col min="15882" max="15882" width="5.75" style="1582" customWidth="1"/>
    <col min="15883" max="15883" width="11.75" style="1582" customWidth="1"/>
    <col min="15884" max="15885" width="10.75" style="1582" customWidth="1"/>
    <col min="15886" max="15886" width="10" style="1582" customWidth="1"/>
    <col min="15887" max="15888" width="10.5" style="1582" customWidth="1"/>
    <col min="15889" max="15889" width="10" style="1582" customWidth="1"/>
    <col min="15890" max="15890" width="10.1296296296296" style="1582" customWidth="1"/>
    <col min="15891" max="15891" width="10" style="1582" customWidth="1"/>
    <col min="15892" max="15892" width="26.1296296296296" style="1582" customWidth="1"/>
    <col min="15893" max="16128" width="8.87962962962963" style="1582"/>
    <col min="16129" max="16129" width="9.5" style="1582" customWidth="1"/>
    <col min="16130" max="16130" width="8.87962962962963" style="1582"/>
    <col min="16131" max="16133" width="12.8796296296296" style="1582" customWidth="1"/>
    <col min="16134" max="16134" width="47.5" style="1582" customWidth="1"/>
    <col min="16135" max="16135" width="13" style="1582" customWidth="1"/>
    <col min="16136" max="16137" width="8.87962962962963" style="1582"/>
    <col min="16138" max="16138" width="5.75" style="1582" customWidth="1"/>
    <col min="16139" max="16139" width="11.75" style="1582" customWidth="1"/>
    <col min="16140" max="16141" width="10.75" style="1582" customWidth="1"/>
    <col min="16142" max="16142" width="10" style="1582" customWidth="1"/>
    <col min="16143" max="16144" width="10.5" style="1582" customWidth="1"/>
    <col min="16145" max="16145" width="10" style="1582" customWidth="1"/>
    <col min="16146" max="16146" width="10.1296296296296" style="1582" customWidth="1"/>
    <col min="16147" max="16147" width="10" style="1582" customWidth="1"/>
    <col min="16148" max="16148" width="26.1296296296296" style="1582" customWidth="1"/>
    <col min="16149" max="16384" width="8.87962962962963" style="1582"/>
  </cols>
  <sheetData>
    <row r="1" ht="21" customHeight="1" spans="1:21">
      <c r="A1" s="1587" t="s">
        <v>1246</v>
      </c>
      <c r="B1" s="1588"/>
      <c r="C1" s="1589"/>
      <c r="D1" s="1589"/>
      <c r="E1" s="1590"/>
      <c r="F1" s="1590"/>
      <c r="G1" s="1591"/>
      <c r="J1" s="1672" t="s">
        <v>1247</v>
      </c>
      <c r="K1" s="1673"/>
      <c r="L1" s="1673"/>
      <c r="M1" s="1673"/>
      <c r="N1" s="1673"/>
      <c r="O1" s="1673"/>
      <c r="P1" s="1673"/>
      <c r="Q1" s="1673"/>
      <c r="R1" s="1718"/>
      <c r="S1" s="1719"/>
      <c r="T1" s="1719"/>
      <c r="U1" s="1719"/>
    </row>
    <row r="2" s="1580" customFormat="1" customHeight="1" spans="1:22">
      <c r="A2" s="1592" t="s">
        <v>1048</v>
      </c>
      <c r="B2" s="1593" t="e">
        <f>C40</f>
        <v>#DIV/0!</v>
      </c>
      <c r="C2" s="1589" t="s">
        <v>1049</v>
      </c>
      <c r="D2" s="1589"/>
      <c r="E2" s="1594"/>
      <c r="F2" s="1595"/>
      <c r="G2" s="1596"/>
      <c r="H2" s="1597"/>
      <c r="I2" s="1674"/>
      <c r="J2" s="1675" t="s">
        <v>1248</v>
      </c>
      <c r="K2" s="1676"/>
      <c r="L2" s="1623" t="s">
        <v>1249</v>
      </c>
      <c r="M2" s="1623" t="s">
        <v>1250</v>
      </c>
      <c r="N2" s="1623" t="s">
        <v>1251</v>
      </c>
      <c r="O2" s="1623" t="s">
        <v>1252</v>
      </c>
      <c r="P2" s="1623" t="s">
        <v>1253</v>
      </c>
      <c r="Q2" s="1720" t="s">
        <v>1254</v>
      </c>
      <c r="R2" s="1721" t="s">
        <v>1255</v>
      </c>
      <c r="S2" s="1719"/>
      <c r="T2" s="1719"/>
      <c r="U2" s="1719"/>
      <c r="V2" s="1674"/>
    </row>
    <row r="3" s="1580" customFormat="1" customHeight="1" spans="1:22">
      <c r="A3" s="1598" t="s">
        <v>1050</v>
      </c>
      <c r="B3" s="1599" t="e">
        <f>ROUND(B2*10000/B4,0)</f>
        <v>#DIV/0!</v>
      </c>
      <c r="C3" s="1589" t="s">
        <v>1051</v>
      </c>
      <c r="D3" s="1589"/>
      <c r="E3" s="1594"/>
      <c r="F3" s="1595"/>
      <c r="G3" s="1596"/>
      <c r="H3" s="1597"/>
      <c r="I3" s="1674"/>
      <c r="J3" s="1677" t="s">
        <v>1256</v>
      </c>
      <c r="K3" s="1678"/>
      <c r="L3" s="1679"/>
      <c r="M3" s="1679"/>
      <c r="N3" s="1679"/>
      <c r="O3" s="1679"/>
      <c r="P3" s="1679"/>
      <c r="Q3" s="1722"/>
      <c r="R3" s="1723">
        <f>SUM(L3:Q3)</f>
        <v>0</v>
      </c>
      <c r="S3" s="1719"/>
      <c r="T3" s="1719"/>
      <c r="U3" s="1719"/>
      <c r="V3" s="1674"/>
    </row>
    <row r="4" s="1580" customFormat="1" customHeight="1" spans="1:22">
      <c r="A4" s="1600" t="s">
        <v>1257</v>
      </c>
      <c r="B4" s="1601"/>
      <c r="C4" s="1589"/>
      <c r="D4" s="1589"/>
      <c r="E4" s="1594"/>
      <c r="F4" s="1595"/>
      <c r="G4" s="1596"/>
      <c r="H4" s="1597"/>
      <c r="I4" s="1674"/>
      <c r="J4" s="1677" t="s">
        <v>1258</v>
      </c>
      <c r="K4" s="1678"/>
      <c r="L4" s="1680"/>
      <c r="M4" s="1680"/>
      <c r="N4" s="1680"/>
      <c r="O4" s="1680"/>
      <c r="P4" s="1680"/>
      <c r="Q4" s="1724"/>
      <c r="R4" s="1725">
        <f>SUM(L4:Q4)</f>
        <v>0</v>
      </c>
      <c r="S4" s="1719"/>
      <c r="T4" s="1719"/>
      <c r="U4" s="1719"/>
      <c r="V4" s="1674"/>
    </row>
    <row r="5" s="1580" customFormat="1" customHeight="1" spans="1:22">
      <c r="A5" s="1602" t="s">
        <v>1259</v>
      </c>
      <c r="B5" s="1603"/>
      <c r="C5" s="1589"/>
      <c r="D5" s="1604"/>
      <c r="E5" s="1595"/>
      <c r="F5" s="1595"/>
      <c r="G5" s="1596"/>
      <c r="H5" s="1597"/>
      <c r="I5" s="1674"/>
      <c r="J5" s="1681" t="s">
        <v>1260</v>
      </c>
      <c r="K5" s="1682"/>
      <c r="L5" s="1682"/>
      <c r="M5" s="1683"/>
      <c r="N5" s="1683"/>
      <c r="O5" s="1683"/>
      <c r="P5" s="1683"/>
      <c r="Q5" s="1683"/>
      <c r="R5" s="1721">
        <f>SUM(R14,R19,R24,R25,R27,R28)</f>
        <v>0</v>
      </c>
      <c r="S5" s="1719"/>
      <c r="T5" s="1719" t="s">
        <v>1261</v>
      </c>
      <c r="U5" s="1719" t="e">
        <f>ROUND(R5*10000/365/R3,1)</f>
        <v>#DIV/0!</v>
      </c>
      <c r="V5" s="1674"/>
    </row>
    <row r="6" s="1580" customFormat="1" customHeight="1" spans="1:22">
      <c r="A6" s="1605" t="s">
        <v>1262</v>
      </c>
      <c r="B6" s="1606"/>
      <c r="C6" s="1607"/>
      <c r="D6" s="1608"/>
      <c r="E6" s="1609"/>
      <c r="F6" s="1610"/>
      <c r="G6" s="1611"/>
      <c r="H6" s="1597"/>
      <c r="I6" s="1674"/>
      <c r="J6" s="1684">
        <v>1</v>
      </c>
      <c r="K6" s="1685" t="s">
        <v>1263</v>
      </c>
      <c r="L6" s="1686" t="s">
        <v>1264</v>
      </c>
      <c r="M6" s="1687" t="s">
        <v>1265</v>
      </c>
      <c r="N6" s="1687" t="s">
        <v>1266</v>
      </c>
      <c r="O6" s="1687" t="s">
        <v>1267</v>
      </c>
      <c r="P6" s="1687" t="s">
        <v>1268</v>
      </c>
      <c r="Q6" s="1687" t="s">
        <v>1269</v>
      </c>
      <c r="R6" s="1723" t="s">
        <v>1270</v>
      </c>
      <c r="S6" s="1719"/>
      <c r="T6" s="1719" t="s">
        <v>1271</v>
      </c>
      <c r="U6" s="1719"/>
      <c r="V6" s="1674"/>
    </row>
    <row r="7" s="1580" customFormat="1" customHeight="1" spans="1:22">
      <c r="A7" s="1612" t="s">
        <v>1272</v>
      </c>
      <c r="B7" s="1613"/>
      <c r="C7" s="1614"/>
      <c r="D7" s="1615">
        <f>SUM(D9,D10,D11,D17,0)</f>
        <v>0</v>
      </c>
      <c r="E7" s="1613" t="e">
        <f>E9+E10+E11+E17</f>
        <v>#DIV/0!</v>
      </c>
      <c r="F7" s="1616"/>
      <c r="G7" s="1617"/>
      <c r="H7" s="1597"/>
      <c r="I7" s="1674"/>
      <c r="J7" s="1684"/>
      <c r="K7" s="1688"/>
      <c r="L7" s="1689" t="s">
        <v>1273</v>
      </c>
      <c r="M7" s="1690"/>
      <c r="N7" s="1601"/>
      <c r="O7" s="1601"/>
      <c r="P7" s="1601"/>
      <c r="Q7" s="1601">
        <v>365</v>
      </c>
      <c r="R7" s="1726">
        <f>ROUND(M7*N7*O7*P7*Q7/10000,0)</f>
        <v>0</v>
      </c>
      <c r="S7" s="1719"/>
      <c r="T7" s="1719" t="s">
        <v>1274</v>
      </c>
      <c r="U7" s="1719"/>
      <c r="V7" s="1674"/>
    </row>
    <row r="8" s="1580" customFormat="1" customHeight="1" spans="1:22">
      <c r="A8" s="1618" t="s">
        <v>1275</v>
      </c>
      <c r="B8" s="1619" t="s">
        <v>1276</v>
      </c>
      <c r="C8" s="1620"/>
      <c r="D8" s="1621" t="s">
        <v>1277</v>
      </c>
      <c r="E8" s="1621" t="s">
        <v>1278</v>
      </c>
      <c r="F8" s="1622" t="s">
        <v>1279</v>
      </c>
      <c r="G8" s="1617"/>
      <c r="H8" s="1597"/>
      <c r="I8" s="1674"/>
      <c r="J8" s="1684"/>
      <c r="K8" s="1688"/>
      <c r="L8" s="1689" t="s">
        <v>1280</v>
      </c>
      <c r="M8" s="1690"/>
      <c r="N8" s="1601"/>
      <c r="O8" s="1601"/>
      <c r="P8" s="1601"/>
      <c r="Q8" s="1601">
        <v>365</v>
      </c>
      <c r="R8" s="1726">
        <f t="shared" ref="R8:R13" si="0">ROUND(M8*N8*O8*P8*Q8/10000,0)</f>
        <v>0</v>
      </c>
      <c r="S8" s="1719"/>
      <c r="T8" s="1719" t="s">
        <v>1281</v>
      </c>
      <c r="U8" s="1719"/>
      <c r="V8" s="1674"/>
    </row>
    <row r="9" s="1580" customFormat="1" customHeight="1" spans="1:22">
      <c r="A9" s="1618">
        <v>1</v>
      </c>
      <c r="B9" s="1619" t="s">
        <v>1282</v>
      </c>
      <c r="C9" s="1620"/>
      <c r="D9" s="1621">
        <f>ROUND(D6*E9,0)</f>
        <v>0</v>
      </c>
      <c r="E9" s="1623"/>
      <c r="F9" s="1624" t="s">
        <v>1283</v>
      </c>
      <c r="G9" s="1611"/>
      <c r="H9" s="1597"/>
      <c r="I9" s="1674"/>
      <c r="J9" s="1684"/>
      <c r="K9" s="1688"/>
      <c r="L9" s="1689" t="s">
        <v>1284</v>
      </c>
      <c r="M9" s="1690"/>
      <c r="N9" s="1601"/>
      <c r="O9" s="1601"/>
      <c r="P9" s="1601"/>
      <c r="Q9" s="1601">
        <v>365</v>
      </c>
      <c r="R9" s="1726">
        <f t="shared" si="0"/>
        <v>0</v>
      </c>
      <c r="S9" s="1719"/>
      <c r="T9" s="1719"/>
      <c r="U9" s="1719"/>
      <c r="V9" s="1674"/>
    </row>
    <row r="10" s="1580" customFormat="1" customHeight="1" spans="1:22">
      <c r="A10" s="1618">
        <v>2</v>
      </c>
      <c r="B10" s="1619" t="s">
        <v>1285</v>
      </c>
      <c r="C10" s="1620"/>
      <c r="D10" s="1621">
        <f>ROUND(D6*E10,0)</f>
        <v>0</v>
      </c>
      <c r="E10" s="1623"/>
      <c r="F10" s="1624" t="s">
        <v>1286</v>
      </c>
      <c r="G10" s="1611"/>
      <c r="H10" s="1597"/>
      <c r="I10" s="1674"/>
      <c r="J10" s="1684"/>
      <c r="K10" s="1688"/>
      <c r="L10" s="1689" t="s">
        <v>1287</v>
      </c>
      <c r="M10" s="1690"/>
      <c r="N10" s="1601"/>
      <c r="O10" s="1601"/>
      <c r="P10" s="1601"/>
      <c r="Q10" s="1601">
        <v>365</v>
      </c>
      <c r="R10" s="1726">
        <f t="shared" si="0"/>
        <v>0</v>
      </c>
      <c r="S10" s="1719"/>
      <c r="T10" s="1719"/>
      <c r="U10" s="1719"/>
      <c r="V10" s="1674"/>
    </row>
    <row r="11" s="1580" customFormat="1" customHeight="1" spans="1:22">
      <c r="A11" s="1618">
        <v>3</v>
      </c>
      <c r="B11" s="1619" t="s">
        <v>1288</v>
      </c>
      <c r="C11" s="1620"/>
      <c r="D11" s="1621">
        <f>D12+D14+D15+D16</f>
        <v>0</v>
      </c>
      <c r="E11" s="1621" t="e">
        <f>D11/D6</f>
        <v>#DIV/0!</v>
      </c>
      <c r="F11" s="1622"/>
      <c r="G11" s="1617"/>
      <c r="H11" s="1597"/>
      <c r="I11" s="1674"/>
      <c r="J11" s="1684"/>
      <c r="K11" s="1688"/>
      <c r="L11" s="1689" t="s">
        <v>1289</v>
      </c>
      <c r="M11" s="1690"/>
      <c r="N11" s="1601"/>
      <c r="O11" s="1601"/>
      <c r="P11" s="1601"/>
      <c r="Q11" s="1601">
        <v>365</v>
      </c>
      <c r="R11" s="1726">
        <f t="shared" si="0"/>
        <v>0</v>
      </c>
      <c r="S11" s="1719"/>
      <c r="T11" s="1719"/>
      <c r="U11" s="1719"/>
      <c r="V11" s="1674"/>
    </row>
    <row r="12" s="1580" customFormat="1" customHeight="1" spans="1:22">
      <c r="A12" s="1625" t="s">
        <v>1290</v>
      </c>
      <c r="B12" s="1626" t="s">
        <v>1291</v>
      </c>
      <c r="C12" s="1627"/>
      <c r="D12" s="1628">
        <f>ROUND(D13*1.2%*(1-30%),0)</f>
        <v>0</v>
      </c>
      <c r="E12" s="1628">
        <v>0.012</v>
      </c>
      <c r="F12" s="1622" t="s">
        <v>1292</v>
      </c>
      <c r="G12" s="1617"/>
      <c r="H12" s="1597"/>
      <c r="I12" s="1674"/>
      <c r="J12" s="1684"/>
      <c r="K12" s="1688"/>
      <c r="L12" s="1689" t="s">
        <v>1293</v>
      </c>
      <c r="M12" s="1690"/>
      <c r="N12" s="1601"/>
      <c r="O12" s="1601"/>
      <c r="P12" s="1601"/>
      <c r="Q12" s="1601">
        <v>365</v>
      </c>
      <c r="R12" s="1726">
        <f t="shared" si="0"/>
        <v>0</v>
      </c>
      <c r="S12" s="1719"/>
      <c r="T12" s="1719"/>
      <c r="U12" s="1719"/>
      <c r="V12" s="1674"/>
    </row>
    <row r="13" s="1580" customFormat="1" customHeight="1" spans="1:22">
      <c r="A13" s="1625"/>
      <c r="B13" s="1626"/>
      <c r="C13" s="1629" t="s">
        <v>1294</v>
      </c>
      <c r="D13" s="1601"/>
      <c r="E13" s="1630"/>
      <c r="F13" s="1622"/>
      <c r="G13" s="1617"/>
      <c r="H13" s="1597"/>
      <c r="I13" s="1674"/>
      <c r="J13" s="1684"/>
      <c r="K13" s="1688"/>
      <c r="L13" s="1689" t="s">
        <v>1295</v>
      </c>
      <c r="M13" s="1690"/>
      <c r="N13" s="1601"/>
      <c r="O13" s="1601"/>
      <c r="P13" s="1601"/>
      <c r="Q13" s="1601">
        <v>365</v>
      </c>
      <c r="R13" s="1726">
        <f t="shared" si="0"/>
        <v>0</v>
      </c>
      <c r="S13" s="1719"/>
      <c r="T13" s="1719"/>
      <c r="U13" s="1719"/>
      <c r="V13" s="1674"/>
    </row>
    <row r="14" s="1580" customFormat="1" customHeight="1" spans="1:22">
      <c r="A14" s="1625" t="s">
        <v>1296</v>
      </c>
      <c r="B14" s="1626" t="s">
        <v>1297</v>
      </c>
      <c r="C14" s="1627"/>
      <c r="D14" s="1628">
        <f>ROUND(E14*B5/10000,0)</f>
        <v>0</v>
      </c>
      <c r="E14" s="1601"/>
      <c r="F14" s="1622" t="s">
        <v>1298</v>
      </c>
      <c r="G14" s="1617"/>
      <c r="H14" s="1597"/>
      <c r="I14" s="1674"/>
      <c r="J14" s="1684"/>
      <c r="K14" s="1691"/>
      <c r="L14" s="1692" t="s">
        <v>1299</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1300</v>
      </c>
      <c r="B15" s="1626" t="s">
        <v>1301</v>
      </c>
      <c r="C15" s="1627"/>
      <c r="D15" s="1628">
        <f>ROUND(D6*E15,0)</f>
        <v>0</v>
      </c>
      <c r="E15" s="1628">
        <v>0.055</v>
      </c>
      <c r="F15" s="1622" t="s">
        <v>1302</v>
      </c>
      <c r="G15" s="1611"/>
      <c r="H15" s="1597"/>
      <c r="I15" s="1674"/>
      <c r="J15" s="1684">
        <v>2</v>
      </c>
      <c r="K15" s="1685" t="s">
        <v>1303</v>
      </c>
      <c r="L15" s="1689" t="s">
        <v>1304</v>
      </c>
      <c r="M15" s="1690" t="s">
        <v>1305</v>
      </c>
      <c r="N15" s="1690" t="s">
        <v>1306</v>
      </c>
      <c r="O15" s="1601" t="s">
        <v>1307</v>
      </c>
      <c r="P15" s="1601" t="s">
        <v>1269</v>
      </c>
      <c r="Q15" s="1601" t="s">
        <v>124</v>
      </c>
      <c r="R15" s="1726" t="s">
        <v>1270</v>
      </c>
      <c r="S15" s="1719"/>
      <c r="T15" s="1719"/>
      <c r="U15" s="1719"/>
      <c r="V15" s="1674"/>
    </row>
    <row r="16" s="1580" customFormat="1" customHeight="1" spans="1:22">
      <c r="A16" s="1625" t="s">
        <v>1308</v>
      </c>
      <c r="B16" s="1626" t="s">
        <v>1309</v>
      </c>
      <c r="C16" s="1627"/>
      <c r="D16" s="1601">
        <f>D6*E16</f>
        <v>0</v>
      </c>
      <c r="E16" s="1601"/>
      <c r="F16" s="1624" t="s">
        <v>1310</v>
      </c>
      <c r="G16" s="1611"/>
      <c r="H16" s="1597"/>
      <c r="I16" s="1674"/>
      <c r="J16" s="1684"/>
      <c r="K16" s="1688"/>
      <c r="L16" s="1689" t="s">
        <v>1311</v>
      </c>
      <c r="M16" s="1690"/>
      <c r="N16" s="1690"/>
      <c r="O16" s="1601"/>
      <c r="P16" s="1601">
        <v>365</v>
      </c>
      <c r="Q16" s="1601"/>
      <c r="R16" s="1726">
        <f>ROUND(M16*N16*O16*P16/10000,0)</f>
        <v>0</v>
      </c>
      <c r="S16" s="1719"/>
      <c r="T16" s="1719"/>
      <c r="U16" s="1719"/>
      <c r="V16" s="1674"/>
    </row>
    <row r="17" s="1580" customFormat="1" customHeight="1" spans="1:22">
      <c r="A17" s="1631">
        <v>4</v>
      </c>
      <c r="B17" s="1632" t="s">
        <v>1312</v>
      </c>
      <c r="C17" s="1633"/>
      <c r="D17" s="1634">
        <f>ROUND(D6*E17,0)</f>
        <v>0</v>
      </c>
      <c r="E17" s="1635"/>
      <c r="F17" s="1636" t="s">
        <v>1313</v>
      </c>
      <c r="G17" s="1611"/>
      <c r="H17" s="1597"/>
      <c r="I17" s="1674"/>
      <c r="J17" s="1684"/>
      <c r="K17" s="1688"/>
      <c r="L17" s="1689" t="s">
        <v>1314</v>
      </c>
      <c r="M17" s="1690"/>
      <c r="N17" s="1690"/>
      <c r="O17" s="1601"/>
      <c r="P17" s="1601">
        <v>365</v>
      </c>
      <c r="Q17" s="1601"/>
      <c r="R17" s="1726">
        <f>ROUND(M17*N17*O17*P17/10000,0)</f>
        <v>0</v>
      </c>
      <c r="S17" s="1719"/>
      <c r="T17" s="1719"/>
      <c r="U17" s="1719"/>
      <c r="V17" s="1674"/>
    </row>
    <row r="18" s="1580" customFormat="1" customHeight="1" spans="1:22">
      <c r="A18" s="1612" t="s">
        <v>1315</v>
      </c>
      <c r="B18" s="1613"/>
      <c r="C18" s="1613"/>
      <c r="D18" s="1613">
        <f>ROUND(D6*E18,0)</f>
        <v>0</v>
      </c>
      <c r="E18" s="1637"/>
      <c r="F18" s="1638" t="s">
        <v>1316</v>
      </c>
      <c r="G18" s="1611"/>
      <c r="H18" s="1597"/>
      <c r="I18" s="1674"/>
      <c r="J18" s="1684"/>
      <c r="K18" s="1688"/>
      <c r="L18" s="1689" t="s">
        <v>1317</v>
      </c>
      <c r="M18" s="1690"/>
      <c r="N18" s="1690"/>
      <c r="O18" s="1601"/>
      <c r="P18" s="1601">
        <v>365</v>
      </c>
      <c r="Q18" s="1601"/>
      <c r="R18" s="1726">
        <f>ROUND(M18*N18*O18*P18/10000,0)</f>
        <v>0</v>
      </c>
      <c r="S18" s="1719"/>
      <c r="T18" s="1719"/>
      <c r="U18" s="1719"/>
      <c r="V18" s="1674"/>
    </row>
    <row r="19" s="1580" customFormat="1" customHeight="1" spans="1:22">
      <c r="A19" s="1639" t="s">
        <v>1318</v>
      </c>
      <c r="B19" s="1609"/>
      <c r="C19" s="1609"/>
      <c r="D19" s="1609"/>
      <c r="E19" s="1609"/>
      <c r="F19" s="1610"/>
      <c r="G19" s="1617"/>
      <c r="H19" s="1597"/>
      <c r="I19" s="1674"/>
      <c r="J19" s="1684"/>
      <c r="K19" s="1691"/>
      <c r="L19" s="1692" t="s">
        <v>1299</v>
      </c>
      <c r="M19" s="1693"/>
      <c r="N19" s="1693">
        <f>SUM(N16:N18)</f>
        <v>0</v>
      </c>
      <c r="O19" s="1694"/>
      <c r="P19" s="1695" t="s">
        <v>1319</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1320</v>
      </c>
      <c r="L20" s="1689" t="s">
        <v>1321</v>
      </c>
      <c r="M20" s="1690" t="s">
        <v>1322</v>
      </c>
      <c r="N20" s="1696" t="s">
        <v>1323</v>
      </c>
      <c r="O20" s="1601" t="s">
        <v>1324</v>
      </c>
      <c r="P20" s="1601" t="s">
        <v>1269</v>
      </c>
      <c r="Q20" s="1601" t="s">
        <v>124</v>
      </c>
      <c r="R20" s="1726" t="s">
        <v>1270</v>
      </c>
      <c r="S20" s="1716"/>
      <c r="T20" s="1716"/>
      <c r="U20" s="1716"/>
      <c r="V20" s="1674"/>
    </row>
    <row r="21" s="1580" customFormat="1" customHeight="1" spans="1:22">
      <c r="A21" s="1612"/>
      <c r="B21" s="1613"/>
      <c r="C21" s="1619" t="s">
        <v>1325</v>
      </c>
      <c r="D21" s="1640" t="s">
        <v>1326</v>
      </c>
      <c r="E21" s="1620" t="s">
        <v>1327</v>
      </c>
      <c r="F21" s="1616"/>
      <c r="G21" s="1617"/>
      <c r="H21" s="1597"/>
      <c r="I21" s="1674"/>
      <c r="J21" s="1684"/>
      <c r="K21" s="1688"/>
      <c r="L21" s="1689" t="s">
        <v>1328</v>
      </c>
      <c r="M21" s="1690"/>
      <c r="N21" s="1690"/>
      <c r="O21" s="1601"/>
      <c r="P21" s="1601">
        <v>365</v>
      </c>
      <c r="Q21" s="1601"/>
      <c r="R21" s="1728">
        <f>ROUND(M21*N21*O21*P21/10000,0)</f>
        <v>0</v>
      </c>
      <c r="S21" s="1716"/>
      <c r="T21" s="1716"/>
      <c r="U21" s="1716"/>
      <c r="V21" s="1674"/>
    </row>
    <row r="22" s="1580" customFormat="1" customHeight="1" spans="1:22">
      <c r="A22" s="1612"/>
      <c r="B22" s="1613"/>
      <c r="C22" s="1641" t="s">
        <v>1329</v>
      </c>
      <c r="D22" s="1642" t="s">
        <v>1330</v>
      </c>
      <c r="E22" s="1643" t="s">
        <v>1331</v>
      </c>
      <c r="F22" s="1616"/>
      <c r="G22" s="1644"/>
      <c r="H22" s="1597"/>
      <c r="I22" s="1674"/>
      <c r="J22" s="1684"/>
      <c r="K22" s="1688"/>
      <c r="L22" s="1689" t="s">
        <v>1332</v>
      </c>
      <c r="M22" s="1690"/>
      <c r="N22" s="1690"/>
      <c r="O22" s="1601"/>
      <c r="P22" s="1601">
        <v>365</v>
      </c>
      <c r="Q22" s="1601"/>
      <c r="R22" s="1728">
        <f>ROUND(M22*N22*O22*P22/10000,0)</f>
        <v>0</v>
      </c>
      <c r="S22" s="1716"/>
      <c r="T22" s="1716"/>
      <c r="U22" s="1716"/>
      <c r="V22" s="1674"/>
    </row>
    <row r="23" s="1580" customFormat="1" customHeight="1" spans="1:22">
      <c r="A23" s="1645">
        <v>1</v>
      </c>
      <c r="B23" s="1628" t="s">
        <v>1333</v>
      </c>
      <c r="C23" s="1626">
        <f>D6</f>
        <v>0</v>
      </c>
      <c r="D23" s="1646">
        <f>C23*(1+D24)</f>
        <v>0</v>
      </c>
      <c r="E23" s="1627">
        <f>D23*(1+E24)</f>
        <v>0</v>
      </c>
      <c r="F23" s="1647"/>
      <c r="G23" s="1648"/>
      <c r="H23" s="1597"/>
      <c r="I23" s="1674"/>
      <c r="J23" s="1684"/>
      <c r="K23" s="1688"/>
      <c r="L23" s="1689" t="s">
        <v>1334</v>
      </c>
      <c r="M23" s="1690"/>
      <c r="N23" s="1690"/>
      <c r="O23" s="1601"/>
      <c r="P23" s="1601">
        <v>365</v>
      </c>
      <c r="Q23" s="1601"/>
      <c r="R23" s="1728">
        <f>ROUND(M23*N23*O23*P23/10000,0)</f>
        <v>0</v>
      </c>
      <c r="S23" s="1719"/>
      <c r="T23" s="1719"/>
      <c r="U23" s="1719"/>
      <c r="V23" s="1674"/>
    </row>
    <row r="24" s="1580" customFormat="1" customHeight="1" spans="1:22">
      <c r="A24" s="1649"/>
      <c r="B24" s="1650" t="s">
        <v>1335</v>
      </c>
      <c r="C24" s="1651"/>
      <c r="D24" s="1652"/>
      <c r="E24" s="1653"/>
      <c r="F24" s="1654"/>
      <c r="G24" s="1648"/>
      <c r="H24" s="1597"/>
      <c r="I24" s="1674"/>
      <c r="J24" s="1684"/>
      <c r="K24" s="1691"/>
      <c r="L24" s="1692" t="s">
        <v>1299</v>
      </c>
      <c r="M24" s="1693">
        <f>SUM(M21:M23)</f>
        <v>0</v>
      </c>
      <c r="N24" s="1693"/>
      <c r="O24" s="1694"/>
      <c r="P24" s="1695" t="s">
        <v>1319</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1336</v>
      </c>
      <c r="L25" s="1698"/>
      <c r="M25" s="1698"/>
      <c r="N25" s="1698"/>
      <c r="O25" s="1698"/>
      <c r="P25" s="1699"/>
      <c r="Q25" s="1690">
        <v>0</v>
      </c>
      <c r="R25" s="1727">
        <f>ROUND(R14*Q25,0)</f>
        <v>0</v>
      </c>
      <c r="S25" s="1719"/>
      <c r="T25" s="1719"/>
      <c r="U25" s="1719"/>
      <c r="V25" s="1705"/>
    </row>
    <row r="26" s="1581" customFormat="1" customHeight="1" spans="1:22">
      <c r="A26" s="1645">
        <v>2</v>
      </c>
      <c r="B26" s="1628" t="s">
        <v>1337</v>
      </c>
      <c r="C26" s="1626">
        <f>D7</f>
        <v>0</v>
      </c>
      <c r="D26" s="1646">
        <f>D23*D27</f>
        <v>0</v>
      </c>
      <c r="E26" s="1627">
        <f>E23*E27</f>
        <v>0</v>
      </c>
      <c r="F26" s="1647"/>
      <c r="G26" s="1648"/>
      <c r="H26" s="1597"/>
      <c r="I26" s="1674"/>
      <c r="J26" s="1700">
        <v>5</v>
      </c>
      <c r="K26" s="1701" t="s">
        <v>1338</v>
      </c>
      <c r="L26" s="1702"/>
      <c r="M26" s="1703"/>
      <c r="N26" s="1704" t="s">
        <v>366</v>
      </c>
      <c r="O26" s="1704" t="s">
        <v>1339</v>
      </c>
      <c r="P26" s="1704" t="s">
        <v>1340</v>
      </c>
      <c r="Q26" s="1704" t="s">
        <v>1341</v>
      </c>
      <c r="R26" s="1723" t="s">
        <v>1270</v>
      </c>
      <c r="S26" s="1729"/>
      <c r="T26" s="1729"/>
      <c r="U26" s="1729"/>
      <c r="V26" s="1705"/>
    </row>
    <row r="27" s="1580" customFormat="1" customHeight="1" spans="1:22">
      <c r="A27" s="1649"/>
      <c r="B27" s="1650" t="s">
        <v>1342</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1343</v>
      </c>
      <c r="F28" s="1654"/>
      <c r="G28" s="1644"/>
      <c r="H28" s="1655"/>
      <c r="I28" s="1705"/>
      <c r="J28" s="1711">
        <v>6</v>
      </c>
      <c r="K28" s="1712" t="s">
        <v>1344</v>
      </c>
      <c r="L28" s="1713" t="s">
        <v>1345</v>
      </c>
      <c r="M28" s="1714"/>
      <c r="N28" s="1713" t="s">
        <v>1346</v>
      </c>
      <c r="O28" s="1715"/>
      <c r="P28" s="1713" t="s">
        <v>1347</v>
      </c>
      <c r="Q28" s="1730">
        <v>0.015</v>
      </c>
      <c r="R28" s="1731"/>
      <c r="S28" s="1716"/>
      <c r="T28" s="1716"/>
      <c r="U28" s="1716"/>
      <c r="V28" s="1705"/>
    </row>
    <row r="29" s="1581" customFormat="1" customHeight="1" spans="1:22">
      <c r="A29" s="1645">
        <v>3</v>
      </c>
      <c r="B29" s="1628" t="s">
        <v>1348</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1342</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1349</v>
      </c>
      <c r="K31" s="1673"/>
      <c r="L31" s="1673"/>
      <c r="M31" s="1673"/>
      <c r="N31" s="1673"/>
      <c r="O31" s="1673"/>
      <c r="P31" s="1673"/>
      <c r="Q31" s="1673"/>
      <c r="R31" s="1718"/>
      <c r="S31" s="1716"/>
      <c r="T31" s="1719"/>
      <c r="U31" s="1719"/>
      <c r="V31" s="1705"/>
    </row>
    <row r="32" s="1581" customFormat="1" customHeight="1" spans="1:22">
      <c r="A32" s="1645">
        <v>4</v>
      </c>
      <c r="B32" s="1628" t="s">
        <v>1350</v>
      </c>
      <c r="C32" s="1626">
        <f>C23-C26-C29</f>
        <v>0</v>
      </c>
      <c r="D32" s="1646">
        <f>D23-D26-D29</f>
        <v>0</v>
      </c>
      <c r="E32" s="1627">
        <f>E23-E26-E29</f>
        <v>0</v>
      </c>
      <c r="F32" s="1647"/>
      <c r="G32" s="1644"/>
      <c r="H32" s="1597"/>
      <c r="I32" s="1674"/>
      <c r="J32" s="1675" t="s">
        <v>1248</v>
      </c>
      <c r="K32" s="1676"/>
      <c r="L32" s="1623" t="s">
        <v>1249</v>
      </c>
      <c r="M32" s="1623" t="s">
        <v>1250</v>
      </c>
      <c r="N32" s="1623" t="s">
        <v>1251</v>
      </c>
      <c r="O32" s="1623" t="s">
        <v>1252</v>
      </c>
      <c r="P32" s="1623" t="s">
        <v>1253</v>
      </c>
      <c r="Q32" s="1720" t="s">
        <v>1254</v>
      </c>
      <c r="R32" s="1694" t="s">
        <v>1255</v>
      </c>
      <c r="S32" s="1716"/>
      <c r="T32" s="1719"/>
      <c r="U32" s="1719"/>
      <c r="V32" s="1705"/>
    </row>
    <row r="33" s="1580" customFormat="1" customHeight="1" spans="1:22">
      <c r="A33" s="1645"/>
      <c r="B33" s="1628"/>
      <c r="C33" s="1626"/>
      <c r="D33" s="1646"/>
      <c r="E33" s="1627"/>
      <c r="F33" s="1647"/>
      <c r="G33" s="1644"/>
      <c r="H33" s="1655"/>
      <c r="I33" s="1705"/>
      <c r="J33" s="1677" t="s">
        <v>1256</v>
      </c>
      <c r="K33" s="1678"/>
      <c r="L33" s="1679"/>
      <c r="M33" s="1679"/>
      <c r="N33" s="1679"/>
      <c r="O33" s="1679"/>
      <c r="P33" s="1679"/>
      <c r="Q33" s="1722"/>
      <c r="R33" s="1687">
        <f>SUM(L33:Q33)</f>
        <v>0</v>
      </c>
      <c r="S33" s="1716"/>
      <c r="T33" s="1719"/>
      <c r="U33" s="1719"/>
      <c r="V33" s="1674"/>
    </row>
    <row r="34" s="1580" customFormat="1" customHeight="1" spans="1:22">
      <c r="A34" s="1645">
        <v>5</v>
      </c>
      <c r="B34" s="1628" t="s">
        <v>1351</v>
      </c>
      <c r="C34" s="1658"/>
      <c r="D34" s="1659"/>
      <c r="E34" s="1660"/>
      <c r="F34" s="1647"/>
      <c r="G34" s="1644"/>
      <c r="H34" s="1655"/>
      <c r="I34" s="1705"/>
      <c r="J34" s="1677" t="s">
        <v>1258</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1352</v>
      </c>
      <c r="C35" s="1658"/>
      <c r="D35" s="1659"/>
      <c r="E35" s="1660"/>
      <c r="F35" s="1647"/>
      <c r="G35" s="1644"/>
      <c r="H35" s="1597"/>
      <c r="I35" s="1705"/>
      <c r="J35" s="1681" t="s">
        <v>1260</v>
      </c>
      <c r="K35" s="1682"/>
      <c r="L35" s="1682"/>
      <c r="M35" s="1683"/>
      <c r="N35" s="1683"/>
      <c r="O35" s="1683"/>
      <c r="P35" s="1683"/>
      <c r="Q35" s="1683"/>
      <c r="R35" s="1733">
        <f>R40+R41+R43</f>
        <v>0</v>
      </c>
      <c r="S35" s="1716"/>
      <c r="T35" s="1719" t="s">
        <v>1261</v>
      </c>
      <c r="U35" s="1719"/>
      <c r="V35" s="1674"/>
    </row>
    <row r="36" s="1580" customFormat="1" customHeight="1" spans="1:22">
      <c r="A36" s="1645">
        <v>7</v>
      </c>
      <c r="B36" s="1661" t="s">
        <v>1353</v>
      </c>
      <c r="C36" s="1662"/>
      <c r="D36" s="1663"/>
      <c r="E36" s="1664"/>
      <c r="F36" s="1647">
        <f>C36+D36+E36</f>
        <v>0</v>
      </c>
      <c r="G36" s="1644"/>
      <c r="H36" s="1597"/>
      <c r="I36" s="1674"/>
      <c r="J36" s="1684">
        <v>1</v>
      </c>
      <c r="K36" s="1685" t="s">
        <v>1354</v>
      </c>
      <c r="L36" s="1686"/>
      <c r="M36" s="1687"/>
      <c r="N36" s="1687"/>
      <c r="O36" s="1687"/>
      <c r="P36" s="1687"/>
      <c r="Q36" s="1687"/>
      <c r="R36" s="1723" t="s">
        <v>1270</v>
      </c>
      <c r="S36" s="1716"/>
      <c r="T36" s="1719" t="s">
        <v>1271</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1274</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1281</v>
      </c>
      <c r="U38" s="1719"/>
      <c r="V38" s="1674"/>
    </row>
    <row r="39" s="1580" customFormat="1" customHeight="1" spans="1:22">
      <c r="A39" s="1645">
        <v>9</v>
      </c>
      <c r="B39" s="1628" t="s">
        <v>1355</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1356</v>
      </c>
      <c r="C40" s="1666" t="e">
        <f>C39+D39+E39</f>
        <v>#DIV/0!</v>
      </c>
      <c r="D40" s="1666"/>
      <c r="E40" s="1666"/>
      <c r="F40" s="1667"/>
      <c r="G40" s="1644"/>
      <c r="H40" s="1597"/>
      <c r="I40" s="1674"/>
      <c r="J40" s="1684"/>
      <c r="K40" s="1691"/>
      <c r="L40" s="1692" t="s">
        <v>1299</v>
      </c>
      <c r="M40" s="1693"/>
      <c r="N40" s="1693"/>
      <c r="O40" s="1694"/>
      <c r="P40" s="1694"/>
      <c r="Q40" s="1694"/>
      <c r="R40" s="1721">
        <f>SUM(R37:R39)</f>
        <v>0</v>
      </c>
      <c r="S40" s="1716"/>
      <c r="T40" s="1719"/>
      <c r="U40" s="1719"/>
      <c r="V40" s="1674"/>
    </row>
    <row r="41" s="1580" customFormat="1" customHeight="1" spans="1:22">
      <c r="A41" s="1668">
        <v>11</v>
      </c>
      <c r="B41" s="1661" t="s">
        <v>1357</v>
      </c>
      <c r="C41" s="1661" t="e">
        <f>ROUND(C40*10000/B4,0)</f>
        <v>#DIV/0!</v>
      </c>
      <c r="D41" s="1669"/>
      <c r="E41" s="1669"/>
      <c r="F41" s="1670"/>
      <c r="G41" s="1671"/>
      <c r="H41" s="1597"/>
      <c r="I41" s="1674"/>
      <c r="J41" s="1684">
        <v>2</v>
      </c>
      <c r="K41" s="1697" t="s">
        <v>1336</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1338</v>
      </c>
      <c r="L42" s="1702"/>
      <c r="M42" s="1703"/>
      <c r="N42" s="1704" t="s">
        <v>366</v>
      </c>
      <c r="O42" s="1704" t="s">
        <v>1339</v>
      </c>
      <c r="P42" s="1704" t="s">
        <v>1340</v>
      </c>
      <c r="Q42" s="1704" t="s">
        <v>1341</v>
      </c>
      <c r="R42" s="1723" t="s">
        <v>1270</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1344</v>
      </c>
      <c r="L44" s="1717" t="s">
        <v>1345</v>
      </c>
      <c r="M44" s="1714"/>
      <c r="N44" s="1717" t="s">
        <v>1346</v>
      </c>
      <c r="O44" s="1714"/>
      <c r="P44" s="1717" t="s">
        <v>1347</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296296296296" style="546" customWidth="1"/>
    <col min="2" max="2" width="12" style="546" customWidth="1"/>
    <col min="3" max="3" width="9" style="546"/>
    <col min="4" max="4" width="14.1296296296296" style="546" customWidth="1"/>
    <col min="5" max="5" width="9" style="546"/>
    <col min="6" max="6" width="12.8796296296296" style="546" customWidth="1"/>
    <col min="7" max="16384" width="9" style="546"/>
  </cols>
  <sheetData>
    <row r="1" ht="20.4" spans="1:19">
      <c r="A1" s="547" t="s">
        <v>1358</v>
      </c>
      <c r="B1" s="1556"/>
      <c r="C1" s="1556"/>
      <c r="D1" s="1556"/>
      <c r="E1" s="1557"/>
      <c r="F1" s="1558"/>
      <c r="G1" s="1559"/>
      <c r="H1" s="1559"/>
      <c r="I1" s="1559"/>
      <c r="J1" s="1559"/>
      <c r="K1" s="1559"/>
      <c r="L1" s="1559"/>
      <c r="M1" s="1559"/>
      <c r="N1" s="1559"/>
      <c r="O1" s="1559"/>
      <c r="P1" s="1559"/>
      <c r="Q1" s="1559"/>
      <c r="R1" s="1559"/>
      <c r="S1" s="1559"/>
    </row>
    <row r="2" ht="15.6" spans="1:19">
      <c r="A2" s="1560" t="s">
        <v>888</v>
      </c>
      <c r="B2" s="1561">
        <f ca="1">SUMIF(B6:B13,"&lt;&gt;#ref!",B6:B13)</f>
        <v>0</v>
      </c>
      <c r="C2" s="1562" t="s">
        <v>1359</v>
      </c>
      <c r="D2" s="1563" t="s">
        <v>1360</v>
      </c>
      <c r="E2" s="1564">
        <f>SUM(E6:E13)</f>
        <v>0</v>
      </c>
      <c r="F2" s="1558"/>
      <c r="G2" s="1559"/>
      <c r="H2" s="1559"/>
      <c r="I2" s="1559"/>
      <c r="J2" s="1559"/>
      <c r="K2" s="1559"/>
      <c r="L2" s="1559"/>
      <c r="M2" s="1559"/>
      <c r="N2" s="1559"/>
      <c r="O2" s="1559"/>
      <c r="P2" s="1559"/>
      <c r="Q2" s="1559"/>
      <c r="R2" s="1559"/>
      <c r="S2" s="1559"/>
    </row>
    <row r="3" ht="15.6" spans="1:19">
      <c r="A3" s="1560" t="s">
        <v>890</v>
      </c>
      <c r="B3" s="1565" t="e">
        <f ca="1">ROUND(B2*10000/E2,0)</f>
        <v>#DIV/0!</v>
      </c>
      <c r="C3" s="1562" t="s">
        <v>1361</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1362</v>
      </c>
      <c r="B5" s="1570" t="s">
        <v>1363</v>
      </c>
      <c r="C5" s="1571"/>
      <c r="D5" s="1572"/>
      <c r="E5" s="1573" t="s">
        <v>1364</v>
      </c>
      <c r="F5" s="1574" t="s">
        <v>1365</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1359</v>
      </c>
      <c r="D6" s="1566"/>
      <c r="E6" s="835">
        <f>IF(OR(A6=0,F6="否"),0,'数据-取费表'!K6+'数据-取费表'!S6)</f>
        <v>0</v>
      </c>
      <c r="F6" s="1576" t="s">
        <v>1366</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1359</v>
      </c>
      <c r="D7" s="1566"/>
      <c r="E7" s="835">
        <f>IF(OR(A7=0,F7="否"),0,'数据-取费表'!K7+'数据-取费表'!S7)</f>
        <v>0</v>
      </c>
      <c r="F7" s="1576" t="s">
        <v>1366</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1359</v>
      </c>
      <c r="D8" s="1566"/>
      <c r="E8" s="835">
        <f>IF(OR(A8=0,F8="否"),0,'数据-取费表'!K8+'数据-取费表'!S8)</f>
        <v>0</v>
      </c>
      <c r="F8" s="1576" t="s">
        <v>1366</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1359</v>
      </c>
      <c r="D9" s="1566"/>
      <c r="E9" s="835">
        <f>IF(OR(A9=0,F9="否"),0,'数据-取费表'!K9+'数据-取费表'!S9)</f>
        <v>0</v>
      </c>
      <c r="F9" s="1576" t="s">
        <v>1366</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1359</v>
      </c>
      <c r="D10" s="1566"/>
      <c r="E10" s="835">
        <f>IF(OR(A10=0,F10="否"),0,'数据-取费表'!K10+'数据-取费表'!S10)</f>
        <v>0</v>
      </c>
      <c r="F10" s="1576" t="s">
        <v>1366</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1359</v>
      </c>
      <c r="D11" s="1566"/>
      <c r="E11" s="835">
        <f>IF(OR(A11=0,F11="否"),0,'数据-取费表'!K11+'数据-取费表'!S11)</f>
        <v>0</v>
      </c>
      <c r="F11" s="1576" t="s">
        <v>1366</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1359</v>
      </c>
      <c r="D12" s="1566"/>
      <c r="E12" s="835">
        <f>IF(OR(A12=0,F12="否"),0,'数据-取费表'!K12+'数据-取费表'!S12)</f>
        <v>0</v>
      </c>
      <c r="F12" s="1576" t="s">
        <v>1366</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1359</v>
      </c>
      <c r="D13" s="1579"/>
      <c r="E13" s="835">
        <f>IF(OR(A13=0,F13="否"),0,'数据-取费表'!K13+'数据-取费表'!S13)</f>
        <v>0</v>
      </c>
      <c r="F13" s="1576" t="s">
        <v>1366</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5" style="958" customWidth="1"/>
    <col min="2" max="2" width="15.75" style="958" customWidth="1"/>
    <col min="3" max="3" width="15.1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63" t="s">
        <v>1368</v>
      </c>
      <c r="C1" s="1340" t="s">
        <v>1369</v>
      </c>
      <c r="D1" s="1313"/>
      <c r="E1" s="1483"/>
      <c r="F1" s="1315" t="s">
        <v>1370</v>
      </c>
      <c r="G1" s="1316" t="s">
        <v>1371</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890</v>
      </c>
      <c r="B3" s="967" t="e">
        <f ca="1">IF(C2="——",C49,ROUND(B2*10000/D3,0))</f>
        <v>#DIV/0!</v>
      </c>
      <c r="C3" s="1322" t="s">
        <v>1372</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1373</v>
      </c>
      <c r="B4" s="970"/>
      <c r="C4" s="971" t="s">
        <v>1374</v>
      </c>
      <c r="D4" s="972"/>
      <c r="E4" s="973" t="s">
        <v>1375</v>
      </c>
      <c r="F4" s="974"/>
      <c r="G4" s="971" t="s">
        <v>1376</v>
      </c>
      <c r="H4" s="972"/>
      <c r="I4" s="971" t="s">
        <v>1377</v>
      </c>
      <c r="J4" s="972"/>
      <c r="K4" s="1496"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79" t="s">
        <v>1376</v>
      </c>
      <c r="AC4" s="1179" t="s">
        <v>1377</v>
      </c>
    </row>
    <row r="5" spans="1:29">
      <c r="A5" s="975"/>
      <c r="B5" s="976"/>
      <c r="C5" s="977" t="s">
        <v>1380</v>
      </c>
      <c r="D5" s="978"/>
      <c r="E5" s="979" t="s">
        <v>1381</v>
      </c>
      <c r="F5" s="980"/>
      <c r="G5" s="977" t="s">
        <v>1382</v>
      </c>
      <c r="H5" s="978"/>
      <c r="I5" s="977" t="s">
        <v>1383</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497"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19" si="3">D8/F8</f>
        <v>#DIV/0!</v>
      </c>
      <c r="AB8" s="1181" t="e">
        <f t="shared" ref="AB8:AB19" si="4">D8/H8</f>
        <v>#DIV/0!</v>
      </c>
      <c r="AC8" s="1181" t="e">
        <f t="shared" ref="AC8:AC19" si="5">D8/J8</f>
        <v>#DIV/0!</v>
      </c>
    </row>
    <row r="9" s="953" customFormat="1" ht="14.4" spans="1:29">
      <c r="A9" s="995" t="s">
        <v>1392</v>
      </c>
      <c r="B9" s="996" t="s">
        <v>1393</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100.8" spans="1:29">
      <c r="A15" s="1017" t="s">
        <v>1398</v>
      </c>
      <c r="B15" s="1286" t="s">
        <v>1399</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1401</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1403</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1404</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1405</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1388</v>
      </c>
      <c r="S25" s="1146">
        <f t="shared" ref="S25:S46" si="12">F25</f>
        <v>100</v>
      </c>
      <c r="T25" s="1077" t="s">
        <v>1388</v>
      </c>
      <c r="U25" s="1146">
        <f t="shared" ref="U25:U46" si="13">H25</f>
        <v>100</v>
      </c>
      <c r="V25" s="1077" t="s">
        <v>1388</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1406</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1388</v>
      </c>
      <c r="S26" s="1146">
        <f t="shared" si="12"/>
        <v>100</v>
      </c>
      <c r="T26" s="1077" t="s">
        <v>1388</v>
      </c>
      <c r="U26" s="1146">
        <f t="shared" si="13"/>
        <v>100</v>
      </c>
      <c r="V26" s="1077" t="s">
        <v>1388</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1388</v>
      </c>
      <c r="S27" s="1168">
        <f t="shared" si="12"/>
        <v>100</v>
      </c>
      <c r="T27" s="1123" t="s">
        <v>1388</v>
      </c>
      <c r="U27" s="1168">
        <f t="shared" si="13"/>
        <v>100</v>
      </c>
      <c r="V27" s="1123" t="s">
        <v>1388</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1388</v>
      </c>
      <c r="S28" s="1146">
        <f t="shared" si="12"/>
        <v>100</v>
      </c>
      <c r="T28" s="1077" t="s">
        <v>1388</v>
      </c>
      <c r="U28" s="1146">
        <f t="shared" si="13"/>
        <v>100</v>
      </c>
      <c r="V28" s="1077" t="s">
        <v>1388</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8"/>
        <v>111</v>
      </c>
      <c r="AA31" s="1150">
        <f t="shared" si="15"/>
        <v>1</v>
      </c>
      <c r="AB31" s="1150">
        <f t="shared" si="16"/>
        <v>1</v>
      </c>
      <c r="AC31" s="1150">
        <f t="shared" si="17"/>
        <v>1</v>
      </c>
    </row>
    <row r="32" ht="15" spans="1:29">
      <c r="A32" s="1017" t="s">
        <v>1407</v>
      </c>
      <c r="B32" s="996" t="s">
        <v>1408</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1409</v>
      </c>
      <c r="Q32" s="1093" t="str">
        <f t="shared" si="11"/>
        <v>建筑类型</v>
      </c>
      <c r="R32" s="1077" t="s">
        <v>1388</v>
      </c>
      <c r="S32" s="1146">
        <f t="shared" si="12"/>
        <v>100</v>
      </c>
      <c r="T32" s="1077" t="s">
        <v>1388</v>
      </c>
      <c r="U32" s="1146">
        <f t="shared" si="13"/>
        <v>100</v>
      </c>
      <c r="V32" s="1077" t="s">
        <v>1388</v>
      </c>
      <c r="W32" s="1146">
        <f t="shared" si="14"/>
        <v>100</v>
      </c>
      <c r="X32" s="1160"/>
      <c r="Y32" s="1143" t="s">
        <v>1409</v>
      </c>
      <c r="Z32" s="1150" t="str">
        <f t="shared" si="18"/>
        <v>建筑类型</v>
      </c>
      <c r="AA32" s="1150">
        <f t="shared" si="15"/>
        <v>1</v>
      </c>
      <c r="AB32" s="1150">
        <f t="shared" si="16"/>
        <v>1</v>
      </c>
      <c r="AC32" s="1150">
        <f t="shared" si="17"/>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1411</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1412</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1388</v>
      </c>
      <c r="S35" s="1146">
        <f t="shared" si="12"/>
        <v>100</v>
      </c>
      <c r="T35" s="1077" t="s">
        <v>1388</v>
      </c>
      <c r="U35" s="1146">
        <f t="shared" si="13"/>
        <v>100</v>
      </c>
      <c r="V35" s="1077" t="s">
        <v>1388</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1413</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541</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1388</v>
      </c>
      <c r="S37" s="1168" t="e">
        <f t="shared" si="12"/>
        <v>#N/A</v>
      </c>
      <c r="T37" s="1123" t="s">
        <v>1388</v>
      </c>
      <c r="U37" s="1168" t="e">
        <f t="shared" si="13"/>
        <v>#N/A</v>
      </c>
      <c r="V37" s="1123" t="s">
        <v>1388</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1414</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1409</v>
      </c>
      <c r="Q38" s="1093" t="str">
        <f t="shared" si="11"/>
        <v>物业管理</v>
      </c>
      <c r="R38" s="1077" t="s">
        <v>1388</v>
      </c>
      <c r="S38" s="1146">
        <f t="shared" si="12"/>
        <v>100</v>
      </c>
      <c r="T38" s="1077" t="s">
        <v>1388</v>
      </c>
      <c r="U38" s="1146">
        <f t="shared" si="13"/>
        <v>100</v>
      </c>
      <c r="V38" s="1077" t="s">
        <v>1388</v>
      </c>
      <c r="W38" s="1146">
        <f t="shared" si="14"/>
        <v>100</v>
      </c>
      <c r="X38" s="1160"/>
      <c r="Y38" s="1143" t="s">
        <v>1409</v>
      </c>
      <c r="Z38" s="1150" t="str">
        <f t="shared" si="18"/>
        <v>物业管理</v>
      </c>
      <c r="AA38" s="1150">
        <f t="shared" si="15"/>
        <v>1</v>
      </c>
      <c r="AB38" s="1150">
        <f t="shared" si="16"/>
        <v>1</v>
      </c>
      <c r="AC38" s="1150">
        <f t="shared" si="17"/>
        <v>1</v>
      </c>
    </row>
    <row r="39" ht="15" spans="1:29">
      <c r="A39" s="1051"/>
      <c r="B39" s="1000" t="s">
        <v>1415</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1388</v>
      </c>
      <c r="S39" s="1146">
        <f t="shared" si="12"/>
        <v>100</v>
      </c>
      <c r="T39" s="1077" t="s">
        <v>1388</v>
      </c>
      <c r="U39" s="1146">
        <f t="shared" si="13"/>
        <v>100</v>
      </c>
      <c r="V39" s="1077" t="s">
        <v>1388</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1416</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1388</v>
      </c>
      <c r="S40" s="1146">
        <f t="shared" si="12"/>
        <v>100</v>
      </c>
      <c r="T40" s="1077" t="s">
        <v>1388</v>
      </c>
      <c r="U40" s="1146">
        <f t="shared" si="13"/>
        <v>100</v>
      </c>
      <c r="V40" s="1077" t="s">
        <v>1388</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1417</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1388</v>
      </c>
      <c r="S41" s="1172">
        <f t="shared" si="12"/>
        <v>100</v>
      </c>
      <c r="T41" s="1171" t="s">
        <v>1388</v>
      </c>
      <c r="U41" s="1172">
        <f t="shared" si="13"/>
        <v>100</v>
      </c>
      <c r="V41" s="1171" t="s">
        <v>1388</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1418</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1419</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8"/>
        <v>111</v>
      </c>
      <c r="AA46" s="1150">
        <f t="shared" si="15"/>
        <v>1</v>
      </c>
      <c r="AB46" s="1150">
        <f t="shared" si="16"/>
        <v>1</v>
      </c>
      <c r="AC46" s="1150">
        <f t="shared" si="17"/>
        <v>1</v>
      </c>
    </row>
    <row r="47" ht="14.4" spans="1:29">
      <c r="A47" s="1058" t="s">
        <v>1420</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1421</v>
      </c>
      <c r="B48" s="1336"/>
      <c r="C48" s="1071" t="e">
        <f>R49</f>
        <v>#DIV/0!</v>
      </c>
      <c r="D48" s="1069" t="s">
        <v>1422</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1423</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1427</v>
      </c>
      <c r="B57" s="1081"/>
      <c r="C57" s="1108"/>
      <c r="D57" s="1108"/>
      <c r="E57" s="1108"/>
      <c r="F57" s="1109"/>
      <c r="G57" s="1109"/>
      <c r="H57" s="1108"/>
      <c r="I57" s="1108"/>
      <c r="J57" s="1108"/>
      <c r="K57" s="1306"/>
      <c r="L57" s="1155"/>
      <c r="M57" s="1155"/>
      <c r="N57" s="1155"/>
      <c r="O57" s="1155"/>
      <c r="P57" s="1506"/>
      <c r="Q57" s="1421"/>
    </row>
    <row r="58" s="953" customFormat="1" ht="14.4" spans="1:16">
      <c r="A58" s="1337" t="s">
        <v>1386</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1428</v>
      </c>
      <c r="B60" s="1191"/>
      <c r="C60" s="1192"/>
      <c r="D60" s="1193"/>
      <c r="E60" s="1193"/>
      <c r="F60" s="1193"/>
      <c r="G60" s="1193"/>
      <c r="H60" s="1193"/>
      <c r="I60" s="1193"/>
      <c r="J60" s="1193"/>
      <c r="K60" s="1193"/>
      <c r="L60" s="1193"/>
      <c r="M60" s="1232"/>
      <c r="N60" s="1193"/>
      <c r="O60" s="1232"/>
      <c r="P60" s="1508"/>
      <c r="Q60" s="1421"/>
    </row>
    <row r="61" s="953" customFormat="1" ht="14.4" spans="1:17">
      <c r="A61" s="1194" t="s">
        <v>1389</v>
      </c>
      <c r="B61" s="1195"/>
      <c r="C61" s="1196" t="s">
        <v>1390</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1429</v>
      </c>
      <c r="B63" s="1200" t="s">
        <v>1393</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1396</v>
      </c>
      <c r="C65" s="1204" t="s">
        <v>1430</v>
      </c>
      <c r="D65" s="1204" t="s">
        <v>1431</v>
      </c>
      <c r="E65" s="1204" t="s">
        <v>1432</v>
      </c>
      <c r="F65" s="1204" t="s">
        <v>1433</v>
      </c>
      <c r="G65" s="1204" t="s">
        <v>1434</v>
      </c>
      <c r="H65" s="1204" t="s">
        <v>1435</v>
      </c>
      <c r="I65" s="1204" t="s">
        <v>1436</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1397</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1398</v>
      </c>
      <c r="B76" s="1200" t="s">
        <v>1399</v>
      </c>
      <c r="C76" s="1220" t="s">
        <v>1437</v>
      </c>
      <c r="D76" s="1220" t="s">
        <v>1438</v>
      </c>
      <c r="E76" s="1220" t="s">
        <v>1439</v>
      </c>
      <c r="F76" s="1220" t="s">
        <v>1440</v>
      </c>
      <c r="G76" s="1220" t="s">
        <v>1441</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1401</v>
      </c>
      <c r="C78" s="1221" t="s">
        <v>1437</v>
      </c>
      <c r="D78" s="1221" t="s">
        <v>1438</v>
      </c>
      <c r="E78" s="1221" t="s">
        <v>1439</v>
      </c>
      <c r="F78" s="1221" t="s">
        <v>1440</v>
      </c>
      <c r="G78" s="1221" t="s">
        <v>1441</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1402</v>
      </c>
      <c r="C80" s="1221" t="s">
        <v>1437</v>
      </c>
      <c r="D80" s="1221" t="s">
        <v>1438</v>
      </c>
      <c r="E80" s="1221" t="s">
        <v>1439</v>
      </c>
      <c r="F80" s="1221" t="s">
        <v>1440</v>
      </c>
      <c r="G80" s="1221" t="s">
        <v>1441</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1403</v>
      </c>
      <c r="C82" s="1204" t="s">
        <v>1442</v>
      </c>
      <c r="D82" s="1204" t="s">
        <v>1443</v>
      </c>
      <c r="E82" s="1204" t="s">
        <v>1444</v>
      </c>
      <c r="F82" s="1204" t="s">
        <v>1445</v>
      </c>
      <c r="G82" s="1204" t="s">
        <v>1446</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1404</v>
      </c>
      <c r="C84" s="1221" t="s">
        <v>1437</v>
      </c>
      <c r="D84" s="1221" t="s">
        <v>1438</v>
      </c>
      <c r="E84" s="1221" t="s">
        <v>1439</v>
      </c>
      <c r="F84" s="1221" t="s">
        <v>1440</v>
      </c>
      <c r="G84" s="1221" t="s">
        <v>1441</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1405</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1406</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1407</v>
      </c>
      <c r="B100" s="1200" t="s">
        <v>1408</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1410</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1411</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1412</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1413</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541</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1414</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1415</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1416</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1417</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1418</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1419</v>
      </c>
      <c r="C124" s="1221" t="s">
        <v>1437</v>
      </c>
      <c r="D124" s="1221" t="s">
        <v>1438</v>
      </c>
      <c r="E124" s="1221" t="s">
        <v>1439</v>
      </c>
      <c r="F124" s="1221" t="s">
        <v>1440</v>
      </c>
      <c r="G124" s="1221" t="s">
        <v>1441</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1447</v>
      </c>
    </row>
    <row r="137" ht="15" spans="2:11">
      <c r="B137" s="1520" t="s">
        <v>1448</v>
      </c>
      <c r="C137" s="1521"/>
      <c r="D137" s="1521"/>
      <c r="E137" s="1521"/>
      <c r="F137" s="1521"/>
      <c r="G137" s="1522"/>
      <c r="H137" s="1523"/>
      <c r="I137" s="1546" t="s">
        <v>1449</v>
      </c>
      <c r="J137" s="1521"/>
      <c r="K137" s="1547"/>
    </row>
    <row r="138" ht="15" spans="2:11">
      <c r="B138" s="1524"/>
      <c r="C138" s="1525" t="s">
        <v>1450</v>
      </c>
      <c r="D138" s="1525" t="s">
        <v>1451</v>
      </c>
      <c r="E138" s="1526" t="s">
        <v>1452</v>
      </c>
      <c r="F138" s="1527" t="s">
        <v>1453</v>
      </c>
      <c r="G138" s="1525" t="s">
        <v>1451</v>
      </c>
      <c r="H138" s="1528" t="s">
        <v>1452</v>
      </c>
      <c r="I138" s="1548"/>
      <c r="J138" s="1525" t="s">
        <v>1454</v>
      </c>
      <c r="K138" s="1528" t="s">
        <v>1455</v>
      </c>
    </row>
    <row r="139" ht="15" spans="2:11">
      <c r="B139" s="1529">
        <v>6</v>
      </c>
      <c r="C139" s="1530">
        <v>96</v>
      </c>
      <c r="D139" s="1531" t="s">
        <v>1456</v>
      </c>
      <c r="E139" s="1532">
        <v>100</v>
      </c>
      <c r="F139" s="1533">
        <v>102.5</v>
      </c>
      <c r="G139" s="1531" t="s">
        <v>1456</v>
      </c>
      <c r="H139" s="1534">
        <v>105</v>
      </c>
      <c r="I139" s="1549" t="s">
        <v>1457</v>
      </c>
      <c r="J139" s="1530">
        <v>20</v>
      </c>
      <c r="K139" s="1550">
        <f>C145/(J139-2)</f>
        <v>0.00405555555555556</v>
      </c>
    </row>
    <row r="140" ht="15" spans="2:11">
      <c r="B140" s="1535">
        <v>5</v>
      </c>
      <c r="C140" s="1536">
        <v>100</v>
      </c>
      <c r="D140" s="1536"/>
      <c r="E140" s="1537"/>
      <c r="F140" s="1538">
        <v>102</v>
      </c>
      <c r="G140" s="1536"/>
      <c r="H140" s="1539"/>
      <c r="I140" s="1551" t="s">
        <v>1458</v>
      </c>
      <c r="J140" s="308">
        <f>ROUNDUP((J139-1)/2,0)</f>
        <v>10</v>
      </c>
      <c r="K140" s="1552">
        <v>100</v>
      </c>
    </row>
    <row r="141" ht="15" spans="2:11">
      <c r="B141" s="1535">
        <v>4</v>
      </c>
      <c r="C141" s="1536">
        <v>102</v>
      </c>
      <c r="D141" s="1536"/>
      <c r="E141" s="1537"/>
      <c r="F141" s="1538">
        <v>101.5</v>
      </c>
      <c r="G141" s="1536"/>
      <c r="H141" s="1539"/>
      <c r="I141" s="1551" t="s">
        <v>1459</v>
      </c>
      <c r="J141" s="308">
        <v>1</v>
      </c>
      <c r="K141" s="1552">
        <f>ROUND(100+(J141-J140)*K139*100,1)</f>
        <v>96.4</v>
      </c>
    </row>
    <row r="142" ht="15" spans="2:11">
      <c r="B142" s="1535">
        <v>3</v>
      </c>
      <c r="C142" s="1536">
        <v>103</v>
      </c>
      <c r="D142" s="1536"/>
      <c r="E142" s="1537"/>
      <c r="F142" s="1538">
        <v>101</v>
      </c>
      <c r="G142" s="1536"/>
      <c r="H142" s="1539"/>
      <c r="I142" s="1551" t="s">
        <v>1460</v>
      </c>
      <c r="J142" s="308">
        <f>J139</f>
        <v>20</v>
      </c>
      <c r="K142" s="1539">
        <v>95</v>
      </c>
    </row>
    <row r="143" ht="15" spans="2:11">
      <c r="B143" s="1535">
        <v>2</v>
      </c>
      <c r="C143" s="1536">
        <v>100</v>
      </c>
      <c r="D143" s="1536"/>
      <c r="E143" s="1537"/>
      <c r="F143" s="1538">
        <v>100.5</v>
      </c>
      <c r="G143" s="1536"/>
      <c r="H143" s="1539"/>
      <c r="I143" s="1551" t="s">
        <v>1461</v>
      </c>
      <c r="J143" s="1536">
        <v>15</v>
      </c>
      <c r="K143" s="1552">
        <f>ROUND(100+(J143-J140)*K139*100,1)</f>
        <v>102</v>
      </c>
    </row>
    <row r="144" ht="15" spans="2:11">
      <c r="B144" s="1535">
        <v>1</v>
      </c>
      <c r="C144" s="1536">
        <v>98</v>
      </c>
      <c r="D144" s="1540" t="s">
        <v>1462</v>
      </c>
      <c r="E144" s="1537">
        <v>102</v>
      </c>
      <c r="F144" s="1541">
        <v>100</v>
      </c>
      <c r="G144" s="1540" t="s">
        <v>1462</v>
      </c>
      <c r="H144" s="1539">
        <v>105</v>
      </c>
      <c r="I144" s="1551" t="s">
        <v>1461</v>
      </c>
      <c r="J144" s="1536">
        <v>18</v>
      </c>
      <c r="K144" s="1552">
        <f>ROUND(100+(J144-J140)*K139*100,1)</f>
        <v>103.2</v>
      </c>
    </row>
    <row r="145" ht="16.35" spans="2:11">
      <c r="B145" s="1542" t="s">
        <v>1463</v>
      </c>
      <c r="C145" s="1543">
        <f>ROUND(MAX(C139:C144)/MIN(C139:C144)-1,3)</f>
        <v>0.073</v>
      </c>
      <c r="D145" s="1544"/>
      <c r="E145" s="1544"/>
      <c r="F145" s="1545" t="s">
        <v>1464</v>
      </c>
      <c r="G145" s="1452"/>
      <c r="H145" s="1457"/>
      <c r="I145" s="1553" t="s">
        <v>1461</v>
      </c>
      <c r="J145" s="1554">
        <v>8</v>
      </c>
      <c r="K145" s="1555">
        <f>ROUND(100+(J145-J140)*K139*100,1)</f>
        <v>99.2</v>
      </c>
    </row>
    <row r="147" ht="14.4" spans="2:2">
      <c r="B147" s="1519" t="s">
        <v>1465</v>
      </c>
    </row>
    <row r="148" ht="14.4" spans="2:2">
      <c r="B148" s="1519"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5.1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462"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63" t="s">
        <v>1467</v>
      </c>
      <c r="C1" s="1340" t="s">
        <v>1369</v>
      </c>
      <c r="D1" s="1313"/>
      <c r="E1" s="1464"/>
      <c r="F1" s="1315"/>
      <c r="G1" s="1316" t="s">
        <v>1371</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888</v>
      </c>
      <c r="B2" s="1318" t="e">
        <f ca="1">IF(C2="——",ROUND(C49*D3/10000,0),ROUND(C49*D3/10000,0)-D2)</f>
        <v>#DIV/0!</v>
      </c>
      <c r="C2" s="1319"/>
      <c r="D2" s="1431" t="e">
        <f ca="1">SUMIF(INDIRECT("'"&amp;F2&amp;"'"&amp;"!A:A"),"承租人权益价值",INDIRECT("'"&amp;F2&amp;"'"&amp;"!c:c"))</f>
        <v>#REF!</v>
      </c>
      <c r="E2" s="1320" t="s">
        <v>889</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890</v>
      </c>
      <c r="B3" s="967" t="e">
        <f ca="1">IF(C2="——",C49,ROUND(B2*10000/D3,0))</f>
        <v>#DIV/0!</v>
      </c>
      <c r="C3" s="1322" t="s">
        <v>1372</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5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1386</v>
      </c>
      <c r="B7" s="988"/>
      <c r="C7" s="989">
        <f>'数据-取费表'!B2</f>
        <v>44771</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6" si="3">D8/F8</f>
        <v>#DIV/0!</v>
      </c>
      <c r="AB8" s="1181" t="e">
        <f t="shared" ref="AB8:AB46" si="4">D8/H8</f>
        <v>#DIV/0!</v>
      </c>
      <c r="AC8" s="1181" t="e">
        <f t="shared" ref="AC8:AC46" si="5">D8/J8</f>
        <v>#DIV/0!</v>
      </c>
    </row>
    <row r="9" s="953" customFormat="1" ht="14.4" spans="1:29">
      <c r="A9" s="995" t="s">
        <v>1392</v>
      </c>
      <c r="B9" s="996" t="s">
        <v>1393</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286" t="s">
        <v>1468</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1400</v>
      </c>
      <c r="Q15" s="1093" t="str">
        <f t="shared" si="6"/>
        <v>商业繁华度</v>
      </c>
      <c r="R15" s="1077" t="s">
        <v>1388</v>
      </c>
      <c r="S15" s="1146">
        <f t="shared" si="0"/>
        <v>100</v>
      </c>
      <c r="T15" s="1077" t="s">
        <v>1388</v>
      </c>
      <c r="U15" s="1146">
        <f t="shared" si="1"/>
        <v>100</v>
      </c>
      <c r="V15" s="1077" t="s">
        <v>1388</v>
      </c>
      <c r="W15" s="1146">
        <f t="shared" si="2"/>
        <v>100</v>
      </c>
      <c r="X15" s="1160"/>
      <c r="Y15" s="1134" t="s">
        <v>1400</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1401</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1403</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1404</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1388</v>
      </c>
      <c r="S23" s="1146">
        <f>F23</f>
        <v>100</v>
      </c>
      <c r="T23" s="1077" t="s">
        <v>1388</v>
      </c>
      <c r="U23" s="1146">
        <f>H23</f>
        <v>100</v>
      </c>
      <c r="V23" s="1077" t="s">
        <v>1388</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1469</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1388</v>
      </c>
      <c r="S25" s="1146">
        <f>F25</f>
        <v>100</v>
      </c>
      <c r="T25" s="1077" t="s">
        <v>1388</v>
      </c>
      <c r="U25" s="1146">
        <f>H25</f>
        <v>100</v>
      </c>
      <c r="V25" s="1077" t="s">
        <v>1388</v>
      </c>
      <c r="W25" s="1146">
        <f>J25</f>
        <v>100</v>
      </c>
      <c r="X25" s="1160"/>
      <c r="Y25" s="1135"/>
      <c r="Z25" s="1150" t="str">
        <f>Q25</f>
        <v>临街状况</v>
      </c>
      <c r="AA25" s="1150">
        <f t="shared" si="3"/>
        <v>1</v>
      </c>
      <c r="AB25" s="1150">
        <f t="shared" si="4"/>
        <v>1</v>
      </c>
      <c r="AC25" s="1150">
        <f t="shared" si="5"/>
        <v>1</v>
      </c>
    </row>
    <row r="26" ht="15" spans="1:29">
      <c r="A26" s="1003"/>
      <c r="B26" s="1231" t="s">
        <v>1470</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1388</v>
      </c>
      <c r="S26" s="1146">
        <f>F26</f>
        <v>100</v>
      </c>
      <c r="T26" s="1077" t="s">
        <v>1388</v>
      </c>
      <c r="U26" s="1146">
        <f>H26</f>
        <v>100</v>
      </c>
      <c r="V26" s="1077" t="s">
        <v>1388</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1471</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1388</v>
      </c>
      <c r="S27" s="1168">
        <f>F27</f>
        <v>100</v>
      </c>
      <c r="T27" s="1123" t="s">
        <v>1388</v>
      </c>
      <c r="U27" s="1168">
        <f>H27</f>
        <v>100</v>
      </c>
      <c r="V27" s="1123" t="s">
        <v>1388</v>
      </c>
      <c r="W27" s="1168">
        <f>J27</f>
        <v>100</v>
      </c>
      <c r="X27" s="1169"/>
      <c r="Y27" s="1135"/>
      <c r="Z27" s="1181" t="str">
        <f>Q27</f>
        <v>人流量</v>
      </c>
      <c r="AA27" s="1150">
        <f t="shared" si="3"/>
        <v>1</v>
      </c>
      <c r="AB27" s="1150">
        <f t="shared" si="4"/>
        <v>1</v>
      </c>
      <c r="AC27" s="1150">
        <f t="shared" si="5"/>
        <v>1</v>
      </c>
    </row>
    <row r="28" ht="15" spans="1:29">
      <c r="A28" s="1003"/>
      <c r="B28" s="1000" t="s">
        <v>1472</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1388</v>
      </c>
      <c r="S28" s="1146">
        <f t="shared" ref="S28:S46" si="12">F28</f>
        <v>100</v>
      </c>
      <c r="T28" s="1077" t="s">
        <v>1388</v>
      </c>
      <c r="U28" s="1146">
        <f t="shared" ref="U28:U46" si="13">H28</f>
        <v>100</v>
      </c>
      <c r="V28" s="1077" t="s">
        <v>1388</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1388</v>
      </c>
      <c r="S29" s="1146">
        <f t="shared" si="12"/>
        <v>100</v>
      </c>
      <c r="T29" s="1077" t="s">
        <v>1388</v>
      </c>
      <c r="U29" s="1146">
        <f t="shared" si="13"/>
        <v>100</v>
      </c>
      <c r="V29" s="1077" t="s">
        <v>1388</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150">
        <f t="shared" si="5"/>
        <v>1</v>
      </c>
    </row>
    <row r="32" ht="15" spans="1:29">
      <c r="A32" s="1017" t="s">
        <v>1407</v>
      </c>
      <c r="B32" s="996" t="s">
        <v>1473</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1409</v>
      </c>
      <c r="Q32" s="1093" t="str">
        <f t="shared" si="11"/>
        <v>商业类型</v>
      </c>
      <c r="R32" s="1077" t="s">
        <v>1388</v>
      </c>
      <c r="S32" s="1146">
        <f t="shared" si="12"/>
        <v>100</v>
      </c>
      <c r="T32" s="1077" t="s">
        <v>1388</v>
      </c>
      <c r="U32" s="1146">
        <f t="shared" si="13"/>
        <v>100</v>
      </c>
      <c r="V32" s="1077" t="s">
        <v>1388</v>
      </c>
      <c r="W32" s="1146">
        <f t="shared" si="14"/>
        <v>100</v>
      </c>
      <c r="X32" s="1160"/>
      <c r="Y32" s="1143" t="s">
        <v>1409</v>
      </c>
      <c r="Z32" s="1150" t="str">
        <f t="shared" si="15"/>
        <v>商业类型</v>
      </c>
      <c r="AA32" s="1150">
        <f t="shared" si="3"/>
        <v>1</v>
      </c>
      <c r="AB32" s="1150">
        <f t="shared" si="4"/>
        <v>1</v>
      </c>
      <c r="AC32" s="1150">
        <f t="shared" si="5"/>
        <v>1</v>
      </c>
    </row>
    <row r="33" s="955" customFormat="1" ht="15" spans="1:29">
      <c r="A33" s="1056"/>
      <c r="B33" s="1000" t="s">
        <v>1410</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1388</v>
      </c>
      <c r="S33" s="1172" t="e">
        <f t="shared" si="12"/>
        <v>#N/A</v>
      </c>
      <c r="T33" s="1171" t="s">
        <v>1388</v>
      </c>
      <c r="U33" s="1172" t="e">
        <f t="shared" si="13"/>
        <v>#N/A</v>
      </c>
      <c r="V33" s="1171" t="s">
        <v>1388</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1411</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1388</v>
      </c>
      <c r="S34" s="1146">
        <f t="shared" si="12"/>
        <v>100</v>
      </c>
      <c r="T34" s="1077" t="s">
        <v>1388</v>
      </c>
      <c r="U34" s="1146">
        <f t="shared" si="13"/>
        <v>100</v>
      </c>
      <c r="V34" s="1077" t="s">
        <v>1388</v>
      </c>
      <c r="W34" s="1146">
        <f t="shared" si="14"/>
        <v>100</v>
      </c>
      <c r="X34" s="1160"/>
      <c r="Y34" s="1143"/>
      <c r="Z34" s="1150" t="str">
        <f t="shared" si="15"/>
        <v>建筑结构</v>
      </c>
      <c r="AA34" s="1150">
        <f t="shared" si="3"/>
        <v>1</v>
      </c>
      <c r="AB34" s="1150">
        <f t="shared" si="4"/>
        <v>1</v>
      </c>
      <c r="AC34" s="1150">
        <f t="shared" si="5"/>
        <v>1</v>
      </c>
    </row>
    <row r="35" ht="15" spans="1:29">
      <c r="A35" s="1051"/>
      <c r="B35" s="1000" t="s">
        <v>1413</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1388</v>
      </c>
      <c r="S35" s="1146">
        <f t="shared" si="12"/>
        <v>100</v>
      </c>
      <c r="T35" s="1077" t="s">
        <v>1388</v>
      </c>
      <c r="U35" s="1146">
        <f t="shared" si="13"/>
        <v>100</v>
      </c>
      <c r="V35" s="1077" t="s">
        <v>1388</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541</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1388</v>
      </c>
      <c r="S36" s="1146" t="e">
        <f t="shared" si="12"/>
        <v>#N/A</v>
      </c>
      <c r="T36" s="1077" t="s">
        <v>1388</v>
      </c>
      <c r="U36" s="1146" t="e">
        <f t="shared" si="13"/>
        <v>#N/A</v>
      </c>
      <c r="V36" s="1077" t="s">
        <v>1388</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1415</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1388</v>
      </c>
      <c r="S37" s="1168">
        <f t="shared" si="12"/>
        <v>100</v>
      </c>
      <c r="T37" s="1123" t="s">
        <v>1388</v>
      </c>
      <c r="U37" s="1168">
        <f t="shared" si="13"/>
        <v>100</v>
      </c>
      <c r="V37" s="1123" t="s">
        <v>1388</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1474</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1409</v>
      </c>
      <c r="Q38" s="1093" t="str">
        <f t="shared" si="11"/>
        <v>业态</v>
      </c>
      <c r="R38" s="1077" t="s">
        <v>1388</v>
      </c>
      <c r="S38" s="1146">
        <f t="shared" si="12"/>
        <v>100</v>
      </c>
      <c r="T38" s="1077" t="s">
        <v>1388</v>
      </c>
      <c r="U38" s="1146">
        <f t="shared" si="13"/>
        <v>100</v>
      </c>
      <c r="V38" s="1077" t="s">
        <v>1388</v>
      </c>
      <c r="W38" s="1146">
        <f t="shared" si="14"/>
        <v>100</v>
      </c>
      <c r="X38" s="1160"/>
      <c r="Y38" s="1143" t="s">
        <v>1409</v>
      </c>
      <c r="Z38" s="1150" t="str">
        <f t="shared" si="15"/>
        <v>业态</v>
      </c>
      <c r="AA38" s="1150">
        <f t="shared" si="3"/>
        <v>1</v>
      </c>
      <c r="AB38" s="1150">
        <f t="shared" si="4"/>
        <v>1</v>
      </c>
      <c r="AC38" s="1150">
        <f t="shared" si="5"/>
        <v>1</v>
      </c>
    </row>
    <row r="39" ht="15" spans="1:29">
      <c r="A39" s="1051"/>
      <c r="B39" s="1000" t="s">
        <v>1475</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1388</v>
      </c>
      <c r="S39" s="1146">
        <f t="shared" si="12"/>
        <v>100</v>
      </c>
      <c r="T39" s="1077" t="s">
        <v>1388</v>
      </c>
      <c r="U39" s="1146">
        <f t="shared" si="13"/>
        <v>100</v>
      </c>
      <c r="V39" s="1077" t="s">
        <v>1388</v>
      </c>
      <c r="W39" s="1146">
        <f t="shared" si="14"/>
        <v>100</v>
      </c>
      <c r="X39" s="1160"/>
      <c r="Y39" s="1143"/>
      <c r="Z39" s="1150" t="str">
        <f t="shared" si="15"/>
        <v>层高</v>
      </c>
      <c r="AA39" s="1150">
        <f t="shared" si="3"/>
        <v>1</v>
      </c>
      <c r="AB39" s="1150">
        <f t="shared" si="4"/>
        <v>1</v>
      </c>
      <c r="AC39" s="1150">
        <f t="shared" si="5"/>
        <v>1</v>
      </c>
    </row>
    <row r="40" ht="15" spans="1:29">
      <c r="A40" s="1051"/>
      <c r="B40" s="1000" t="s">
        <v>1476</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1388</v>
      </c>
      <c r="S40" s="1146">
        <f t="shared" si="12"/>
        <v>100</v>
      </c>
      <c r="T40" s="1077" t="s">
        <v>1388</v>
      </c>
      <c r="U40" s="1146">
        <f t="shared" si="13"/>
        <v>100</v>
      </c>
      <c r="V40" s="1077" t="s">
        <v>1388</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1477</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1388</v>
      </c>
      <c r="S41" s="1172">
        <f t="shared" si="12"/>
        <v>100</v>
      </c>
      <c r="T41" s="1171" t="s">
        <v>1388</v>
      </c>
      <c r="U41" s="1172">
        <f t="shared" si="13"/>
        <v>100</v>
      </c>
      <c r="V41" s="1171" t="s">
        <v>1388</v>
      </c>
      <c r="W41" s="1172">
        <f t="shared" si="14"/>
        <v>100</v>
      </c>
      <c r="X41" s="1173"/>
      <c r="Y41" s="1143"/>
      <c r="Z41" s="1182" t="str">
        <f t="shared" si="15"/>
        <v>进深比</v>
      </c>
      <c r="AA41" s="1150">
        <f t="shared" si="3"/>
        <v>1</v>
      </c>
      <c r="AB41" s="1150">
        <f t="shared" si="4"/>
        <v>1</v>
      </c>
      <c r="AC41" s="1150">
        <f t="shared" si="5"/>
        <v>1</v>
      </c>
    </row>
    <row r="42" ht="15" spans="1:29">
      <c r="A42" s="1051"/>
      <c r="B42" s="1000" t="s">
        <v>1418</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1388</v>
      </c>
      <c r="S42" s="1146">
        <f t="shared" si="12"/>
        <v>100</v>
      </c>
      <c r="T42" s="1077" t="s">
        <v>1388</v>
      </c>
      <c r="U42" s="1146">
        <f t="shared" si="13"/>
        <v>100</v>
      </c>
      <c r="V42" s="1077" t="s">
        <v>1388</v>
      </c>
      <c r="W42" s="1146">
        <f t="shared" si="14"/>
        <v>100</v>
      </c>
      <c r="X42" s="1160"/>
      <c r="Y42" s="1143"/>
      <c r="Z42" s="1150" t="str">
        <f t="shared" si="15"/>
        <v>内部装修</v>
      </c>
      <c r="AA42" s="1150">
        <f t="shared" si="3"/>
        <v>1</v>
      </c>
      <c r="AB42" s="1150">
        <f t="shared" si="4"/>
        <v>1</v>
      </c>
      <c r="AC42" s="1150">
        <f t="shared" si="5"/>
        <v>1</v>
      </c>
    </row>
    <row r="43" ht="28.8" spans="1:29">
      <c r="A43" s="1051"/>
      <c r="B43" s="1000" t="s">
        <v>1419</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1388</v>
      </c>
      <c r="S43" s="1146">
        <f t="shared" si="12"/>
        <v>100</v>
      </c>
      <c r="T43" s="1077" t="s">
        <v>1388</v>
      </c>
      <c r="U43" s="1146">
        <f t="shared" si="13"/>
        <v>100</v>
      </c>
      <c r="V43" s="1077" t="s">
        <v>1388</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1388</v>
      </c>
      <c r="S44" s="1168">
        <f t="shared" si="12"/>
        <v>100</v>
      </c>
      <c r="T44" s="1123" t="s">
        <v>1388</v>
      </c>
      <c r="U44" s="1168">
        <f t="shared" si="13"/>
        <v>100</v>
      </c>
      <c r="V44" s="1123" t="s">
        <v>1388</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1388</v>
      </c>
      <c r="S45" s="1146">
        <f t="shared" si="12"/>
        <v>100</v>
      </c>
      <c r="T45" s="1077" t="s">
        <v>1388</v>
      </c>
      <c r="U45" s="1146">
        <f t="shared" si="13"/>
        <v>100</v>
      </c>
      <c r="V45" s="1077" t="s">
        <v>1388</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1388</v>
      </c>
      <c r="S46" s="1146">
        <f t="shared" si="12"/>
        <v>100</v>
      </c>
      <c r="T46" s="1077" t="s">
        <v>1388</v>
      </c>
      <c r="U46" s="1146">
        <f t="shared" si="13"/>
        <v>100</v>
      </c>
      <c r="V46" s="1077" t="s">
        <v>1388</v>
      </c>
      <c r="W46" s="1146">
        <f t="shared" si="14"/>
        <v>100</v>
      </c>
      <c r="X46" s="1160"/>
      <c r="Y46" s="1416"/>
      <c r="Z46" s="1150">
        <f t="shared" si="15"/>
        <v>111</v>
      </c>
      <c r="AA46" s="1150">
        <f t="shared" si="3"/>
        <v>1</v>
      </c>
      <c r="AB46" s="1150">
        <f t="shared" si="4"/>
        <v>1</v>
      </c>
      <c r="AC46" s="1150">
        <f t="shared" si="5"/>
        <v>1</v>
      </c>
    </row>
    <row r="47" ht="14.4" spans="1:29">
      <c r="A47" s="1058" t="s">
        <v>1420</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1421</v>
      </c>
      <c r="B48" s="1336"/>
      <c r="C48" s="1071" t="e">
        <f>R49</f>
        <v>#DIV/0!</v>
      </c>
      <c r="D48" s="1069" t="s">
        <v>1422</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1423</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1424</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1425</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1426</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1427</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1386</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1428</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1389</v>
      </c>
      <c r="B61" s="1195"/>
      <c r="C61" s="1196" t="s">
        <v>1390</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1429</v>
      </c>
      <c r="B63" s="1200" t="s">
        <v>1393</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1396</v>
      </c>
      <c r="C65" s="1204" t="s">
        <v>1430</v>
      </c>
      <c r="D65" s="1204" t="s">
        <v>1431</v>
      </c>
      <c r="E65" s="1204" t="s">
        <v>1432</v>
      </c>
      <c r="F65" s="1204" t="s">
        <v>1433</v>
      </c>
      <c r="G65" s="1204" t="s">
        <v>1434</v>
      </c>
      <c r="H65" s="1204" t="s">
        <v>1435</v>
      </c>
      <c r="I65" s="1204" t="s">
        <v>1436</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1478</v>
      </c>
      <c r="D66" s="1206" t="s">
        <v>1478</v>
      </c>
      <c r="E66" s="1206" t="s">
        <v>1478</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1397</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1398</v>
      </c>
      <c r="B76" s="1200" t="s">
        <v>1399</v>
      </c>
      <c r="C76" s="1220" t="s">
        <v>1437</v>
      </c>
      <c r="D76" s="1220" t="s">
        <v>1438</v>
      </c>
      <c r="E76" s="1220" t="s">
        <v>1439</v>
      </c>
      <c r="F76" s="1220" t="s">
        <v>1440</v>
      </c>
      <c r="G76" s="1220" t="s">
        <v>1441</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1401</v>
      </c>
      <c r="C78" s="1221" t="s">
        <v>1437</v>
      </c>
      <c r="D78" s="1221" t="s">
        <v>1438</v>
      </c>
      <c r="E78" s="1221" t="s">
        <v>1439</v>
      </c>
      <c r="F78" s="1221" t="s">
        <v>1440</v>
      </c>
      <c r="G78" s="1221" t="s">
        <v>1441</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1402</v>
      </c>
      <c r="C80" s="1221" t="s">
        <v>1437</v>
      </c>
      <c r="D80" s="1221" t="s">
        <v>1438</v>
      </c>
      <c r="E80" s="1221" t="s">
        <v>1439</v>
      </c>
      <c r="F80" s="1221" t="s">
        <v>1440</v>
      </c>
      <c r="G80" s="1221" t="s">
        <v>1441</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1403</v>
      </c>
      <c r="C82" s="1135" t="s">
        <v>1442</v>
      </c>
      <c r="D82" s="1135" t="s">
        <v>1443</v>
      </c>
      <c r="E82" s="1135" t="s">
        <v>1444</v>
      </c>
      <c r="F82" s="1135" t="s">
        <v>1445</v>
      </c>
      <c r="G82" s="1135" t="s">
        <v>1446</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1404</v>
      </c>
      <c r="C84" s="1221" t="s">
        <v>1437</v>
      </c>
      <c r="D84" s="1221" t="s">
        <v>1438</v>
      </c>
      <c r="E84" s="1221" t="s">
        <v>1439</v>
      </c>
      <c r="F84" s="1221" t="s">
        <v>1440</v>
      </c>
      <c r="G84" s="1221" t="s">
        <v>1441</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1469</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1407</v>
      </c>
      <c r="B100" s="1200" t="s">
        <v>1473</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1410</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1411</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1413</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541</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1415</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1474</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1475</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1476</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1479</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1418</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1419</v>
      </c>
      <c r="C124" s="1221" t="s">
        <v>1437</v>
      </c>
      <c r="D124" s="1221" t="s">
        <v>1438</v>
      </c>
      <c r="E124" s="1221" t="s">
        <v>1439</v>
      </c>
      <c r="F124" s="1221" t="s">
        <v>1440</v>
      </c>
      <c r="G124" s="1221" t="s">
        <v>1441</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5.62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1355"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01" t="s">
        <v>1480</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IF(C2="——",ROUND(C50*D3/10000,0),ROUND(C50*D3/10000,0)-D2)</f>
        <v>#DIV/0!</v>
      </c>
      <c r="C2" s="1319"/>
      <c r="D2" s="1431" t="e">
        <f ca="1">SUMIF(INDIRECT("'"&amp;F2&amp;"'"&amp;"!A:A"),"承租人权益价值",INDIRECT("'"&amp;F2&amp;"'"&amp;"!c:c"))</f>
        <v>#REF!</v>
      </c>
      <c r="E2" s="1320" t="s">
        <v>889</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IF(C2="——",C50,ROUND(B2*10000/D3,0))</f>
        <v>#DIV/0!</v>
      </c>
      <c r="C3" s="1322" t="s">
        <v>1372</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1373</v>
      </c>
      <c r="B4" s="970"/>
      <c r="C4" s="971" t="s">
        <v>1374</v>
      </c>
      <c r="D4" s="972"/>
      <c r="E4" s="973" t="s">
        <v>1375</v>
      </c>
      <c r="F4" s="974"/>
      <c r="G4" s="971" t="s">
        <v>1376</v>
      </c>
      <c r="H4" s="972"/>
      <c r="I4" s="971" t="s">
        <v>1377</v>
      </c>
      <c r="J4" s="972"/>
      <c r="K4" s="1115" t="s">
        <v>1378</v>
      </c>
      <c r="L4" s="1116"/>
      <c r="M4" s="1117"/>
      <c r="N4" s="1117"/>
      <c r="O4" s="1117"/>
      <c r="P4" s="1439" t="s">
        <v>1379</v>
      </c>
      <c r="Q4" s="1433"/>
      <c r="R4" s="1447" t="s">
        <v>1375</v>
      </c>
      <c r="S4" s="1448"/>
      <c r="T4" s="1447" t="s">
        <v>1376</v>
      </c>
      <c r="U4" s="1448"/>
      <c r="V4" s="1084" t="s">
        <v>1377</v>
      </c>
      <c r="W4" s="1084"/>
      <c r="X4" s="1449"/>
      <c r="Y4" s="1447" t="s">
        <v>1379</v>
      </c>
      <c r="Z4" s="1448"/>
      <c r="AA4" s="1449" t="s">
        <v>1375</v>
      </c>
      <c r="AB4" s="1449" t="s">
        <v>1376</v>
      </c>
      <c r="AC4" s="1453" t="s">
        <v>1377</v>
      </c>
    </row>
    <row r="5" spans="1:29">
      <c r="A5" s="975"/>
      <c r="B5" s="976"/>
      <c r="C5" s="977" t="s">
        <v>1380</v>
      </c>
      <c r="D5" s="978"/>
      <c r="E5" s="979" t="s">
        <v>1381</v>
      </c>
      <c r="F5" s="980"/>
      <c r="G5" s="977" t="s">
        <v>1382</v>
      </c>
      <c r="H5" s="978"/>
      <c r="I5" s="977" t="s">
        <v>1383</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1384</v>
      </c>
      <c r="D6" s="1282"/>
      <c r="E6" s="1283" t="s">
        <v>1384</v>
      </c>
      <c r="F6" s="1284"/>
      <c r="G6" s="1281" t="s">
        <v>1384</v>
      </c>
      <c r="H6" s="1282"/>
      <c r="I6" s="1281" t="s">
        <v>1384</v>
      </c>
      <c r="J6" s="1282"/>
      <c r="K6" s="1115" t="s">
        <v>1385</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1386</v>
      </c>
      <c r="B7" s="988"/>
      <c r="C7" s="989">
        <f>'数据-取费表'!B2</f>
        <v>44771</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455" t="e">
        <f>D7/J7</f>
        <v>#DIV/0!</v>
      </c>
    </row>
    <row r="8" s="953" customFormat="1" ht="15.15" spans="1:29">
      <c r="A8" s="987" t="s">
        <v>1389</v>
      </c>
      <c r="B8" s="988"/>
      <c r="C8" s="994" t="s">
        <v>1390</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1391</v>
      </c>
      <c r="Q8" s="1168"/>
      <c r="R8" s="1123" t="s">
        <v>1388</v>
      </c>
      <c r="S8" s="1168">
        <f t="shared" si="0"/>
        <v>0</v>
      </c>
      <c r="T8" s="1123" t="s">
        <v>1388</v>
      </c>
      <c r="U8" s="1168">
        <f t="shared" si="1"/>
        <v>0</v>
      </c>
      <c r="V8" s="1123" t="s">
        <v>1388</v>
      </c>
      <c r="W8" s="1168">
        <f t="shared" si="2"/>
        <v>0</v>
      </c>
      <c r="X8" s="1169"/>
      <c r="Y8" s="1123" t="s">
        <v>1391</v>
      </c>
      <c r="Z8" s="1168"/>
      <c r="AA8" s="1181" t="e">
        <f t="shared" ref="AA8:AA47" si="3">D8/F8</f>
        <v>#DIV/0!</v>
      </c>
      <c r="AB8" s="1181" t="e">
        <f t="shared" ref="AB8:AB47" si="4">D8/H8</f>
        <v>#DIV/0!</v>
      </c>
      <c r="AC8" s="1455" t="e">
        <f t="shared" ref="AC8:AC47" si="5">D8/J8</f>
        <v>#DIV/0!</v>
      </c>
    </row>
    <row r="9" s="953" customFormat="1" ht="14.4" spans="1:29">
      <c r="A9" s="995" t="s">
        <v>1392</v>
      </c>
      <c r="B9" s="996" t="s">
        <v>1393</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455">
        <f t="shared" si="5"/>
        <v>1</v>
      </c>
    </row>
    <row r="10" s="954" customFormat="1" ht="28.8" spans="1:29">
      <c r="A10" s="999"/>
      <c r="B10" s="1000" t="s">
        <v>1396</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1397</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455">
        <f t="shared" si="5"/>
        <v>1</v>
      </c>
    </row>
    <row r="15" ht="72" spans="1:29">
      <c r="A15" s="1017" t="s">
        <v>1398</v>
      </c>
      <c r="B15" s="1018" t="s">
        <v>1481</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1400</v>
      </c>
      <c r="Q15" s="1093" t="str">
        <f t="shared" si="6"/>
        <v>办公集聚程度</v>
      </c>
      <c r="R15" s="1077" t="s">
        <v>1388</v>
      </c>
      <c r="S15" s="1146">
        <f t="shared" si="0"/>
        <v>100</v>
      </c>
      <c r="T15" s="1077" t="s">
        <v>1388</v>
      </c>
      <c r="U15" s="1146">
        <f t="shared" si="1"/>
        <v>100</v>
      </c>
      <c r="V15" s="1077" t="s">
        <v>1388</v>
      </c>
      <c r="W15" s="1146">
        <f t="shared" si="2"/>
        <v>100</v>
      </c>
      <c r="X15" s="1160"/>
      <c r="Y15" s="1134" t="s">
        <v>1400</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1401</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1402</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1403</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1482</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1483</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1388</v>
      </c>
      <c r="S25" s="1146">
        <f>F25</f>
        <v>100</v>
      </c>
      <c r="T25" s="1077" t="s">
        <v>1388</v>
      </c>
      <c r="U25" s="1146">
        <f>H25</f>
        <v>100</v>
      </c>
      <c r="V25" s="1077" t="s">
        <v>1388</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1472</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1388</v>
      </c>
      <c r="S27" s="1146">
        <f>F27</f>
        <v>100</v>
      </c>
      <c r="T27" s="1077" t="s">
        <v>1388</v>
      </c>
      <c r="U27" s="1146">
        <f>H27</f>
        <v>100</v>
      </c>
      <c r="V27" s="1077" t="s">
        <v>1388</v>
      </c>
      <c r="W27" s="1146">
        <f>J27</f>
        <v>100</v>
      </c>
      <c r="X27" s="1160"/>
      <c r="Y27" s="1135"/>
      <c r="Z27" s="1150" t="str">
        <f>Q27</f>
        <v>楼层</v>
      </c>
      <c r="AA27" s="1150">
        <f t="shared" si="3"/>
        <v>1</v>
      </c>
      <c r="AB27" s="1150">
        <f t="shared" si="4"/>
        <v>1</v>
      </c>
      <c r="AC27" s="1456">
        <f t="shared" si="5"/>
        <v>1</v>
      </c>
    </row>
    <row r="28" s="953" customFormat="1" ht="15" spans="1:29">
      <c r="A28" s="1006"/>
      <c r="B28" s="1027" t="s">
        <v>1406</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1388</v>
      </c>
      <c r="S28" s="1168">
        <f>F28</f>
        <v>100</v>
      </c>
      <c r="T28" s="1123" t="s">
        <v>1388</v>
      </c>
      <c r="U28" s="1168">
        <f>H28</f>
        <v>100</v>
      </c>
      <c r="V28" s="1123" t="s">
        <v>1388</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1388</v>
      </c>
      <c r="S29" s="1146">
        <f t="shared" ref="S29:S47" si="12">F29</f>
        <v>100</v>
      </c>
      <c r="T29" s="1077" t="s">
        <v>1388</v>
      </c>
      <c r="U29" s="1146">
        <f t="shared" ref="U29:U47" si="13">H29</f>
        <v>100</v>
      </c>
      <c r="V29" s="1077" t="s">
        <v>1388</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1388</v>
      </c>
      <c r="S30" s="1146">
        <f t="shared" si="12"/>
        <v>100</v>
      </c>
      <c r="T30" s="1077" t="s">
        <v>1388</v>
      </c>
      <c r="U30" s="1146">
        <f t="shared" si="13"/>
        <v>100</v>
      </c>
      <c r="V30" s="1077" t="s">
        <v>1388</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1388</v>
      </c>
      <c r="S31" s="1146">
        <f t="shared" si="12"/>
        <v>100</v>
      </c>
      <c r="T31" s="1077" t="s">
        <v>1388</v>
      </c>
      <c r="U31" s="1146">
        <f t="shared" si="13"/>
        <v>100</v>
      </c>
      <c r="V31" s="1077" t="s">
        <v>1388</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1388</v>
      </c>
      <c r="S32" s="1146">
        <f t="shared" si="12"/>
        <v>100</v>
      </c>
      <c r="T32" s="1077" t="s">
        <v>1388</v>
      </c>
      <c r="U32" s="1146">
        <f t="shared" si="13"/>
        <v>100</v>
      </c>
      <c r="V32" s="1077" t="s">
        <v>1388</v>
      </c>
      <c r="W32" s="1146">
        <f t="shared" si="14"/>
        <v>100</v>
      </c>
      <c r="X32" s="1160"/>
      <c r="Y32" s="1135"/>
      <c r="Z32" s="1150">
        <f t="shared" si="15"/>
        <v>111</v>
      </c>
      <c r="AA32" s="1150">
        <f t="shared" si="3"/>
        <v>1</v>
      </c>
      <c r="AB32" s="1150">
        <f t="shared" si="4"/>
        <v>1</v>
      </c>
      <c r="AC32" s="1456">
        <f t="shared" si="5"/>
        <v>1</v>
      </c>
    </row>
    <row r="33" ht="15" spans="1:29">
      <c r="A33" s="1017" t="s">
        <v>1407</v>
      </c>
      <c r="B33" s="996" t="s">
        <v>1408</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1409</v>
      </c>
      <c r="Q33" s="1093" t="str">
        <f t="shared" si="11"/>
        <v>建筑类型</v>
      </c>
      <c r="R33" s="1077" t="s">
        <v>1388</v>
      </c>
      <c r="S33" s="1146">
        <f t="shared" si="12"/>
        <v>100</v>
      </c>
      <c r="T33" s="1077" t="s">
        <v>1388</v>
      </c>
      <c r="U33" s="1146">
        <f t="shared" si="13"/>
        <v>100</v>
      </c>
      <c r="V33" s="1077" t="s">
        <v>1388</v>
      </c>
      <c r="W33" s="1146">
        <f t="shared" si="14"/>
        <v>100</v>
      </c>
      <c r="X33" s="1160"/>
      <c r="Y33" s="1143" t="s">
        <v>1409</v>
      </c>
      <c r="Z33" s="1150" t="str">
        <f t="shared" si="15"/>
        <v>建筑类型</v>
      </c>
      <c r="AA33" s="1150">
        <f t="shared" si="3"/>
        <v>1</v>
      </c>
      <c r="AB33" s="1150">
        <f t="shared" si="4"/>
        <v>1</v>
      </c>
      <c r="AC33" s="1456">
        <f t="shared" si="5"/>
        <v>1</v>
      </c>
    </row>
    <row r="34" s="955" customFormat="1" ht="15" spans="1:29">
      <c r="A34" s="1056"/>
      <c r="B34" s="1000" t="s">
        <v>1410</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1388</v>
      </c>
      <c r="S34" s="1172" t="e">
        <f t="shared" si="12"/>
        <v>#N/A</v>
      </c>
      <c r="T34" s="1171" t="s">
        <v>1388</v>
      </c>
      <c r="U34" s="1172" t="e">
        <f t="shared" si="13"/>
        <v>#N/A</v>
      </c>
      <c r="V34" s="1171" t="s">
        <v>1388</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1411</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1388</v>
      </c>
      <c r="S35" s="1146">
        <f t="shared" si="12"/>
        <v>100</v>
      </c>
      <c r="T35" s="1077" t="s">
        <v>1388</v>
      </c>
      <c r="U35" s="1146">
        <f t="shared" si="13"/>
        <v>100</v>
      </c>
      <c r="V35" s="1077" t="s">
        <v>1388</v>
      </c>
      <c r="W35" s="1146">
        <f t="shared" si="14"/>
        <v>100</v>
      </c>
      <c r="X35" s="1160"/>
      <c r="Y35" s="1143"/>
      <c r="Z35" s="1150" t="str">
        <f t="shared" si="15"/>
        <v>建筑结构</v>
      </c>
      <c r="AA35" s="1150">
        <f t="shared" si="3"/>
        <v>1</v>
      </c>
      <c r="AB35" s="1150">
        <f t="shared" si="4"/>
        <v>1</v>
      </c>
      <c r="AC35" s="1456">
        <f t="shared" si="5"/>
        <v>1</v>
      </c>
    </row>
    <row r="36" ht="15" spans="1:29">
      <c r="A36" s="1051"/>
      <c r="B36" s="1000" t="s">
        <v>1413</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1388</v>
      </c>
      <c r="S36" s="1146">
        <f t="shared" si="12"/>
        <v>100</v>
      </c>
      <c r="T36" s="1077" t="s">
        <v>1388</v>
      </c>
      <c r="U36" s="1146">
        <f t="shared" si="13"/>
        <v>100</v>
      </c>
      <c r="V36" s="1077" t="s">
        <v>1388</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541</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1388</v>
      </c>
      <c r="S37" s="1146" t="e">
        <f t="shared" si="12"/>
        <v>#N/A</v>
      </c>
      <c r="T37" s="1077" t="s">
        <v>1388</v>
      </c>
      <c r="U37" s="1146" t="e">
        <f t="shared" si="13"/>
        <v>#N/A</v>
      </c>
      <c r="V37" s="1077" t="s">
        <v>1388</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1484</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1388</v>
      </c>
      <c r="S38" s="1168">
        <f t="shared" si="12"/>
        <v>100</v>
      </c>
      <c r="T38" s="1123" t="s">
        <v>1388</v>
      </c>
      <c r="U38" s="1168">
        <f t="shared" si="13"/>
        <v>100</v>
      </c>
      <c r="V38" s="1123" t="s">
        <v>1388</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1414</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1409</v>
      </c>
      <c r="Q39" s="1093" t="str">
        <f t="shared" si="11"/>
        <v>物业管理</v>
      </c>
      <c r="R39" s="1077" t="s">
        <v>1388</v>
      </c>
      <c r="S39" s="1146">
        <f t="shared" si="12"/>
        <v>100</v>
      </c>
      <c r="T39" s="1077" t="s">
        <v>1388</v>
      </c>
      <c r="U39" s="1146">
        <f t="shared" si="13"/>
        <v>100</v>
      </c>
      <c r="V39" s="1077" t="s">
        <v>1388</v>
      </c>
      <c r="W39" s="1146">
        <f t="shared" si="14"/>
        <v>100</v>
      </c>
      <c r="X39" s="1160"/>
      <c r="Y39" s="1143" t="s">
        <v>1409</v>
      </c>
      <c r="Z39" s="1150" t="str">
        <f t="shared" si="15"/>
        <v>物业管理</v>
      </c>
      <c r="AA39" s="1150">
        <f t="shared" si="3"/>
        <v>1</v>
      </c>
      <c r="AB39" s="1150">
        <f t="shared" si="4"/>
        <v>1</v>
      </c>
      <c r="AC39" s="1456">
        <f t="shared" si="5"/>
        <v>1</v>
      </c>
    </row>
    <row r="40" ht="15" spans="1:29">
      <c r="A40" s="1051"/>
      <c r="B40" s="1000" t="s">
        <v>1415</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1388</v>
      </c>
      <c r="S40" s="1146">
        <f t="shared" si="12"/>
        <v>100</v>
      </c>
      <c r="T40" s="1077" t="s">
        <v>1388</v>
      </c>
      <c r="U40" s="1146">
        <f t="shared" si="13"/>
        <v>100</v>
      </c>
      <c r="V40" s="1077" t="s">
        <v>1388</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1475</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1388</v>
      </c>
      <c r="S41" s="1146">
        <f t="shared" si="12"/>
        <v>100</v>
      </c>
      <c r="T41" s="1077" t="s">
        <v>1388</v>
      </c>
      <c r="U41" s="1146">
        <f t="shared" si="13"/>
        <v>100</v>
      </c>
      <c r="V41" s="1077" t="s">
        <v>1388</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1485</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1388</v>
      </c>
      <c r="S42" s="1172">
        <f t="shared" si="12"/>
        <v>100</v>
      </c>
      <c r="T42" s="1171" t="s">
        <v>1388</v>
      </c>
      <c r="U42" s="1172">
        <f t="shared" si="13"/>
        <v>100</v>
      </c>
      <c r="V42" s="1171" t="s">
        <v>1388</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1418</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1388</v>
      </c>
      <c r="S43" s="1146">
        <f t="shared" si="12"/>
        <v>100</v>
      </c>
      <c r="T43" s="1077" t="s">
        <v>1388</v>
      </c>
      <c r="U43" s="1146">
        <f t="shared" si="13"/>
        <v>100</v>
      </c>
      <c r="V43" s="1077" t="s">
        <v>1388</v>
      </c>
      <c r="W43" s="1146">
        <f t="shared" si="14"/>
        <v>100</v>
      </c>
      <c r="X43" s="1160"/>
      <c r="Y43" s="1143"/>
      <c r="Z43" s="1150" t="str">
        <f t="shared" si="15"/>
        <v>内部装修</v>
      </c>
      <c r="AA43" s="1150">
        <f t="shared" si="3"/>
        <v>1</v>
      </c>
      <c r="AB43" s="1150">
        <f t="shared" si="4"/>
        <v>1</v>
      </c>
      <c r="AC43" s="1456">
        <f t="shared" si="5"/>
        <v>1</v>
      </c>
    </row>
    <row r="44" ht="28.8" spans="1:29">
      <c r="A44" s="1051"/>
      <c r="B44" s="1000" t="s">
        <v>1419</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1388</v>
      </c>
      <c r="S44" s="1146">
        <f t="shared" si="12"/>
        <v>100</v>
      </c>
      <c r="T44" s="1077" t="s">
        <v>1388</v>
      </c>
      <c r="U44" s="1146">
        <f t="shared" si="13"/>
        <v>100</v>
      </c>
      <c r="V44" s="1077" t="s">
        <v>1388</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1388</v>
      </c>
      <c r="S45" s="1168">
        <f t="shared" si="12"/>
        <v>100</v>
      </c>
      <c r="T45" s="1123" t="s">
        <v>1388</v>
      </c>
      <c r="U45" s="1168">
        <f t="shared" si="13"/>
        <v>100</v>
      </c>
      <c r="V45" s="1123" t="s">
        <v>1388</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1388</v>
      </c>
      <c r="S46" s="1146">
        <f t="shared" si="12"/>
        <v>100</v>
      </c>
      <c r="T46" s="1077" t="s">
        <v>1388</v>
      </c>
      <c r="U46" s="1146">
        <f t="shared" si="13"/>
        <v>100</v>
      </c>
      <c r="V46" s="1077" t="s">
        <v>1388</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1388</v>
      </c>
      <c r="S47" s="1146">
        <f t="shared" si="12"/>
        <v>100</v>
      </c>
      <c r="T47" s="1077" t="s">
        <v>1388</v>
      </c>
      <c r="U47" s="1146">
        <f t="shared" si="13"/>
        <v>100</v>
      </c>
      <c r="V47" s="1077" t="s">
        <v>1388</v>
      </c>
      <c r="W47" s="1146">
        <f t="shared" si="14"/>
        <v>100</v>
      </c>
      <c r="X47" s="1160"/>
      <c r="Y47" s="1416"/>
      <c r="Z47" s="1150">
        <f t="shared" si="15"/>
        <v>111</v>
      </c>
      <c r="AA47" s="1150">
        <f t="shared" si="3"/>
        <v>1</v>
      </c>
      <c r="AB47" s="1150">
        <f t="shared" si="4"/>
        <v>1</v>
      </c>
      <c r="AC47" s="1456">
        <f t="shared" si="5"/>
        <v>1</v>
      </c>
    </row>
    <row r="48" ht="14.4" spans="1:29">
      <c r="A48" s="1058" t="s">
        <v>1420</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1421</v>
      </c>
      <c r="B49" s="1336"/>
      <c r="C49" s="1071" t="e">
        <f>R50</f>
        <v>#DIV/0!</v>
      </c>
      <c r="D49" s="1069" t="s">
        <v>1422</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1423</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1424</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1425</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1426</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1427</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1386</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1428</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1389</v>
      </c>
      <c r="B62" s="1195"/>
      <c r="C62" s="1196" t="s">
        <v>1390</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1429</v>
      </c>
      <c r="B64" s="1200" t="s">
        <v>1393</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1396</v>
      </c>
      <c r="C66" s="1204" t="s">
        <v>1430</v>
      </c>
      <c r="D66" s="1204" t="s">
        <v>1431</v>
      </c>
      <c r="E66" s="1204" t="s">
        <v>1432</v>
      </c>
      <c r="F66" s="1204" t="s">
        <v>1433</v>
      </c>
      <c r="G66" s="1204" t="s">
        <v>1434</v>
      </c>
      <c r="H66" s="1204" t="s">
        <v>1435</v>
      </c>
      <c r="I66" s="1204" t="s">
        <v>1436</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1478</v>
      </c>
      <c r="D67" s="1206" t="s">
        <v>1478</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1397</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1398</v>
      </c>
      <c r="B77" s="1200" t="s">
        <v>1481</v>
      </c>
      <c r="C77" s="1220" t="s">
        <v>1437</v>
      </c>
      <c r="D77" s="1220" t="s">
        <v>1438</v>
      </c>
      <c r="E77" s="1220" t="s">
        <v>1439</v>
      </c>
      <c r="F77" s="1220" t="s">
        <v>1440</v>
      </c>
      <c r="G77" s="1220" t="s">
        <v>1441</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1401</v>
      </c>
      <c r="C79" s="1221" t="s">
        <v>1437</v>
      </c>
      <c r="D79" s="1221" t="s">
        <v>1438</v>
      </c>
      <c r="E79" s="1221" t="s">
        <v>1439</v>
      </c>
      <c r="F79" s="1221" t="s">
        <v>1440</v>
      </c>
      <c r="G79" s="1221" t="s">
        <v>1441</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1402</v>
      </c>
      <c r="C81" s="1221" t="s">
        <v>1437</v>
      </c>
      <c r="D81" s="1221" t="s">
        <v>1438</v>
      </c>
      <c r="E81" s="1221" t="s">
        <v>1439</v>
      </c>
      <c r="F81" s="1221" t="s">
        <v>1440</v>
      </c>
      <c r="G81" s="1221" t="s">
        <v>1441</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1403</v>
      </c>
      <c r="C83" s="1135" t="s">
        <v>1442</v>
      </c>
      <c r="D83" s="1135" t="s">
        <v>1443</v>
      </c>
      <c r="E83" s="1135" t="s">
        <v>1444</v>
      </c>
      <c r="F83" s="1135" t="s">
        <v>1445</v>
      </c>
      <c r="G83" s="1135" t="s">
        <v>1446</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1482</v>
      </c>
      <c r="C85" s="1221" t="s">
        <v>1437</v>
      </c>
      <c r="D85" s="1221" t="s">
        <v>1438</v>
      </c>
      <c r="E85" s="1221" t="s">
        <v>1439</v>
      </c>
      <c r="F85" s="1221" t="s">
        <v>1440</v>
      </c>
      <c r="G85" s="1221" t="s">
        <v>1441</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1483</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1407</v>
      </c>
      <c r="B101" s="1200" t="s">
        <v>1408</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1410</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1411</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1413</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541</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1484</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1414</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1415</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1486</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1476</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1418</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1419</v>
      </c>
      <c r="C125" s="1221" t="s">
        <v>1437</v>
      </c>
      <c r="D125" s="1221" t="s">
        <v>1438</v>
      </c>
      <c r="E125" s="1221" t="s">
        <v>1439</v>
      </c>
      <c r="F125" s="1221" t="s">
        <v>1440</v>
      </c>
      <c r="G125" s="1221" t="s">
        <v>1441</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1367</v>
      </c>
      <c r="B1" s="1401" t="s">
        <v>1487</v>
      </c>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IF(C2="——",ROUND(C43*D3/10000,0),ROUND(C43*D3/10000,0)-D2)</f>
        <v>#DIV/0!</v>
      </c>
      <c r="C2" s="1319"/>
      <c r="D2" s="1280" t="e">
        <f ca="1">SUMIF(INDIRECT("'"&amp;F2&amp;"'"&amp;"!A:A"),"承租人权益价值",INDIRECT("'"&amp;F2&amp;"'"&amp;"!c:c"))</f>
        <v>#REF!</v>
      </c>
      <c r="E2" s="1320" t="s">
        <v>889</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890</v>
      </c>
      <c r="B3" s="967" t="e">
        <f ca="1">IF(C2="——",C43,ROUND(B2*10000/D3,0))</f>
        <v>#DIV/0!</v>
      </c>
      <c r="C3" s="1322" t="s">
        <v>1372</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403"/>
      <c r="M4" s="1404"/>
      <c r="N4" s="1404"/>
      <c r="O4" s="1404"/>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ht="14.4" spans="1:29">
      <c r="A9" s="995" t="s">
        <v>1392</v>
      </c>
      <c r="B9" s="996" t="s">
        <v>1393</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1397</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286" t="s">
        <v>1488</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1401</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1402</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1388</v>
      </c>
      <c r="S19" s="1146">
        <f>F19</f>
        <v>100</v>
      </c>
      <c r="T19" s="1077" t="s">
        <v>1388</v>
      </c>
      <c r="U19" s="1146">
        <f>H19</f>
        <v>100</v>
      </c>
      <c r="V19" s="1077" t="s">
        <v>1388</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1403</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1388</v>
      </c>
      <c r="S21" s="1146">
        <f>F21</f>
        <v>100</v>
      </c>
      <c r="T21" s="1077" t="s">
        <v>1388</v>
      </c>
      <c r="U21" s="1146">
        <f>H21</f>
        <v>100</v>
      </c>
      <c r="V21" s="1077" t="s">
        <v>1388</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1482</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1388</v>
      </c>
      <c r="S23" s="1146">
        <f>F23</f>
        <v>100</v>
      </c>
      <c r="T23" s="1077" t="s">
        <v>1388</v>
      </c>
      <c r="U23" s="1146">
        <f>H23</f>
        <v>100</v>
      </c>
      <c r="V23" s="1077" t="s">
        <v>1388</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1388</v>
      </c>
      <c r="S25" s="1146">
        <f>F25</f>
        <v>100</v>
      </c>
      <c r="T25" s="1077" t="s">
        <v>1388</v>
      </c>
      <c r="U25" s="1146">
        <f>H25</f>
        <v>100</v>
      </c>
      <c r="V25" s="1077" t="s">
        <v>1388</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1388</v>
      </c>
      <c r="S26" s="1146">
        <f>F26</f>
        <v>100</v>
      </c>
      <c r="T26" s="1077" t="s">
        <v>1388</v>
      </c>
      <c r="U26" s="1146">
        <f>H26</f>
        <v>100</v>
      </c>
      <c r="V26" s="1077" t="s">
        <v>1388</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1388</v>
      </c>
      <c r="S27" s="1168">
        <f>F27</f>
        <v>100</v>
      </c>
      <c r="T27" s="1123" t="s">
        <v>1388</v>
      </c>
      <c r="U27" s="1168">
        <f>H27</f>
        <v>100</v>
      </c>
      <c r="V27" s="1123" t="s">
        <v>1388</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1388</v>
      </c>
      <c r="S28" s="1146">
        <f t="shared" ref="S28:S40" si="12">F28</f>
        <v>100</v>
      </c>
      <c r="T28" s="1077" t="s">
        <v>1388</v>
      </c>
      <c r="U28" s="1146">
        <f t="shared" ref="U28:U40" si="13">H28</f>
        <v>100</v>
      </c>
      <c r="V28" s="1077" t="s">
        <v>1388</v>
      </c>
      <c r="W28" s="1146">
        <f t="shared" ref="W28:W40" si="14">J28</f>
        <v>100</v>
      </c>
      <c r="X28" s="1160"/>
      <c r="Y28" s="1135"/>
      <c r="Z28" s="1150">
        <f t="shared" ref="Z28:Z40" si="15">Q28</f>
        <v>111</v>
      </c>
      <c r="AA28" s="1150">
        <f t="shared" si="3"/>
        <v>1</v>
      </c>
      <c r="AB28" s="1150">
        <f t="shared" si="4"/>
        <v>1</v>
      </c>
      <c r="AC28" s="1150">
        <f t="shared" si="5"/>
        <v>1</v>
      </c>
    </row>
    <row r="29" ht="30.6" spans="1:29">
      <c r="A29" s="1330" t="s">
        <v>1407</v>
      </c>
      <c r="B29" s="996" t="s">
        <v>1408</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1409</v>
      </c>
      <c r="Q29" s="1093" t="str">
        <f t="shared" si="11"/>
        <v>建筑类型</v>
      </c>
      <c r="R29" s="1077" t="s">
        <v>1388</v>
      </c>
      <c r="S29" s="1146">
        <f t="shared" si="12"/>
        <v>100</v>
      </c>
      <c r="T29" s="1077" t="s">
        <v>1388</v>
      </c>
      <c r="U29" s="1146">
        <f t="shared" si="13"/>
        <v>100</v>
      </c>
      <c r="V29" s="1077" t="s">
        <v>1388</v>
      </c>
      <c r="W29" s="1146">
        <f t="shared" si="14"/>
        <v>100</v>
      </c>
      <c r="X29" s="1160"/>
      <c r="Y29" s="1143" t="s">
        <v>1409</v>
      </c>
      <c r="Z29" s="1150" t="str">
        <f t="shared" si="15"/>
        <v>建筑类型</v>
      </c>
      <c r="AA29" s="1150">
        <f t="shared" si="3"/>
        <v>1</v>
      </c>
      <c r="AB29" s="1150">
        <f t="shared" si="4"/>
        <v>1</v>
      </c>
      <c r="AC29" s="1150">
        <f t="shared" si="5"/>
        <v>1</v>
      </c>
    </row>
    <row r="30" s="955" customFormat="1" ht="15" spans="1:29">
      <c r="A30" s="1056"/>
      <c r="B30" s="1000" t="s">
        <v>1410</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1388</v>
      </c>
      <c r="S30" s="1172" t="e">
        <f t="shared" si="12"/>
        <v>#N/A</v>
      </c>
      <c r="T30" s="1171" t="s">
        <v>1388</v>
      </c>
      <c r="U30" s="1172" t="e">
        <f t="shared" si="13"/>
        <v>#N/A</v>
      </c>
      <c r="V30" s="1171" t="s">
        <v>1388</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1411</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1388</v>
      </c>
      <c r="S31" s="1146">
        <f t="shared" si="12"/>
        <v>100</v>
      </c>
      <c r="T31" s="1077" t="s">
        <v>1388</v>
      </c>
      <c r="U31" s="1146">
        <f t="shared" si="13"/>
        <v>100</v>
      </c>
      <c r="V31" s="1077" t="s">
        <v>1388</v>
      </c>
      <c r="W31" s="1146">
        <f t="shared" si="14"/>
        <v>100</v>
      </c>
      <c r="X31" s="1160"/>
      <c r="Y31" s="1143"/>
      <c r="Z31" s="1150" t="str">
        <f t="shared" si="15"/>
        <v>建筑结构</v>
      </c>
      <c r="AA31" s="1150">
        <f t="shared" si="3"/>
        <v>1</v>
      </c>
      <c r="AB31" s="1150">
        <f t="shared" si="4"/>
        <v>1</v>
      </c>
      <c r="AC31" s="1150">
        <f t="shared" si="5"/>
        <v>1</v>
      </c>
    </row>
    <row r="32" ht="15" spans="1:29">
      <c r="A32" s="1051"/>
      <c r="B32" s="1000" t="s">
        <v>1413</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1388</v>
      </c>
      <c r="S32" s="1146">
        <f t="shared" si="12"/>
        <v>100</v>
      </c>
      <c r="T32" s="1077" t="s">
        <v>1388</v>
      </c>
      <c r="U32" s="1146">
        <f t="shared" si="13"/>
        <v>100</v>
      </c>
      <c r="V32" s="1077" t="s">
        <v>1388</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541</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1388</v>
      </c>
      <c r="S33" s="1146" t="e">
        <f t="shared" si="12"/>
        <v>#N/A</v>
      </c>
      <c r="T33" s="1077" t="s">
        <v>1388</v>
      </c>
      <c r="U33" s="1146" t="e">
        <f t="shared" si="13"/>
        <v>#N/A</v>
      </c>
      <c r="V33" s="1077" t="s">
        <v>1388</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1414</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1388</v>
      </c>
      <c r="S34" s="1168">
        <f t="shared" si="12"/>
        <v>100</v>
      </c>
      <c r="T34" s="1123" t="s">
        <v>1388</v>
      </c>
      <c r="U34" s="1168">
        <f t="shared" si="13"/>
        <v>100</v>
      </c>
      <c r="V34" s="1123" t="s">
        <v>1388</v>
      </c>
      <c r="W34" s="1168">
        <f t="shared" si="14"/>
        <v>100</v>
      </c>
      <c r="X34" s="1169"/>
      <c r="Y34" s="1143"/>
      <c r="Z34" s="1181" t="str">
        <f t="shared" si="15"/>
        <v>物业管理</v>
      </c>
      <c r="AA34" s="1181">
        <f t="shared" si="3"/>
        <v>1</v>
      </c>
      <c r="AB34" s="1181">
        <f t="shared" si="4"/>
        <v>1</v>
      </c>
      <c r="AC34" s="1181">
        <f t="shared" si="5"/>
        <v>1</v>
      </c>
    </row>
    <row r="35" ht="15" spans="1:29">
      <c r="A35" s="1051"/>
      <c r="B35" s="1000" t="s">
        <v>1415</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1409</v>
      </c>
      <c r="Q35" s="1093" t="str">
        <f t="shared" si="11"/>
        <v>市政基础设施</v>
      </c>
      <c r="R35" s="1077" t="s">
        <v>1388</v>
      </c>
      <c r="S35" s="1146">
        <f t="shared" si="12"/>
        <v>100</v>
      </c>
      <c r="T35" s="1077" t="s">
        <v>1388</v>
      </c>
      <c r="U35" s="1146">
        <f t="shared" si="13"/>
        <v>100</v>
      </c>
      <c r="V35" s="1077" t="s">
        <v>1388</v>
      </c>
      <c r="W35" s="1146">
        <f t="shared" si="14"/>
        <v>100</v>
      </c>
      <c r="X35" s="1160"/>
      <c r="Y35" s="1143" t="s">
        <v>1409</v>
      </c>
      <c r="Z35" s="1150" t="str">
        <f t="shared" si="15"/>
        <v>市政基础设施</v>
      </c>
      <c r="AA35" s="1150">
        <f t="shared" si="3"/>
        <v>1</v>
      </c>
      <c r="AB35" s="1150">
        <f t="shared" si="4"/>
        <v>1</v>
      </c>
      <c r="AC35" s="1150">
        <f t="shared" si="5"/>
        <v>1</v>
      </c>
    </row>
    <row r="36" ht="15" spans="1:29">
      <c r="A36" s="1051"/>
      <c r="B36" s="1000" t="s">
        <v>1418</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1388</v>
      </c>
      <c r="S36" s="1146">
        <f t="shared" si="12"/>
        <v>100</v>
      </c>
      <c r="T36" s="1077" t="s">
        <v>1388</v>
      </c>
      <c r="U36" s="1146">
        <f t="shared" si="13"/>
        <v>100</v>
      </c>
      <c r="V36" s="1077" t="s">
        <v>1388</v>
      </c>
      <c r="W36" s="1146">
        <f t="shared" si="14"/>
        <v>100</v>
      </c>
      <c r="X36" s="1160"/>
      <c r="Y36" s="1143"/>
      <c r="Z36" s="1150" t="str">
        <f t="shared" si="15"/>
        <v>内部装修</v>
      </c>
      <c r="AA36" s="1150">
        <f t="shared" si="3"/>
        <v>1</v>
      </c>
      <c r="AB36" s="1150">
        <f t="shared" si="4"/>
        <v>1</v>
      </c>
      <c r="AC36" s="1150">
        <f t="shared" si="5"/>
        <v>1</v>
      </c>
    </row>
    <row r="37" ht="15" spans="1:29">
      <c r="A37" s="1051"/>
      <c r="B37" s="1000" t="s">
        <v>1489</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1388</v>
      </c>
      <c r="S37" s="1146">
        <f t="shared" si="12"/>
        <v>100</v>
      </c>
      <c r="T37" s="1077" t="s">
        <v>1388</v>
      </c>
      <c r="U37" s="1146">
        <f t="shared" si="13"/>
        <v>100</v>
      </c>
      <c r="V37" s="1077" t="s">
        <v>1388</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1388</v>
      </c>
      <c r="S38" s="1172">
        <f t="shared" si="12"/>
        <v>100</v>
      </c>
      <c r="T38" s="1171" t="s">
        <v>1388</v>
      </c>
      <c r="U38" s="1172">
        <f t="shared" si="13"/>
        <v>100</v>
      </c>
      <c r="V38" s="1171" t="s">
        <v>1388</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1388</v>
      </c>
      <c r="S39" s="1146">
        <f t="shared" si="12"/>
        <v>100</v>
      </c>
      <c r="T39" s="1077" t="s">
        <v>1388</v>
      </c>
      <c r="U39" s="1146">
        <f t="shared" si="13"/>
        <v>100</v>
      </c>
      <c r="V39" s="1077" t="s">
        <v>1388</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1388</v>
      </c>
      <c r="S40" s="1146">
        <f t="shared" si="12"/>
        <v>100</v>
      </c>
      <c r="T40" s="1077" t="s">
        <v>1388</v>
      </c>
      <c r="U40" s="1146">
        <f t="shared" si="13"/>
        <v>100</v>
      </c>
      <c r="V40" s="1077" t="s">
        <v>1388</v>
      </c>
      <c r="W40" s="1146">
        <f t="shared" si="14"/>
        <v>100</v>
      </c>
      <c r="X40" s="1160"/>
      <c r="Y40" s="1416"/>
      <c r="Z40" s="1150">
        <f t="shared" si="15"/>
        <v>111</v>
      </c>
      <c r="AA40" s="1150">
        <f t="shared" si="3"/>
        <v>1</v>
      </c>
      <c r="AB40" s="1150">
        <f t="shared" si="4"/>
        <v>1</v>
      </c>
      <c r="AC40" s="1150">
        <f t="shared" si="5"/>
        <v>1</v>
      </c>
    </row>
    <row r="41" ht="14.4" spans="1:29">
      <c r="A41" s="1058" t="s">
        <v>1420</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1421</v>
      </c>
      <c r="B42" s="1336"/>
      <c r="C42" s="1071" t="e">
        <f>R43</f>
        <v>#DIV/0!</v>
      </c>
      <c r="D42" s="1069" t="s">
        <v>1422</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1423</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1427</v>
      </c>
      <c r="B51" s="1081"/>
      <c r="C51" s="1108"/>
      <c r="D51" s="1108"/>
      <c r="E51" s="1108"/>
      <c r="F51" s="1109"/>
      <c r="G51" s="1109"/>
      <c r="H51" s="1108"/>
      <c r="I51" s="1108"/>
      <c r="J51" s="1108"/>
      <c r="K51" s="1306"/>
      <c r="L51" s="1155"/>
      <c r="M51" s="1155"/>
      <c r="N51" s="1155"/>
      <c r="O51" s="1155"/>
      <c r="P51" s="1419"/>
      <c r="Q51" s="1421"/>
    </row>
    <row r="52" s="953" customFormat="1" ht="14.4" spans="1:16">
      <c r="A52" s="1337" t="s">
        <v>1386</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1428</v>
      </c>
      <c r="B54" s="1191"/>
      <c r="C54" s="1192"/>
      <c r="D54" s="1193"/>
      <c r="E54" s="1193"/>
      <c r="F54" s="1193"/>
      <c r="G54" s="1193"/>
      <c r="H54" s="1193"/>
      <c r="I54" s="1193"/>
      <c r="J54" s="1193"/>
      <c r="K54" s="1193"/>
      <c r="L54" s="1193"/>
      <c r="M54" s="1232"/>
      <c r="N54" s="1422"/>
      <c r="O54" s="1423"/>
      <c r="P54" s="1421"/>
      <c r="Q54" s="1421"/>
    </row>
    <row r="55" s="953" customFormat="1" ht="14.4" spans="1:17">
      <c r="A55" s="1194" t="s">
        <v>1389</v>
      </c>
      <c r="B55" s="1195"/>
      <c r="C55" s="1196" t="s">
        <v>1390</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1429</v>
      </c>
      <c r="B57" s="1200" t="s">
        <v>1393</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1396</v>
      </c>
      <c r="C59" s="1204" t="s">
        <v>1430</v>
      </c>
      <c r="D59" s="1204" t="s">
        <v>1431</v>
      </c>
      <c r="E59" s="1204" t="s">
        <v>1432</v>
      </c>
      <c r="F59" s="1204" t="s">
        <v>1433</v>
      </c>
      <c r="G59" s="1204" t="s">
        <v>1434</v>
      </c>
      <c r="H59" s="1204" t="s">
        <v>1435</v>
      </c>
      <c r="I59" s="1204" t="s">
        <v>1436</v>
      </c>
      <c r="J59" s="1204"/>
      <c r="K59" s="1243"/>
      <c r="L59" s="1244"/>
      <c r="M59" s="1245"/>
      <c r="N59" s="1413"/>
      <c r="O59" s="1413"/>
      <c r="P59" s="1421"/>
      <c r="Q59" s="1421"/>
    </row>
    <row r="60" ht="14.55" spans="1:17">
      <c r="A60" s="1003"/>
      <c r="B60" s="1205"/>
      <c r="C60" s="1206" t="s">
        <v>1478</v>
      </c>
      <c r="D60" s="1206" t="s">
        <v>1478</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1397</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1398</v>
      </c>
      <c r="B70" s="1200" t="s">
        <v>1488</v>
      </c>
      <c r="C70" s="1220" t="s">
        <v>1437</v>
      </c>
      <c r="D70" s="1220" t="s">
        <v>1438</v>
      </c>
      <c r="E70" s="1220" t="s">
        <v>1439</v>
      </c>
      <c r="F70" s="1220" t="s">
        <v>1440</v>
      </c>
      <c r="G70" s="1220" t="s">
        <v>1441</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1401</v>
      </c>
      <c r="C72" s="1221" t="s">
        <v>1437</v>
      </c>
      <c r="D72" s="1221" t="s">
        <v>1438</v>
      </c>
      <c r="E72" s="1221" t="s">
        <v>1439</v>
      </c>
      <c r="F72" s="1221" t="s">
        <v>1440</v>
      </c>
      <c r="G72" s="1221" t="s">
        <v>1441</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1402</v>
      </c>
      <c r="C74" s="1221" t="s">
        <v>1437</v>
      </c>
      <c r="D74" s="1221" t="s">
        <v>1438</v>
      </c>
      <c r="E74" s="1221" t="s">
        <v>1439</v>
      </c>
      <c r="F74" s="1221" t="s">
        <v>1440</v>
      </c>
      <c r="G74" s="1221" t="s">
        <v>1441</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1403</v>
      </c>
      <c r="C76" s="1135" t="s">
        <v>1442</v>
      </c>
      <c r="D76" s="1135" t="s">
        <v>1443</v>
      </c>
      <c r="E76" s="1135" t="s">
        <v>1444</v>
      </c>
      <c r="F76" s="1135" t="s">
        <v>1445</v>
      </c>
      <c r="G76" s="1135" t="s">
        <v>1446</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1482</v>
      </c>
      <c r="C78" s="1221" t="s">
        <v>1437</v>
      </c>
      <c r="D78" s="1221" t="s">
        <v>1438</v>
      </c>
      <c r="E78" s="1221" t="s">
        <v>1439</v>
      </c>
      <c r="F78" s="1221" t="s">
        <v>1440</v>
      </c>
      <c r="G78" s="1221" t="s">
        <v>1441</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1407</v>
      </c>
      <c r="B88" s="1200" t="s">
        <v>1408</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1410</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1411</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1413</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541</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1414</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1415</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1418</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1490</v>
      </c>
      <c r="C106" s="1221" t="s">
        <v>1437</v>
      </c>
      <c r="D106" s="1221" t="s">
        <v>1438</v>
      </c>
      <c r="E106" s="1221" t="s">
        <v>1439</v>
      </c>
      <c r="F106" s="1221" t="s">
        <v>1440</v>
      </c>
      <c r="G106" s="1221" t="s">
        <v>1441</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5.5" style="958" customWidth="1"/>
    <col min="10" max="15" width="12.25" style="958" customWidth="1"/>
    <col min="16" max="16" width="4.75" style="1355"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1491</v>
      </c>
      <c r="B1" s="1311"/>
      <c r="C1" s="1312" t="s">
        <v>1369</v>
      </c>
      <c r="D1" s="1313"/>
      <c r="E1" s="1356"/>
      <c r="F1" s="1315"/>
      <c r="G1" s="1357" t="s">
        <v>1371</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888</v>
      </c>
      <c r="B2" s="1318" t="e">
        <f ca="1">IF(C2="——",IF(B37="元/平方米",ROUND(C39*D3/10000,0),ROUND(F3*C39/10000,0)),IF(B37="元/平方米",ROUND(C39*D3/10000,0),ROUND(F3*C39/10000,0))-D2)</f>
        <v>#DIV/0!</v>
      </c>
      <c r="C2" s="1319"/>
      <c r="D2" s="1280" t="e">
        <f ca="1">SUMIF(INDIRECT("'"&amp;F2&amp;"'"&amp;"!A:A"),"承租人权益价值",INDIRECT("'"&amp;F2&amp;"'"&amp;"!c:c"))</f>
        <v>#REF!</v>
      </c>
      <c r="E2" s="1320" t="s">
        <v>889</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890</v>
      </c>
      <c r="B3" s="967" t="e">
        <f ca="1">IF(AND(C2="——",B37="元/平方米"),C39,ROUND(B2*10000/D3,0))</f>
        <v>#DIV/0!</v>
      </c>
      <c r="C3" s="1322" t="s">
        <v>1372</v>
      </c>
      <c r="D3" s="967">
        <f>SUMIF('数据-汇总表'!$C19:$C33,D1,'数据-汇总表'!$E19:$E33)</f>
        <v>0</v>
      </c>
      <c r="E3" s="1322" t="s">
        <v>1492</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6" si="3">D8/F8</f>
        <v>#DIV/0!</v>
      </c>
      <c r="AB8" s="1181" t="e">
        <f t="shared" ref="AB8:AB36" si="4">D8/H8</f>
        <v>#DIV/0!</v>
      </c>
      <c r="AC8" s="1181" t="e">
        <f t="shared" ref="AC8:AC36" si="5">D8/J8</f>
        <v>#DIV/0!</v>
      </c>
    </row>
    <row r="9" s="953" customFormat="1" ht="14.4" spans="1:29">
      <c r="A9" s="1358" t="s">
        <v>1392</v>
      </c>
      <c r="B9" s="1359" t="s">
        <v>1393</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8.8" spans="1:29">
      <c r="A10" s="1361"/>
      <c r="B10" s="1362" t="s">
        <v>1396</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00.8" spans="1:29">
      <c r="A14" s="969" t="s">
        <v>1398</v>
      </c>
      <c r="B14" s="1018" t="s">
        <v>1401</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1402</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1403</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1404</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1472</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30.6" spans="1:29">
      <c r="A26" s="1373" t="s">
        <v>1407</v>
      </c>
      <c r="B26" s="998" t="s">
        <v>1493</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1409</v>
      </c>
      <c r="Q26" s="1093" t="str">
        <f t="shared" si="11"/>
        <v>配套类型</v>
      </c>
      <c r="R26" s="1077" t="s">
        <v>1388</v>
      </c>
      <c r="S26" s="1146">
        <f t="shared" ref="S26:S36" si="12">F26</f>
        <v>100</v>
      </c>
      <c r="T26" s="1077" t="s">
        <v>1388</v>
      </c>
      <c r="U26" s="1146">
        <f t="shared" ref="U26:U36" si="13">H26</f>
        <v>100</v>
      </c>
      <c r="V26" s="1077" t="s">
        <v>1388</v>
      </c>
      <c r="W26" s="1146">
        <f t="shared" ref="W26:W36" si="14">J26</f>
        <v>100</v>
      </c>
      <c r="X26" s="1160"/>
      <c r="Y26" s="1143" t="s">
        <v>1409</v>
      </c>
      <c r="Z26" s="1150" t="str">
        <f t="shared" ref="Z26:Z36" si="15">Q26</f>
        <v>配套类型</v>
      </c>
      <c r="AA26" s="1150">
        <f t="shared" si="3"/>
        <v>1</v>
      </c>
      <c r="AB26" s="1150">
        <f t="shared" si="4"/>
        <v>1</v>
      </c>
      <c r="AC26" s="1150">
        <f t="shared" si="5"/>
        <v>1</v>
      </c>
    </row>
    <row r="27" s="955" customFormat="1" ht="15" spans="1:29">
      <c r="A27" s="1375"/>
      <c r="B27" s="1002" t="s">
        <v>1494</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1388</v>
      </c>
      <c r="S27" s="1172">
        <f t="shared" si="12"/>
        <v>100</v>
      </c>
      <c r="T27" s="1171" t="s">
        <v>1388</v>
      </c>
      <c r="U27" s="1172">
        <f t="shared" si="13"/>
        <v>100</v>
      </c>
      <c r="V27" s="1171" t="s">
        <v>1388</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1413</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1388</v>
      </c>
      <c r="S28" s="1146">
        <f t="shared" si="12"/>
        <v>100</v>
      </c>
      <c r="T28" s="1077" t="s">
        <v>1388</v>
      </c>
      <c r="U28" s="1146">
        <f t="shared" si="13"/>
        <v>100</v>
      </c>
      <c r="V28" s="1077" t="s">
        <v>1388</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1495</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1388</v>
      </c>
      <c r="S29" s="1146" t="e">
        <f t="shared" si="12"/>
        <v>#N/A</v>
      </c>
      <c r="T29" s="1077" t="s">
        <v>1388</v>
      </c>
      <c r="U29" s="1146" t="e">
        <f t="shared" si="13"/>
        <v>#N/A</v>
      </c>
      <c r="V29" s="1077" t="s">
        <v>1388</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1496</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1388</v>
      </c>
      <c r="S30" s="1146">
        <f t="shared" si="12"/>
        <v>100</v>
      </c>
      <c r="T30" s="1077" t="s">
        <v>1388</v>
      </c>
      <c r="U30" s="1146">
        <f t="shared" si="13"/>
        <v>100</v>
      </c>
      <c r="V30" s="1077" t="s">
        <v>1388</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1497</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1388</v>
      </c>
      <c r="S31" s="1168" t="e">
        <f t="shared" si="12"/>
        <v>#N/A</v>
      </c>
      <c r="T31" s="1123" t="s">
        <v>1388</v>
      </c>
      <c r="U31" s="1168" t="e">
        <f t="shared" si="13"/>
        <v>#N/A</v>
      </c>
      <c r="V31" s="1123" t="s">
        <v>1388</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1498</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1409</v>
      </c>
      <c r="Q32" s="1093" t="str">
        <f t="shared" si="11"/>
        <v>车位类型</v>
      </c>
      <c r="R32" s="1077" t="s">
        <v>1388</v>
      </c>
      <c r="S32" s="1146">
        <f t="shared" si="12"/>
        <v>100</v>
      </c>
      <c r="T32" s="1077" t="s">
        <v>1388</v>
      </c>
      <c r="U32" s="1146">
        <f t="shared" si="13"/>
        <v>100</v>
      </c>
      <c r="V32" s="1077" t="s">
        <v>1388</v>
      </c>
      <c r="W32" s="1146">
        <f t="shared" si="14"/>
        <v>100</v>
      </c>
      <c r="X32" s="1160"/>
      <c r="Y32" s="1143" t="s">
        <v>1409</v>
      </c>
      <c r="Z32" s="1150" t="str">
        <f t="shared" si="15"/>
        <v>车位类型</v>
      </c>
      <c r="AA32" s="1150">
        <f t="shared" si="3"/>
        <v>1</v>
      </c>
      <c r="AB32" s="1150">
        <f t="shared" si="4"/>
        <v>1</v>
      </c>
      <c r="AC32" s="1150">
        <f t="shared" si="5"/>
        <v>1</v>
      </c>
    </row>
    <row r="33" ht="15" spans="1:29">
      <c r="A33" s="1376"/>
      <c r="B33" s="1002" t="s">
        <v>1499</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1388</v>
      </c>
      <c r="S33" s="1146">
        <f t="shared" si="12"/>
        <v>100</v>
      </c>
      <c r="T33" s="1077" t="s">
        <v>1388</v>
      </c>
      <c r="U33" s="1146">
        <f t="shared" si="13"/>
        <v>100</v>
      </c>
      <c r="V33" s="1077" t="s">
        <v>1388</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1388</v>
      </c>
      <c r="S35" s="1172">
        <f t="shared" si="12"/>
        <v>100</v>
      </c>
      <c r="T35" s="1171" t="s">
        <v>1388</v>
      </c>
      <c r="U35" s="1172">
        <f t="shared" si="13"/>
        <v>100</v>
      </c>
      <c r="V35" s="1171" t="s">
        <v>1388</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1388</v>
      </c>
      <c r="S36" s="1146">
        <f t="shared" si="12"/>
        <v>100</v>
      </c>
      <c r="T36" s="1077" t="s">
        <v>1388</v>
      </c>
      <c r="U36" s="1146">
        <f t="shared" si="13"/>
        <v>100</v>
      </c>
      <c r="V36" s="1077" t="s">
        <v>1388</v>
      </c>
      <c r="W36" s="1146">
        <f t="shared" si="14"/>
        <v>100</v>
      </c>
      <c r="X36" s="1160"/>
      <c r="Y36" s="1143"/>
      <c r="Z36" s="1150">
        <f t="shared" si="15"/>
        <v>111</v>
      </c>
      <c r="AA36" s="1150">
        <f t="shared" si="3"/>
        <v>1</v>
      </c>
      <c r="AB36" s="1150">
        <f t="shared" si="4"/>
        <v>1</v>
      </c>
      <c r="AC36" s="1150">
        <f t="shared" si="5"/>
        <v>1</v>
      </c>
    </row>
    <row r="37" ht="14.4" spans="1:29">
      <c r="A37" s="1058" t="s">
        <v>1500</v>
      </c>
      <c r="B37" s="1379" t="s">
        <v>1501</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1421</v>
      </c>
      <c r="B38" s="1336" t="str">
        <f>B37</f>
        <v>元/车位</v>
      </c>
      <c r="C38" s="1071" t="e">
        <f>R39</f>
        <v>#DIV/0!</v>
      </c>
      <c r="D38" s="1069" t="s">
        <v>1422</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1502</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1424</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1425</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1426</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1427</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1386</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1428</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1389</v>
      </c>
      <c r="B51" s="1195"/>
      <c r="C51" s="1196" t="s">
        <v>1390</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1429</v>
      </c>
      <c r="B53" s="1200" t="s">
        <v>1393</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1396</v>
      </c>
      <c r="C55" s="1204" t="s">
        <v>1430</v>
      </c>
      <c r="D55" s="1204" t="s">
        <v>1431</v>
      </c>
      <c r="E55" s="1204" t="s">
        <v>1432</v>
      </c>
      <c r="F55" s="1204" t="s">
        <v>1433</v>
      </c>
      <c r="G55" s="1204" t="s">
        <v>1434</v>
      </c>
      <c r="H55" s="1204" t="s">
        <v>1435</v>
      </c>
      <c r="I55" s="1204" t="s">
        <v>1436</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1478</v>
      </c>
      <c r="D56" s="1206" t="s">
        <v>1478</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1398</v>
      </c>
      <c r="B63" s="1200" t="s">
        <v>1401</v>
      </c>
      <c r="C63" s="1220" t="s">
        <v>1437</v>
      </c>
      <c r="D63" s="1220" t="s">
        <v>1438</v>
      </c>
      <c r="E63" s="1220" t="s">
        <v>1439</v>
      </c>
      <c r="F63" s="1220" t="s">
        <v>1440</v>
      </c>
      <c r="G63" s="1220" t="s">
        <v>1441</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1402</v>
      </c>
      <c r="C65" s="1221" t="s">
        <v>1437</v>
      </c>
      <c r="D65" s="1221" t="s">
        <v>1438</v>
      </c>
      <c r="E65" s="1221" t="s">
        <v>1439</v>
      </c>
      <c r="F65" s="1221" t="s">
        <v>1440</v>
      </c>
      <c r="G65" s="1221" t="s">
        <v>1441</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1403</v>
      </c>
      <c r="C67" s="1135" t="s">
        <v>1442</v>
      </c>
      <c r="D67" s="1135" t="s">
        <v>1443</v>
      </c>
      <c r="E67" s="1135" t="s">
        <v>1444</v>
      </c>
      <c r="F67" s="1135" t="s">
        <v>1445</v>
      </c>
      <c r="G67" s="1135" t="s">
        <v>1446</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1404</v>
      </c>
      <c r="C69" s="1221" t="s">
        <v>1437</v>
      </c>
      <c r="D69" s="1221" t="s">
        <v>1438</v>
      </c>
      <c r="E69" s="1221" t="s">
        <v>1439</v>
      </c>
      <c r="F69" s="1221" t="s">
        <v>1440</v>
      </c>
      <c r="G69" s="1221" t="s">
        <v>1441</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1472</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1407</v>
      </c>
      <c r="B79" s="1200" t="s">
        <v>1503</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1494</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1413</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1495</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1496</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1497</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1498</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1499</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198" customWidth="1"/>
    <col min="2" max="16384" width="9" style="3198"/>
  </cols>
  <sheetData>
    <row r="1" ht="22.2" spans="1:1">
      <c r="A1" s="3199" t="s">
        <v>82</v>
      </c>
    </row>
    <row r="2" spans="1:1">
      <c r="A2" s="3200"/>
    </row>
    <row r="3" ht="17.4" spans="1:1">
      <c r="A3" s="3201" t="str">
        <f>项目基本情况!B5&amp;"："</f>
        <v>：</v>
      </c>
    </row>
    <row r="4" ht="17.4" spans="1:1">
      <c r="A4" s="3202" t="str">
        <f>"受贵公司委托，我公司对"&amp;项目基本情况!S1&amp;"进行了预评估。"</f>
        <v>受贵公司委托，我公司对北京市房地产抵押价值进行了预评估。</v>
      </c>
    </row>
    <row r="5" ht="17.4" spans="1:1">
      <c r="A5" s="3203" t="s">
        <v>83</v>
      </c>
    </row>
    <row r="6" ht="17.4" spans="1:1">
      <c r="A6" s="3204" t="s">
        <v>84</v>
      </c>
    </row>
    <row r="7" ht="17.4" spans="1:1">
      <c r="A7" s="32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5" t="s">
        <v>85</v>
      </c>
    </row>
    <row r="9" ht="17.4" spans="1:1">
      <c r="A9" s="3204" t="s">
        <v>86</v>
      </c>
    </row>
    <row r="10" ht="17.4" spans="1:1">
      <c r="A10" s="32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5" t="s">
        <v>87</v>
      </c>
    </row>
    <row r="12" ht="17.4" spans="1:1">
      <c r="A12" s="3203" t="s">
        <v>88</v>
      </c>
    </row>
    <row r="13" ht="38.25" customHeight="1" spans="1:1">
      <c r="A13" s="32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207" t="s">
        <v>89</v>
      </c>
    </row>
    <row r="15" ht="17.4" spans="1:1">
      <c r="A15" s="3208" t="str">
        <f>TEXT(项目基本情况!D3,"yyyy年m月d日;;")&amp;IF(项目基本情况!D3=项目基本情况!B3,"（评估专业人员实地查勘之日）","")</f>
        <v>2022年7月29日</v>
      </c>
    </row>
    <row r="16" ht="17.4" spans="1:1">
      <c r="A16" s="3207" t="s">
        <v>90</v>
      </c>
    </row>
    <row r="17" ht="69.6" spans="1:1">
      <c r="A17" s="3202" t="s">
        <v>91</v>
      </c>
    </row>
    <row r="18" ht="69.6" spans="1:1">
      <c r="A18" s="32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ht="157.5" customHeight="1" spans="1:1">
      <c r="A19" s="32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7" t="s">
        <v>92</v>
      </c>
    </row>
    <row r="24" ht="17.4" spans="1:1">
      <c r="A24" s="3209" t="str">
        <f>"本次评估采用的主估价方法为"&amp;结果表!K4&amp;"和"&amp;结果表!L4&amp;"。"</f>
        <v>本次评估采用的主估价方法为基准地价系数修正法和基准地价系数修正法。</v>
      </c>
    </row>
    <row r="25" ht="17.4" spans="1:1">
      <c r="A25" s="3209"/>
    </row>
    <row r="26" ht="17.4" spans="1:1">
      <c r="A26" s="3210" t="s">
        <v>93</v>
      </c>
    </row>
    <row r="27" spans="1:1">
      <c r="A27" s="3211"/>
    </row>
    <row r="28" spans="1:1">
      <c r="A28" s="3211"/>
    </row>
    <row r="29" spans="1:1">
      <c r="A29" s="3211"/>
    </row>
    <row r="30" spans="1:1">
      <c r="A30" s="3211"/>
    </row>
    <row r="31" spans="1:1">
      <c r="A31" s="3211"/>
    </row>
    <row r="32" spans="1:1">
      <c r="A32" s="3211"/>
    </row>
    <row r="33" spans="1:1">
      <c r="A33" s="3211"/>
    </row>
    <row r="34" spans="1:1">
      <c r="A34" s="3211"/>
    </row>
    <row r="35" spans="1:1">
      <c r="A35" s="3211"/>
    </row>
    <row r="36" spans="1:1">
      <c r="A36" s="3211"/>
    </row>
    <row r="37" spans="1:1">
      <c r="A37" s="3211"/>
    </row>
    <row r="38" spans="1:1">
      <c r="A38" s="3211"/>
    </row>
    <row r="39" spans="1:1">
      <c r="A39" s="3211"/>
    </row>
    <row r="40" spans="1:1">
      <c r="A40" s="3211"/>
    </row>
    <row r="41" spans="1:1">
      <c r="A41" s="3211"/>
    </row>
    <row r="42" spans="1:1">
      <c r="A42" s="3211"/>
    </row>
    <row r="43" spans="1:1">
      <c r="A43" s="3211"/>
    </row>
    <row r="44" spans="1:1">
      <c r="A44" s="3211"/>
    </row>
    <row r="45" spans="1:1">
      <c r="A45" s="3211"/>
    </row>
    <row r="46" spans="1:1">
      <c r="A46" s="3211"/>
    </row>
    <row r="47" spans="1:1">
      <c r="A47" s="3211"/>
    </row>
    <row r="48" spans="1:1">
      <c r="A48" s="3211"/>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5"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1309" customFormat="1" ht="28.5" customHeight="1" spans="1:29">
      <c r="A1" s="1310" t="s">
        <v>1491</v>
      </c>
      <c r="B1" s="1311"/>
      <c r="C1" s="1312" t="s">
        <v>1369</v>
      </c>
      <c r="D1" s="1313"/>
      <c r="E1" s="1314"/>
      <c r="F1" s="1315"/>
      <c r="G1" s="1316" t="s">
        <v>1371</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888</v>
      </c>
      <c r="B2" s="1318" t="e">
        <f ca="1">IF(C2="——",ROUND(C37*D3/10000,0),ROUND(C37*D3/10000,0)-D2)</f>
        <v>#DIV/0!</v>
      </c>
      <c r="C2" s="1319"/>
      <c r="D2" s="1280" t="e">
        <f ca="1">SUMIF(INDIRECT("'"&amp;F2&amp;"'"&amp;"!A:A"),"承租人权益价值",INDIRECT("'"&amp;F2&amp;"'"&amp;"!c:c"))</f>
        <v>#REF!</v>
      </c>
      <c r="E2" s="1320" t="s">
        <v>889</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IF(C2="——",C37,ROUND(B2*10000/D3,0))</f>
        <v>#DIV/0!</v>
      </c>
      <c r="C3" s="1322" t="s">
        <v>1372</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1387</v>
      </c>
      <c r="Q7" s="1167"/>
      <c r="R7" s="1123" t="s">
        <v>1388</v>
      </c>
      <c r="S7" s="1168">
        <f t="shared" ref="S7:S14" si="0">F7</f>
        <v>0</v>
      </c>
      <c r="T7" s="1123" t="s">
        <v>1388</v>
      </c>
      <c r="U7" s="1168">
        <f t="shared" ref="U7:U14" si="1">H7</f>
        <v>0</v>
      </c>
      <c r="V7" s="1123" t="s">
        <v>1388</v>
      </c>
      <c r="W7" s="1168">
        <f t="shared" ref="W7:W14"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34" si="3">D8/F8</f>
        <v>#DIV/0!</v>
      </c>
      <c r="AB8" s="1181" t="e">
        <f t="shared" ref="AB8:AB34" si="4">D8/H8</f>
        <v>#DIV/0!</v>
      </c>
      <c r="AC8" s="1181" t="e">
        <f t="shared" ref="AC8:AC34" si="5">D8/J8</f>
        <v>#DIV/0!</v>
      </c>
    </row>
    <row r="9" s="953" customFormat="1" ht="14.4" spans="1:29">
      <c r="A9" s="995" t="s">
        <v>1392</v>
      </c>
      <c r="B9" s="996" t="s">
        <v>1393</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1394</v>
      </c>
      <c r="Q9" s="1170" t="str">
        <f t="shared" ref="Q9:Q14" si="6">B9</f>
        <v>用途</v>
      </c>
      <c r="R9" s="1123" t="s">
        <v>1388</v>
      </c>
      <c r="S9" s="1168">
        <f t="shared" si="0"/>
        <v>100</v>
      </c>
      <c r="T9" s="1123" t="s">
        <v>1388</v>
      </c>
      <c r="U9" s="1168">
        <f t="shared" si="1"/>
        <v>100</v>
      </c>
      <c r="V9" s="1123" t="s">
        <v>1388</v>
      </c>
      <c r="W9" s="1168">
        <f t="shared" si="2"/>
        <v>100</v>
      </c>
      <c r="X9" s="1169"/>
      <c r="Y9" s="1170" t="s">
        <v>1395</v>
      </c>
      <c r="Z9" s="1181" t="str">
        <f t="shared" ref="Z9:Z14" si="7">Q9</f>
        <v>用途</v>
      </c>
      <c r="AA9" s="1181">
        <f t="shared" si="3"/>
        <v>1</v>
      </c>
      <c r="AB9" s="1181">
        <f t="shared" si="4"/>
        <v>1</v>
      </c>
      <c r="AC9" s="1181">
        <f t="shared" si="5"/>
        <v>1</v>
      </c>
    </row>
    <row r="10" s="954" customFormat="1" ht="28.8" spans="1:29">
      <c r="A10" s="999"/>
      <c r="B10" s="1000" t="s">
        <v>1396</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1388</v>
      </c>
      <c r="S10" s="1168">
        <f t="shared" si="0"/>
        <v>100</v>
      </c>
      <c r="T10" s="1123" t="s">
        <v>1388</v>
      </c>
      <c r="U10" s="1168">
        <f t="shared" si="1"/>
        <v>100</v>
      </c>
      <c r="V10" s="1123" t="s">
        <v>1388</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1388</v>
      </c>
      <c r="S11" s="1168">
        <f t="shared" si="0"/>
        <v>100</v>
      </c>
      <c r="T11" s="1123" t="s">
        <v>1388</v>
      </c>
      <c r="U11" s="1168">
        <f t="shared" si="1"/>
        <v>100</v>
      </c>
      <c r="V11" s="1123" t="s">
        <v>1388</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00.8" spans="1:29">
      <c r="A14" s="1017" t="s">
        <v>1398</v>
      </c>
      <c r="B14" s="1286" t="s">
        <v>1401</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1400</v>
      </c>
      <c r="Q14" s="1093" t="str">
        <f t="shared" si="6"/>
        <v>交通便捷度</v>
      </c>
      <c r="R14" s="1077" t="s">
        <v>1388</v>
      </c>
      <c r="S14" s="1146">
        <f t="shared" si="0"/>
        <v>100</v>
      </c>
      <c r="T14" s="1077" t="s">
        <v>1388</v>
      </c>
      <c r="U14" s="1146">
        <f t="shared" si="1"/>
        <v>100</v>
      </c>
      <c r="V14" s="1077" t="s">
        <v>1388</v>
      </c>
      <c r="W14" s="1146">
        <f t="shared" si="2"/>
        <v>100</v>
      </c>
      <c r="X14" s="1160"/>
      <c r="Y14" s="1134" t="s">
        <v>1400</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1402</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1388</v>
      </c>
      <c r="S16" s="1146">
        <f>F16</f>
        <v>100</v>
      </c>
      <c r="T16" s="1077" t="s">
        <v>1388</v>
      </c>
      <c r="U16" s="1146">
        <f>H16</f>
        <v>100</v>
      </c>
      <c r="V16" s="1077" t="s">
        <v>1388</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1403</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1388</v>
      </c>
      <c r="S18" s="1146">
        <f>F18</f>
        <v>100</v>
      </c>
      <c r="T18" s="1077" t="s">
        <v>1388</v>
      </c>
      <c r="U18" s="1146">
        <f>H18</f>
        <v>100</v>
      </c>
      <c r="V18" s="1077" t="s">
        <v>1388</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1404</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1388</v>
      </c>
      <c r="S20" s="1146">
        <f>F20</f>
        <v>100</v>
      </c>
      <c r="T20" s="1077" t="s">
        <v>1388</v>
      </c>
      <c r="U20" s="1146">
        <f>H20</f>
        <v>100</v>
      </c>
      <c r="V20" s="1077" t="s">
        <v>1388</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1472</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1388</v>
      </c>
      <c r="S22" s="1146">
        <f>F22</f>
        <v>100</v>
      </c>
      <c r="T22" s="1077" t="s">
        <v>1388</v>
      </c>
      <c r="U22" s="1146">
        <f>H22</f>
        <v>100</v>
      </c>
      <c r="V22" s="1077" t="s">
        <v>1388</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1388</v>
      </c>
      <c r="S23" s="1146">
        <f>F23</f>
        <v>100</v>
      </c>
      <c r="T23" s="1077" t="s">
        <v>1388</v>
      </c>
      <c r="U23" s="1146">
        <f>H23</f>
        <v>100</v>
      </c>
      <c r="V23" s="1077" t="s">
        <v>1388</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1388</v>
      </c>
      <c r="S24" s="1146">
        <f>F24</f>
        <v>100</v>
      </c>
      <c r="T24" s="1077" t="s">
        <v>1388</v>
      </c>
      <c r="U24" s="1146">
        <f>H24</f>
        <v>100</v>
      </c>
      <c r="V24" s="1077" t="s">
        <v>1388</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1388</v>
      </c>
      <c r="S25" s="1168">
        <f>F25</f>
        <v>100</v>
      </c>
      <c r="T25" s="1123" t="s">
        <v>1388</v>
      </c>
      <c r="U25" s="1168">
        <f>H25</f>
        <v>100</v>
      </c>
      <c r="V25" s="1123" t="s">
        <v>1388</v>
      </c>
      <c r="W25" s="1168">
        <f>J25</f>
        <v>100</v>
      </c>
      <c r="X25" s="1169"/>
      <c r="Y25" s="1135"/>
      <c r="Z25" s="1181">
        <f>Q25</f>
        <v>111</v>
      </c>
      <c r="AA25" s="1150">
        <f t="shared" si="3"/>
        <v>1</v>
      </c>
      <c r="AB25" s="1150">
        <f t="shared" si="4"/>
        <v>1</v>
      </c>
      <c r="AC25" s="1150">
        <f t="shared" si="5"/>
        <v>1</v>
      </c>
    </row>
    <row r="26" ht="30.6" spans="1:29">
      <c r="A26" s="1330" t="s">
        <v>1407</v>
      </c>
      <c r="B26" s="996" t="s">
        <v>1413</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1409</v>
      </c>
      <c r="Q26" s="1093" t="str">
        <f t="shared" si="11"/>
        <v>公共部分装修</v>
      </c>
      <c r="R26" s="1077" t="s">
        <v>1388</v>
      </c>
      <c r="S26" s="1146">
        <f t="shared" ref="S26:S34" si="12">F26</f>
        <v>100</v>
      </c>
      <c r="T26" s="1077" t="s">
        <v>1388</v>
      </c>
      <c r="U26" s="1146">
        <f t="shared" ref="U26:U34" si="13">H26</f>
        <v>100</v>
      </c>
      <c r="V26" s="1077" t="s">
        <v>1388</v>
      </c>
      <c r="W26" s="1146">
        <f t="shared" ref="W26:W34" si="14">J26</f>
        <v>100</v>
      </c>
      <c r="X26" s="1160"/>
      <c r="Y26" s="1143" t="s">
        <v>1409</v>
      </c>
      <c r="Z26" s="1150" t="str">
        <f t="shared" ref="Z26:Z34" si="15">Q26</f>
        <v>公共部分装修</v>
      </c>
      <c r="AA26" s="1150">
        <f t="shared" si="3"/>
        <v>1</v>
      </c>
      <c r="AB26" s="1150">
        <f t="shared" si="4"/>
        <v>1</v>
      </c>
      <c r="AC26" s="1150">
        <f t="shared" si="5"/>
        <v>1</v>
      </c>
    </row>
    <row r="27" s="955" customFormat="1" ht="15" spans="1:29">
      <c r="A27" s="1056"/>
      <c r="B27" s="1000" t="s">
        <v>1495</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1388</v>
      </c>
      <c r="S27" s="1172" t="e">
        <f t="shared" si="12"/>
        <v>#N/A</v>
      </c>
      <c r="T27" s="1171" t="s">
        <v>1388</v>
      </c>
      <c r="U27" s="1172" t="e">
        <f t="shared" si="13"/>
        <v>#N/A</v>
      </c>
      <c r="V27" s="1171" t="s">
        <v>1388</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1496</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1388</v>
      </c>
      <c r="S28" s="1146">
        <f t="shared" si="12"/>
        <v>100</v>
      </c>
      <c r="T28" s="1077" t="s">
        <v>1388</v>
      </c>
      <c r="U28" s="1146">
        <f t="shared" si="13"/>
        <v>100</v>
      </c>
      <c r="V28" s="1077" t="s">
        <v>1388</v>
      </c>
      <c r="W28" s="1146">
        <f t="shared" si="14"/>
        <v>100</v>
      </c>
      <c r="X28" s="1160"/>
      <c r="Y28" s="1143"/>
      <c r="Z28" s="1150" t="str">
        <f t="shared" si="15"/>
        <v>物业等级</v>
      </c>
      <c r="AA28" s="1150">
        <f t="shared" si="3"/>
        <v>1</v>
      </c>
      <c r="AB28" s="1150">
        <f t="shared" si="4"/>
        <v>1</v>
      </c>
      <c r="AC28" s="1150">
        <f t="shared" si="5"/>
        <v>1</v>
      </c>
    </row>
    <row r="29" ht="15" spans="1:29">
      <c r="A29" s="1051"/>
      <c r="B29" s="1000" t="s">
        <v>1504</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1388</v>
      </c>
      <c r="S29" s="1146">
        <f t="shared" si="12"/>
        <v>100</v>
      </c>
      <c r="T29" s="1077" t="s">
        <v>1388</v>
      </c>
      <c r="U29" s="1146">
        <f t="shared" si="13"/>
        <v>100</v>
      </c>
      <c r="V29" s="1077" t="s">
        <v>1388</v>
      </c>
      <c r="W29" s="1146">
        <f t="shared" si="14"/>
        <v>100</v>
      </c>
      <c r="X29" s="1160"/>
      <c r="Y29" s="1143"/>
      <c r="Z29" s="1150" t="str">
        <f t="shared" si="15"/>
        <v>有无电梯</v>
      </c>
      <c r="AA29" s="1150">
        <f t="shared" si="3"/>
        <v>1</v>
      </c>
      <c r="AB29" s="1150">
        <f t="shared" si="4"/>
        <v>1</v>
      </c>
      <c r="AC29" s="1150">
        <f t="shared" si="5"/>
        <v>1</v>
      </c>
    </row>
    <row r="30" ht="15" spans="1:29">
      <c r="A30" s="1051"/>
      <c r="B30" s="1000" t="s">
        <v>502</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1388</v>
      </c>
      <c r="S30" s="1146" t="e">
        <f t="shared" si="12"/>
        <v>#N/A</v>
      </c>
      <c r="T30" s="1077" t="s">
        <v>1388</v>
      </c>
      <c r="U30" s="1146" t="e">
        <f t="shared" si="13"/>
        <v>#N/A</v>
      </c>
      <c r="V30" s="1077" t="s">
        <v>1388</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1505</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1388</v>
      </c>
      <c r="S31" s="1168">
        <f t="shared" si="12"/>
        <v>100</v>
      </c>
      <c r="T31" s="1123" t="s">
        <v>1388</v>
      </c>
      <c r="U31" s="1168">
        <f t="shared" si="13"/>
        <v>100</v>
      </c>
      <c r="V31" s="1123" t="s">
        <v>1388</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1409</v>
      </c>
      <c r="Q32" s="1093">
        <f t="shared" si="11"/>
        <v>111</v>
      </c>
      <c r="R32" s="1077" t="s">
        <v>1388</v>
      </c>
      <c r="S32" s="1146">
        <f t="shared" si="12"/>
        <v>100</v>
      </c>
      <c r="T32" s="1077" t="s">
        <v>1388</v>
      </c>
      <c r="U32" s="1146">
        <f t="shared" si="13"/>
        <v>100</v>
      </c>
      <c r="V32" s="1077" t="s">
        <v>1388</v>
      </c>
      <c r="W32" s="1146">
        <f t="shared" si="14"/>
        <v>100</v>
      </c>
      <c r="X32" s="1160"/>
      <c r="Y32" s="1143" t="s">
        <v>1409</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1388</v>
      </c>
      <c r="S33" s="1146">
        <f t="shared" si="12"/>
        <v>100</v>
      </c>
      <c r="T33" s="1077" t="s">
        <v>1388</v>
      </c>
      <c r="U33" s="1146">
        <f t="shared" si="13"/>
        <v>100</v>
      </c>
      <c r="V33" s="1077" t="s">
        <v>1388</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1388</v>
      </c>
      <c r="S34" s="1146">
        <f t="shared" si="12"/>
        <v>100</v>
      </c>
      <c r="T34" s="1077" t="s">
        <v>1388</v>
      </c>
      <c r="U34" s="1146">
        <f t="shared" si="13"/>
        <v>100</v>
      </c>
      <c r="V34" s="1077" t="s">
        <v>1388</v>
      </c>
      <c r="W34" s="1146">
        <f t="shared" si="14"/>
        <v>100</v>
      </c>
      <c r="X34" s="1160"/>
      <c r="Y34" s="1143"/>
      <c r="Z34" s="1150">
        <f t="shared" si="15"/>
        <v>111</v>
      </c>
      <c r="AA34" s="1150">
        <f t="shared" si="3"/>
        <v>1</v>
      </c>
      <c r="AB34" s="1150">
        <f t="shared" si="4"/>
        <v>1</v>
      </c>
      <c r="AC34" s="1150">
        <f t="shared" si="5"/>
        <v>1</v>
      </c>
    </row>
    <row r="35" ht="14.4" spans="1:29">
      <c r="A35" s="1058" t="s">
        <v>1420</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1421</v>
      </c>
      <c r="B36" s="1336"/>
      <c r="C36" s="1071" t="e">
        <f>R37</f>
        <v>#DIV/0!</v>
      </c>
      <c r="D36" s="1069" t="s">
        <v>1422</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1423</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1424</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1425</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1426</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1427</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1386</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1428</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1389</v>
      </c>
      <c r="B49" s="1195"/>
      <c r="C49" s="1196" t="s">
        <v>1390</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1429</v>
      </c>
      <c r="B51" s="1200" t="s">
        <v>1393</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1396</v>
      </c>
      <c r="C53" s="1204" t="s">
        <v>1430</v>
      </c>
      <c r="D53" s="1204" t="s">
        <v>1431</v>
      </c>
      <c r="E53" s="1204" t="s">
        <v>1432</v>
      </c>
      <c r="F53" s="1204" t="s">
        <v>1433</v>
      </c>
      <c r="G53" s="1204" t="s">
        <v>1434</v>
      </c>
      <c r="H53" s="1204" t="s">
        <v>1435</v>
      </c>
      <c r="I53" s="1204" t="s">
        <v>1436</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1478</v>
      </c>
      <c r="D54" s="1206" t="s">
        <v>1478</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1398</v>
      </c>
      <c r="B61" s="1200" t="s">
        <v>1401</v>
      </c>
      <c r="C61" s="1220" t="s">
        <v>1437</v>
      </c>
      <c r="D61" s="1220" t="s">
        <v>1438</v>
      </c>
      <c r="E61" s="1220" t="s">
        <v>1439</v>
      </c>
      <c r="F61" s="1220" t="s">
        <v>1440</v>
      </c>
      <c r="G61" s="1220" t="s">
        <v>1441</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1506</v>
      </c>
      <c r="C63" s="1221" t="s">
        <v>1437</v>
      </c>
      <c r="D63" s="1221" t="s">
        <v>1438</v>
      </c>
      <c r="E63" s="1221" t="s">
        <v>1439</v>
      </c>
      <c r="F63" s="1221" t="s">
        <v>1440</v>
      </c>
      <c r="G63" s="1221" t="s">
        <v>1441</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1403</v>
      </c>
      <c r="C65" s="1135" t="s">
        <v>1442</v>
      </c>
      <c r="D65" s="1135" t="s">
        <v>1443</v>
      </c>
      <c r="E65" s="1135" t="s">
        <v>1444</v>
      </c>
      <c r="F65" s="1135" t="s">
        <v>1445</v>
      </c>
      <c r="G65" s="1135" t="s">
        <v>1446</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1404</v>
      </c>
      <c r="C67" s="1221" t="s">
        <v>1437</v>
      </c>
      <c r="D67" s="1221" t="s">
        <v>1438</v>
      </c>
      <c r="E67" s="1221" t="s">
        <v>1439</v>
      </c>
      <c r="F67" s="1221" t="s">
        <v>1440</v>
      </c>
      <c r="G67" s="1221" t="s">
        <v>1441</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1472</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1407</v>
      </c>
      <c r="B77" s="1200" t="s">
        <v>1413</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1495</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1496</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1504</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502</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1505</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796296296296" style="958" customWidth="1"/>
    <col min="2" max="2" width="15.75" style="958" customWidth="1"/>
    <col min="3" max="3" width="14.3796296296296" style="958" customWidth="1"/>
    <col min="4" max="4" width="14.1296296296296"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952" customFormat="1" ht="28.5" customHeight="1" spans="1:30">
      <c r="A1" s="959" t="s">
        <v>1507</v>
      </c>
      <c r="B1" s="960"/>
      <c r="C1" s="961" t="s">
        <v>1508</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888</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1384</v>
      </c>
      <c r="D6" s="1282"/>
      <c r="E6" s="1283" t="s">
        <v>1384</v>
      </c>
      <c r="F6" s="1284"/>
      <c r="G6" s="1281" t="s">
        <v>1384</v>
      </c>
      <c r="H6" s="1282"/>
      <c r="I6" s="1281" t="s">
        <v>1384</v>
      </c>
      <c r="J6" s="1282"/>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5" si="3">D8/F8</f>
        <v>#DIV/0!</v>
      </c>
      <c r="AB8" s="1181" t="e">
        <f t="shared" ref="AB8:AB45" si="4">D8/H8</f>
        <v>#DIV/0!</v>
      </c>
      <c r="AC8" s="1181" t="e">
        <f t="shared" ref="AC8:AC45" si="5">D8/J8</f>
        <v>#DIV/0!</v>
      </c>
    </row>
    <row r="9" s="953" customFormat="1" ht="14.4" spans="1:29">
      <c r="A9" s="995" t="s">
        <v>1392</v>
      </c>
      <c r="B9" s="996" t="s">
        <v>1393</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1509</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1388</v>
      </c>
      <c r="S12" s="1168">
        <f t="shared" si="0"/>
        <v>100</v>
      </c>
      <c r="T12" s="1123" t="s">
        <v>1388</v>
      </c>
      <c r="U12" s="1168">
        <f t="shared" si="1"/>
        <v>100</v>
      </c>
      <c r="V12" s="1123" t="s">
        <v>1388</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100.8" spans="1:29">
      <c r="A15" s="1017" t="s">
        <v>1398</v>
      </c>
      <c r="B15" s="1286" t="s">
        <v>1399</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1400</v>
      </c>
      <c r="Q15" s="1093" t="str">
        <f t="shared" si="6"/>
        <v>居住社区成熟度</v>
      </c>
      <c r="R15" s="1077" t="s">
        <v>1388</v>
      </c>
      <c r="S15" s="1146">
        <f t="shared" si="0"/>
        <v>100</v>
      </c>
      <c r="T15" s="1077" t="s">
        <v>1388</v>
      </c>
      <c r="U15" s="1146">
        <f t="shared" si="1"/>
        <v>100</v>
      </c>
      <c r="V15" s="1077" t="s">
        <v>1388</v>
      </c>
      <c r="W15" s="1146">
        <f t="shared" si="2"/>
        <v>100</v>
      </c>
      <c r="X15" s="1160"/>
      <c r="Y15" s="1134" t="s">
        <v>1400</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1468</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1388</v>
      </c>
      <c r="S17" s="1146">
        <f>F17</f>
        <v>100</v>
      </c>
      <c r="T17" s="1077" t="s">
        <v>1388</v>
      </c>
      <c r="U17" s="1146">
        <f>H17</f>
        <v>100</v>
      </c>
      <c r="V17" s="1077" t="s">
        <v>1388</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1481</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1388</v>
      </c>
      <c r="S19" s="1146">
        <f>F19</f>
        <v>100</v>
      </c>
      <c r="T19" s="1077" t="s">
        <v>1388</v>
      </c>
      <c r="U19" s="1146">
        <f>H19</f>
        <v>100</v>
      </c>
      <c r="V19" s="1077" t="s">
        <v>1388</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1401</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1388</v>
      </c>
      <c r="S21" s="1146">
        <f>F21</f>
        <v>100</v>
      </c>
      <c r="T21" s="1077" t="s">
        <v>1388</v>
      </c>
      <c r="U21" s="1146">
        <f>H21</f>
        <v>100</v>
      </c>
      <c r="V21" s="1077" t="s">
        <v>1388</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1510</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1388</v>
      </c>
      <c r="S23" s="1146">
        <f>F23</f>
        <v>100</v>
      </c>
      <c r="T23" s="1077" t="s">
        <v>1388</v>
      </c>
      <c r="U23" s="1146">
        <f>H23</f>
        <v>100</v>
      </c>
      <c r="V23" s="1077" t="s">
        <v>1388</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1511</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1388</v>
      </c>
      <c r="S25" s="1146">
        <f>F25</f>
        <v>100</v>
      </c>
      <c r="T25" s="1077" t="s">
        <v>1388</v>
      </c>
      <c r="U25" s="1146">
        <f>H25</f>
        <v>100</v>
      </c>
      <c r="V25" s="1077" t="s">
        <v>1388</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1402</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1388</v>
      </c>
      <c r="S27" s="1168">
        <f>F27</f>
        <v>100</v>
      </c>
      <c r="T27" s="1123" t="s">
        <v>1388</v>
      </c>
      <c r="U27" s="1168">
        <f>H27</f>
        <v>100</v>
      </c>
      <c r="V27" s="1123" t="s">
        <v>1388</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1403</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1388</v>
      </c>
      <c r="S29" s="1168">
        <f>F29</f>
        <v>100</v>
      </c>
      <c r="T29" s="1123" t="s">
        <v>1388</v>
      </c>
      <c r="U29" s="1168">
        <f>H29</f>
        <v>100</v>
      </c>
      <c r="V29" s="1123" t="s">
        <v>1388</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1469</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1388</v>
      </c>
      <c r="S31" s="1146">
        <f t="shared" ref="S31:S45" si="10">F31</f>
        <v>100</v>
      </c>
      <c r="T31" s="1077" t="s">
        <v>1388</v>
      </c>
      <c r="U31" s="1146">
        <f t="shared" ref="U31:U45" si="11">H31</f>
        <v>100</v>
      </c>
      <c r="V31" s="1077" t="s">
        <v>1388</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1483</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1388</v>
      </c>
      <c r="S32" s="1146">
        <f t="shared" si="10"/>
        <v>100</v>
      </c>
      <c r="T32" s="1077" t="s">
        <v>1388</v>
      </c>
      <c r="U32" s="1146">
        <f t="shared" si="11"/>
        <v>100</v>
      </c>
      <c r="V32" s="1077" t="s">
        <v>1388</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1512</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1388</v>
      </c>
      <c r="S34" s="1146">
        <f t="shared" si="10"/>
        <v>100</v>
      </c>
      <c r="T34" s="1077" t="s">
        <v>1388</v>
      </c>
      <c r="U34" s="1146">
        <f t="shared" si="11"/>
        <v>100</v>
      </c>
      <c r="V34" s="1077" t="s">
        <v>1388</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1388</v>
      </c>
      <c r="S35" s="1146">
        <f t="shared" si="10"/>
        <v>100</v>
      </c>
      <c r="T35" s="1077" t="s">
        <v>1388</v>
      </c>
      <c r="U35" s="1146">
        <f t="shared" si="11"/>
        <v>100</v>
      </c>
      <c r="V35" s="1077" t="s">
        <v>1388</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1409</v>
      </c>
      <c r="Q36" s="1093">
        <f t="shared" si="8"/>
        <v>111</v>
      </c>
      <c r="R36" s="1077" t="s">
        <v>1388</v>
      </c>
      <c r="S36" s="1146">
        <f t="shared" si="10"/>
        <v>100</v>
      </c>
      <c r="T36" s="1077" t="s">
        <v>1388</v>
      </c>
      <c r="U36" s="1146">
        <f t="shared" si="11"/>
        <v>100</v>
      </c>
      <c r="V36" s="1077" t="s">
        <v>1388</v>
      </c>
      <c r="W36" s="1146">
        <f t="shared" si="12"/>
        <v>100</v>
      </c>
      <c r="X36" s="1160"/>
      <c r="Y36" s="1143" t="s">
        <v>1409</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1388</v>
      </c>
      <c r="S37" s="1172">
        <f t="shared" si="10"/>
        <v>100</v>
      </c>
      <c r="T37" s="1171" t="s">
        <v>1388</v>
      </c>
      <c r="U37" s="1172">
        <f t="shared" si="11"/>
        <v>100</v>
      </c>
      <c r="V37" s="1171" t="s">
        <v>1388</v>
      </c>
      <c r="W37" s="1172">
        <f t="shared" si="12"/>
        <v>100</v>
      </c>
      <c r="X37" s="1173"/>
      <c r="Y37" s="1143"/>
      <c r="Z37" s="1182">
        <f t="shared" si="13"/>
        <v>111</v>
      </c>
      <c r="AA37" s="1150">
        <f t="shared" si="3"/>
        <v>1</v>
      </c>
      <c r="AB37" s="1150">
        <f t="shared" si="4"/>
        <v>1</v>
      </c>
      <c r="AC37" s="1150">
        <f t="shared" si="5"/>
        <v>1</v>
      </c>
    </row>
    <row r="38" ht="16.2" spans="1:29">
      <c r="A38" s="1051" t="s">
        <v>1407</v>
      </c>
      <c r="B38" s="1049" t="s">
        <v>1513</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1388</v>
      </c>
      <c r="S38" s="1146" t="e">
        <f t="shared" si="10"/>
        <v>#N/A</v>
      </c>
      <c r="T38" s="1077" t="s">
        <v>1388</v>
      </c>
      <c r="U38" s="1146" t="e">
        <f t="shared" si="11"/>
        <v>#N/A</v>
      </c>
      <c r="V38" s="1077" t="s">
        <v>1388</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1514</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1388</v>
      </c>
      <c r="S39" s="1146">
        <f t="shared" si="10"/>
        <v>100</v>
      </c>
      <c r="T39" s="1077" t="s">
        <v>1388</v>
      </c>
      <c r="U39" s="1146">
        <f t="shared" si="11"/>
        <v>100</v>
      </c>
      <c r="V39" s="1077" t="s">
        <v>1388</v>
      </c>
      <c r="W39" s="1146">
        <f t="shared" si="12"/>
        <v>100</v>
      </c>
      <c r="X39" s="1160"/>
      <c r="Y39" s="1143"/>
      <c r="Z39" s="1150" t="str">
        <f t="shared" si="13"/>
        <v>宗地形状</v>
      </c>
      <c r="AA39" s="1150">
        <f t="shared" si="3"/>
        <v>1</v>
      </c>
      <c r="AB39" s="1150">
        <f t="shared" si="4"/>
        <v>1</v>
      </c>
      <c r="AC39" s="1150">
        <f t="shared" si="5"/>
        <v>1</v>
      </c>
    </row>
    <row r="40" ht="15" spans="1:29">
      <c r="A40" s="1051"/>
      <c r="B40" s="1000" t="s">
        <v>1515</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1388</v>
      </c>
      <c r="S40" s="1146">
        <f t="shared" si="10"/>
        <v>100</v>
      </c>
      <c r="T40" s="1077" t="s">
        <v>1388</v>
      </c>
      <c r="U40" s="1146">
        <f t="shared" si="11"/>
        <v>100</v>
      </c>
      <c r="V40" s="1077" t="s">
        <v>1388</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1516</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1388</v>
      </c>
      <c r="S41" s="1168">
        <f t="shared" si="10"/>
        <v>100</v>
      </c>
      <c r="T41" s="1123" t="s">
        <v>1388</v>
      </c>
      <c r="U41" s="1168">
        <f t="shared" si="11"/>
        <v>100</v>
      </c>
      <c r="V41" s="1123" t="s">
        <v>1388</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1517</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1409</v>
      </c>
      <c r="Q42" s="1093" t="str">
        <f t="shared" si="14"/>
        <v>工程地质条件</v>
      </c>
      <c r="R42" s="1077" t="s">
        <v>1388</v>
      </c>
      <c r="S42" s="1146">
        <f t="shared" si="10"/>
        <v>100</v>
      </c>
      <c r="T42" s="1077" t="s">
        <v>1388</v>
      </c>
      <c r="U42" s="1146">
        <f t="shared" si="11"/>
        <v>100</v>
      </c>
      <c r="V42" s="1077" t="s">
        <v>1388</v>
      </c>
      <c r="W42" s="1146">
        <f t="shared" si="12"/>
        <v>100</v>
      </c>
      <c r="X42" s="1160"/>
      <c r="Y42" s="1143" t="s">
        <v>1409</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1388</v>
      </c>
      <c r="S43" s="1146">
        <f t="shared" si="10"/>
        <v>100</v>
      </c>
      <c r="T43" s="1077" t="s">
        <v>1388</v>
      </c>
      <c r="U43" s="1146">
        <f t="shared" si="11"/>
        <v>100</v>
      </c>
      <c r="V43" s="1077" t="s">
        <v>1388</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1388</v>
      </c>
      <c r="S44" s="1146">
        <f t="shared" si="10"/>
        <v>100</v>
      </c>
      <c r="T44" s="1077" t="s">
        <v>1388</v>
      </c>
      <c r="U44" s="1146">
        <f t="shared" si="11"/>
        <v>100</v>
      </c>
      <c r="V44" s="1077" t="s">
        <v>1388</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1388</v>
      </c>
      <c r="S45" s="1172">
        <f t="shared" si="10"/>
        <v>100</v>
      </c>
      <c r="T45" s="1171" t="s">
        <v>1388</v>
      </c>
      <c r="U45" s="1172">
        <f t="shared" si="11"/>
        <v>100</v>
      </c>
      <c r="V45" s="1171" t="s">
        <v>1388</v>
      </c>
      <c r="W45" s="1172">
        <f t="shared" si="12"/>
        <v>100</v>
      </c>
      <c r="X45" s="1173"/>
      <c r="Y45" s="1143"/>
      <c r="Z45" s="1182">
        <f t="shared" si="13"/>
        <v>111</v>
      </c>
      <c r="AA45" s="1150">
        <f t="shared" si="3"/>
        <v>1</v>
      </c>
      <c r="AB45" s="1150">
        <f t="shared" si="4"/>
        <v>1</v>
      </c>
      <c r="AC45" s="1150">
        <f t="shared" si="5"/>
        <v>1</v>
      </c>
    </row>
    <row r="46" ht="14.4" spans="1:29">
      <c r="A46" s="1058" t="s">
        <v>1500</v>
      </c>
      <c r="B46" s="1059" t="s">
        <v>1518</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1421</v>
      </c>
      <c r="B47" s="1067"/>
      <c r="C47" s="1068" t="e">
        <f>R48</f>
        <v>#DIV/0!</v>
      </c>
      <c r="D47" s="1069" t="s">
        <v>1422</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1519</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1424</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1425</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1426</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1520</v>
      </c>
      <c r="B55" s="1084" t="s">
        <v>1521</v>
      </c>
      <c r="C55" s="1085" t="s">
        <v>1522</v>
      </c>
      <c r="D55" s="1086" t="s">
        <v>1523</v>
      </c>
      <c r="E55" s="1084" t="s">
        <v>1524</v>
      </c>
      <c r="F55" s="1294" t="s">
        <v>1525</v>
      </c>
      <c r="G55" s="971" t="s">
        <v>1526</v>
      </c>
      <c r="H55" s="1088"/>
      <c r="I55" s="1295" t="s">
        <v>1527</v>
      </c>
      <c r="J55" s="1296">
        <f>项目基本情况!F35</f>
        <v>0</v>
      </c>
      <c r="K55" s="1151" t="s">
        <v>1528</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1529</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1530</v>
      </c>
      <c r="B57" s="262" t="e">
        <f>ROUND($C$48*C57*D57,0)</f>
        <v>#DIV/0!</v>
      </c>
      <c r="C57" s="1095">
        <f t="shared" ref="C57:C65" si="16">IF($C$55="北京市系数",I57,J57)</f>
        <v>0.7</v>
      </c>
      <c r="D57" s="1096">
        <v>0.25</v>
      </c>
      <c r="E57" s="261"/>
      <c r="F57" s="297" t="e">
        <f t="shared" si="15"/>
        <v>#DIV/0!</v>
      </c>
      <c r="G57" s="1097" t="s">
        <v>1531</v>
      </c>
      <c r="H57" s="1098" t="str">
        <f>项目基本情况!B37</f>
        <v>一级</v>
      </c>
      <c r="I57" s="1297">
        <f>SUMIF(修正!A57:A68,H57,修正!B57:B68)</f>
        <v>0.7</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1532</v>
      </c>
      <c r="B58" s="262" t="e">
        <f t="shared" ref="B58:B65" si="17">ROUND($C$48*C58*D58,0)</f>
        <v>#DIV/0!</v>
      </c>
      <c r="C58" s="1095">
        <f t="shared" si="16"/>
        <v>0.4</v>
      </c>
      <c r="D58" s="1096">
        <v>0.25</v>
      </c>
      <c r="E58" s="261"/>
      <c r="F58" s="297" t="e">
        <f t="shared" si="15"/>
        <v>#DIV/0!</v>
      </c>
      <c r="G58" s="1097"/>
      <c r="H58" s="1098" t="str">
        <f>项目基本情况!B37</f>
        <v>一级</v>
      </c>
      <c r="I58" s="1297">
        <f>SUMIF(修正!A57:A68,H58,修正!C57:C68)</f>
        <v>0.4</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1533</v>
      </c>
      <c r="B59" s="262" t="e">
        <f t="shared" si="17"/>
        <v>#DIV/0!</v>
      </c>
      <c r="C59" s="1095">
        <f t="shared" si="16"/>
        <v>0.3</v>
      </c>
      <c r="D59" s="1096">
        <v>0.25</v>
      </c>
      <c r="E59" s="261"/>
      <c r="F59" s="297" t="e">
        <f t="shared" si="15"/>
        <v>#DIV/0!</v>
      </c>
      <c r="G59" s="1097"/>
      <c r="H59" s="1098" t="str">
        <f>项目基本情况!B37</f>
        <v>一级</v>
      </c>
      <c r="I59" s="1297">
        <f>SUMIF(修正!A57:A68,H59,修正!D57:D68)</f>
        <v>0.3</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1534</v>
      </c>
      <c r="B60" s="262" t="e">
        <f ca="1" t="shared" si="17"/>
        <v>#DIV/0!</v>
      </c>
      <c r="C60" s="1095" t="e">
        <f ca="1" t="shared" si="16"/>
        <v>#REF!</v>
      </c>
      <c r="D60" s="1096">
        <v>0.25</v>
      </c>
      <c r="E60" s="261"/>
      <c r="F60" s="297" t="e">
        <f ca="1" t="shared" si="15"/>
        <v>#DIV/0!</v>
      </c>
      <c r="G60" s="1097"/>
      <c r="H60" s="1098" t="str">
        <f>项目基本情况!B37</f>
        <v>一级</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1535</v>
      </c>
      <c r="B61" s="262" t="e">
        <f t="shared" si="17"/>
        <v>#DIV/0!</v>
      </c>
      <c r="C61" s="1095">
        <f t="shared" si="16"/>
        <v>0</v>
      </c>
      <c r="D61" s="1096">
        <v>0.25</v>
      </c>
      <c r="E61" s="262">
        <f>'数据-汇总表'!E11</f>
        <v>0</v>
      </c>
      <c r="F61" s="297" t="e">
        <f t="shared" si="15"/>
        <v>#DIV/0!</v>
      </c>
      <c r="G61" s="1097" t="s">
        <v>1536</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1537</v>
      </c>
      <c r="B62" s="262" t="e">
        <f t="shared" si="17"/>
        <v>#DIV/0!</v>
      </c>
      <c r="C62" s="1095">
        <f t="shared" si="16"/>
        <v>0</v>
      </c>
      <c r="D62" s="1096">
        <v>0.25</v>
      </c>
      <c r="E62" s="262">
        <f>'数据-汇总表'!E12</f>
        <v>0</v>
      </c>
      <c r="F62" s="297" t="e">
        <f t="shared" si="15"/>
        <v>#DIV/0!</v>
      </c>
      <c r="G62" s="1099" t="s">
        <v>1538</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1539</v>
      </c>
      <c r="B63" s="262" t="e">
        <f t="shared" si="17"/>
        <v>#DIV/0!</v>
      </c>
      <c r="C63" s="1095">
        <f t="shared" si="16"/>
        <v>0</v>
      </c>
      <c r="D63" s="1096">
        <v>0.25</v>
      </c>
      <c r="E63" s="262">
        <f>'数据-汇总表'!E13</f>
        <v>0</v>
      </c>
      <c r="F63" s="297" t="e">
        <f t="shared" si="15"/>
        <v>#DIV/0!</v>
      </c>
      <c r="G63" s="1099" t="s">
        <v>1540</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1541</v>
      </c>
      <c r="B64" s="262" t="e">
        <f t="shared" si="17"/>
        <v>#DIV/0!</v>
      </c>
      <c r="C64" s="1095">
        <f t="shared" si="16"/>
        <v>0.2</v>
      </c>
      <c r="D64" s="1096">
        <v>0.25</v>
      </c>
      <c r="E64" s="262">
        <f>'数据-汇总表'!E14</f>
        <v>0</v>
      </c>
      <c r="F64" s="297" t="e">
        <f t="shared" si="15"/>
        <v>#DIV/0!</v>
      </c>
      <c r="G64" s="1097" t="s">
        <v>1531</v>
      </c>
      <c r="H64" s="1098" t="str">
        <f>项目基本情况!B37</f>
        <v>一级</v>
      </c>
      <c r="I64" s="1297">
        <f>SUMIF(修正!A57:A68,H64,修正!G57:G68)</f>
        <v>0.2</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1542</v>
      </c>
      <c r="B65" s="262" t="e">
        <f t="shared" si="17"/>
        <v>#DIV/0!</v>
      </c>
      <c r="C65" s="1095">
        <f t="shared" si="16"/>
        <v>0</v>
      </c>
      <c r="D65" s="1096">
        <v>0.25</v>
      </c>
      <c r="E65" s="262">
        <f>'数据-汇总表'!E15</f>
        <v>0</v>
      </c>
      <c r="F65" s="297" t="e">
        <f t="shared" si="15"/>
        <v>#DIV/0!</v>
      </c>
      <c r="G65" s="1100" t="s">
        <v>1536</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1543</v>
      </c>
      <c r="B66" s="1103" t="s">
        <v>1478</v>
      </c>
      <c r="C66" s="1103" t="s">
        <v>1478</v>
      </c>
      <c r="D66" s="1103" t="s">
        <v>1478</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15" spans="1:29">
      <c r="A69" s="1107" t="s">
        <v>1427</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1544</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1545</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1428</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1389</v>
      </c>
      <c r="B73" s="1195"/>
      <c r="C73" s="1196" t="s">
        <v>1390</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1429</v>
      </c>
      <c r="B75" s="1200" t="s">
        <v>1393</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1396</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1397</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1398</v>
      </c>
      <c r="B88" s="1200" t="s">
        <v>1399</v>
      </c>
      <c r="C88" s="1220" t="s">
        <v>1437</v>
      </c>
      <c r="D88" s="1220" t="s">
        <v>1438</v>
      </c>
      <c r="E88" s="1220" t="s">
        <v>1439</v>
      </c>
      <c r="F88" s="1220" t="s">
        <v>1440</v>
      </c>
      <c r="G88" s="1220" t="s">
        <v>1441</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1468</v>
      </c>
      <c r="C90" s="1221" t="s">
        <v>1437</v>
      </c>
      <c r="D90" s="1221" t="s">
        <v>1438</v>
      </c>
      <c r="E90" s="1221" t="s">
        <v>1439</v>
      </c>
      <c r="F90" s="1221" t="s">
        <v>1440</v>
      </c>
      <c r="G90" s="1221" t="s">
        <v>1441</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1481</v>
      </c>
      <c r="C92" s="1221" t="s">
        <v>1437</v>
      </c>
      <c r="D92" s="1221" t="s">
        <v>1438</v>
      </c>
      <c r="E92" s="1221" t="s">
        <v>1439</v>
      </c>
      <c r="F92" s="1221" t="s">
        <v>1440</v>
      </c>
      <c r="G92" s="1221" t="s">
        <v>1441</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1401</v>
      </c>
      <c r="C94" s="1221" t="s">
        <v>1437</v>
      </c>
      <c r="D94" s="1221" t="s">
        <v>1438</v>
      </c>
      <c r="E94" s="1221" t="s">
        <v>1439</v>
      </c>
      <c r="F94" s="1221" t="s">
        <v>1440</v>
      </c>
      <c r="G94" s="1221" t="s">
        <v>1441</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1510</v>
      </c>
      <c r="C96" s="1221" t="s">
        <v>1437</v>
      </c>
      <c r="D96" s="1221" t="s">
        <v>1438</v>
      </c>
      <c r="E96" s="1221" t="s">
        <v>1439</v>
      </c>
      <c r="F96" s="1221" t="s">
        <v>1440</v>
      </c>
      <c r="G96" s="1221" t="s">
        <v>1441</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1511</v>
      </c>
      <c r="C98" s="1220" t="s">
        <v>1437</v>
      </c>
      <c r="D98" s="1220" t="s">
        <v>1438</v>
      </c>
      <c r="E98" s="1220" t="s">
        <v>1439</v>
      </c>
      <c r="F98" s="1220" t="s">
        <v>1440</v>
      </c>
      <c r="G98" s="1220" t="s">
        <v>1441</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1402</v>
      </c>
      <c r="C100" s="1220" t="s">
        <v>1437</v>
      </c>
      <c r="D100" s="1220" t="s">
        <v>1438</v>
      </c>
      <c r="E100" s="1220" t="s">
        <v>1439</v>
      </c>
      <c r="F100" s="1220" t="s">
        <v>1440</v>
      </c>
      <c r="G100" s="1220" t="s">
        <v>1441</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1403</v>
      </c>
      <c r="C102" s="1135" t="s">
        <v>1442</v>
      </c>
      <c r="D102" s="1135" t="s">
        <v>1443</v>
      </c>
      <c r="E102" s="1135" t="s">
        <v>1444</v>
      </c>
      <c r="F102" s="1135" t="s">
        <v>1445</v>
      </c>
      <c r="G102" s="1135" t="s">
        <v>1446</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1546</v>
      </c>
      <c r="D104" s="1204" t="s">
        <v>1547</v>
      </c>
      <c r="E104" s="1204" t="s">
        <v>1548</v>
      </c>
      <c r="F104" s="1204" t="s">
        <v>1549</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1483</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1512</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1407</v>
      </c>
      <c r="B116" s="1200" t="s">
        <v>1513</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1514</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1515</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1516</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1517</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796296296296" style="958" customWidth="1"/>
    <col min="2" max="2" width="15.75" style="958" customWidth="1"/>
    <col min="3" max="3" width="14.3796296296296" style="958" customWidth="1"/>
    <col min="4" max="4" width="12.25" style="958" customWidth="1"/>
    <col min="5" max="5" width="14.3796296296296" style="958" customWidth="1"/>
    <col min="6" max="6" width="12.25" style="958" customWidth="1"/>
    <col min="7" max="7" width="14.5" style="958" customWidth="1"/>
    <col min="8" max="8" width="12.25" style="958" customWidth="1"/>
    <col min="9" max="9" width="14.5" style="958" customWidth="1"/>
    <col min="10" max="15" width="12.25" style="958" customWidth="1"/>
    <col min="16" max="16" width="4.75" style="958" customWidth="1"/>
    <col min="17" max="17" width="19.5" style="958" customWidth="1"/>
    <col min="18" max="22" width="6.12962962962963" style="958" customWidth="1"/>
    <col min="23" max="23" width="5.75" style="958" customWidth="1"/>
    <col min="24" max="24" width="4.25" style="958" customWidth="1"/>
    <col min="25" max="25" width="3.5" style="958" customWidth="1"/>
    <col min="26" max="26" width="19.75" style="958" customWidth="1"/>
    <col min="27" max="28" width="9.37962962962963" style="958" customWidth="1"/>
    <col min="29" max="16384" width="9" style="958"/>
  </cols>
  <sheetData>
    <row r="1" s="952" customFormat="1" ht="28.5" customHeight="1" spans="1:29">
      <c r="A1" s="959" t="s">
        <v>1507</v>
      </c>
      <c r="B1" s="960"/>
      <c r="C1" s="961" t="s">
        <v>1487</v>
      </c>
      <c r="D1" s="962"/>
      <c r="E1" s="962"/>
      <c r="F1" s="963" t="s">
        <v>1371</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888</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890</v>
      </c>
      <c r="B3" s="967" t="e">
        <f ca="1">ROUND(IF(D3="",B2*10000/'数据-汇总表'!E3,B2*10000/D3),0)</f>
        <v>#DIV/0!</v>
      </c>
      <c r="C3" s="250" t="s">
        <v>1372</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1373</v>
      </c>
      <c r="B4" s="970"/>
      <c r="C4" s="971" t="s">
        <v>1374</v>
      </c>
      <c r="D4" s="972"/>
      <c r="E4" s="973" t="s">
        <v>1375</v>
      </c>
      <c r="F4" s="974"/>
      <c r="G4" s="971" t="s">
        <v>1376</v>
      </c>
      <c r="H4" s="972"/>
      <c r="I4" s="971" t="s">
        <v>1377</v>
      </c>
      <c r="J4" s="972"/>
      <c r="K4" s="1115" t="s">
        <v>1378</v>
      </c>
      <c r="L4" s="1116"/>
      <c r="M4" s="1117"/>
      <c r="N4" s="1117"/>
      <c r="O4" s="1117"/>
      <c r="P4" s="1118" t="s">
        <v>1379</v>
      </c>
      <c r="Q4" s="1157"/>
      <c r="R4" s="1158" t="s">
        <v>1375</v>
      </c>
      <c r="S4" s="1159"/>
      <c r="T4" s="1158" t="s">
        <v>1376</v>
      </c>
      <c r="U4" s="1159"/>
      <c r="V4" s="1150" t="s">
        <v>1377</v>
      </c>
      <c r="W4" s="1150"/>
      <c r="X4" s="1160"/>
      <c r="Y4" s="1158" t="s">
        <v>1379</v>
      </c>
      <c r="Z4" s="1159"/>
      <c r="AA4" s="1179" t="s">
        <v>1375</v>
      </c>
      <c r="AB4" s="1160" t="s">
        <v>1376</v>
      </c>
      <c r="AC4" s="1179" t="s">
        <v>1377</v>
      </c>
    </row>
    <row r="5" spans="1:29">
      <c r="A5" s="975"/>
      <c r="B5" s="976"/>
      <c r="C5" s="977" t="s">
        <v>1380</v>
      </c>
      <c r="D5" s="978"/>
      <c r="E5" s="979" t="s">
        <v>1381</v>
      </c>
      <c r="F5" s="980"/>
      <c r="G5" s="977" t="s">
        <v>1382</v>
      </c>
      <c r="H5" s="978"/>
      <c r="I5" s="977" t="s">
        <v>1383</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1550</v>
      </c>
      <c r="D6" s="984"/>
      <c r="E6" s="985" t="s">
        <v>1550</v>
      </c>
      <c r="F6" s="986"/>
      <c r="G6" s="983" t="s">
        <v>1550</v>
      </c>
      <c r="H6" s="984"/>
      <c r="I6" s="983" t="s">
        <v>1550</v>
      </c>
      <c r="J6" s="984"/>
      <c r="K6" s="1115" t="s">
        <v>1385</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1386</v>
      </c>
      <c r="B7" s="988"/>
      <c r="C7" s="989">
        <f>'数据-取费表'!B2</f>
        <v>44771</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1387</v>
      </c>
      <c r="Q7" s="1167"/>
      <c r="R7" s="1123" t="s">
        <v>1388</v>
      </c>
      <c r="S7" s="1168">
        <f t="shared" ref="S7:S15" si="0">F7</f>
        <v>0</v>
      </c>
      <c r="T7" s="1123" t="s">
        <v>1388</v>
      </c>
      <c r="U7" s="1168">
        <f t="shared" ref="U7:U15" si="1">H7</f>
        <v>0</v>
      </c>
      <c r="V7" s="1123" t="s">
        <v>1388</v>
      </c>
      <c r="W7" s="1168">
        <f t="shared" ref="W7:W15" si="2">J7</f>
        <v>0</v>
      </c>
      <c r="X7" s="1169"/>
      <c r="Y7" s="1123" t="s">
        <v>1387</v>
      </c>
      <c r="Z7" s="1168"/>
      <c r="AA7" s="1181" t="e">
        <f>D7/F7</f>
        <v>#DIV/0!</v>
      </c>
      <c r="AB7" s="1181" t="e">
        <f>D7/H7</f>
        <v>#DIV/0!</v>
      </c>
      <c r="AC7" s="1181" t="e">
        <f>D7/J7</f>
        <v>#DIV/0!</v>
      </c>
    </row>
    <row r="8" s="953" customFormat="1" ht="15.15" spans="1:29">
      <c r="A8" s="987" t="s">
        <v>1389</v>
      </c>
      <c r="B8" s="988"/>
      <c r="C8" s="994" t="s">
        <v>1390</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1391</v>
      </c>
      <c r="Q8" s="1168"/>
      <c r="R8" s="1123" t="s">
        <v>1388</v>
      </c>
      <c r="S8" s="1168">
        <f t="shared" si="0"/>
        <v>0</v>
      </c>
      <c r="T8" s="1123" t="s">
        <v>1388</v>
      </c>
      <c r="U8" s="1168">
        <f t="shared" si="1"/>
        <v>0</v>
      </c>
      <c r="V8" s="1123" t="s">
        <v>1388</v>
      </c>
      <c r="W8" s="1168">
        <f t="shared" si="2"/>
        <v>0</v>
      </c>
      <c r="X8" s="1169"/>
      <c r="Y8" s="1123" t="s">
        <v>1391</v>
      </c>
      <c r="Z8" s="1168"/>
      <c r="AA8" s="1181" t="e">
        <f t="shared" ref="AA8:AA40" si="3">D8/F8</f>
        <v>#DIV/0!</v>
      </c>
      <c r="AB8" s="1181" t="e">
        <f t="shared" ref="AB8:AB40" si="4">D8/H8</f>
        <v>#DIV/0!</v>
      </c>
      <c r="AC8" s="1181" t="e">
        <f t="shared" ref="AC8:AC40" si="5">D8/J8</f>
        <v>#DIV/0!</v>
      </c>
    </row>
    <row r="9" s="953" customFormat="1" ht="14.4" spans="1:29">
      <c r="A9" s="995" t="s">
        <v>1392</v>
      </c>
      <c r="B9" s="996" t="s">
        <v>1393</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1394</v>
      </c>
      <c r="Q9" s="1170" t="str">
        <f t="shared" ref="Q9:Q15" si="6">B9</f>
        <v>用途</v>
      </c>
      <c r="R9" s="1123" t="s">
        <v>1388</v>
      </c>
      <c r="S9" s="1168">
        <f t="shared" si="0"/>
        <v>100</v>
      </c>
      <c r="T9" s="1123" t="s">
        <v>1388</v>
      </c>
      <c r="U9" s="1168">
        <f t="shared" si="1"/>
        <v>100</v>
      </c>
      <c r="V9" s="1123" t="s">
        <v>1388</v>
      </c>
      <c r="W9" s="1168">
        <f t="shared" si="2"/>
        <v>100</v>
      </c>
      <c r="X9" s="1169"/>
      <c r="Y9" s="1170" t="s">
        <v>1395</v>
      </c>
      <c r="Z9" s="1181" t="str">
        <f t="shared" ref="Z9:Z15" si="7">Q9</f>
        <v>用途</v>
      </c>
      <c r="AA9" s="1181">
        <f t="shared" si="3"/>
        <v>1</v>
      </c>
      <c r="AB9" s="1181">
        <f t="shared" si="4"/>
        <v>1</v>
      </c>
      <c r="AC9" s="1181">
        <f t="shared" si="5"/>
        <v>1</v>
      </c>
    </row>
    <row r="10" s="954" customFormat="1" ht="28.8" spans="1:29">
      <c r="A10" s="999"/>
      <c r="B10" s="1000" t="s">
        <v>1396</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1388</v>
      </c>
      <c r="S10" s="1168" t="e">
        <f t="shared" si="0"/>
        <v>#DIV/0!</v>
      </c>
      <c r="T10" s="1123" t="s">
        <v>1388</v>
      </c>
      <c r="U10" s="1168" t="e">
        <f t="shared" si="1"/>
        <v>#DIV/0!</v>
      </c>
      <c r="V10" s="1123" t="s">
        <v>1388</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1397</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1388</v>
      </c>
      <c r="S11" s="1168" t="e">
        <f t="shared" si="0"/>
        <v>#N/A</v>
      </c>
      <c r="T11" s="1123" t="s">
        <v>1388</v>
      </c>
      <c r="U11" s="1168" t="e">
        <f t="shared" si="1"/>
        <v>#N/A</v>
      </c>
      <c r="V11" s="1123" t="s">
        <v>1388</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1388</v>
      </c>
      <c r="S12" s="1168">
        <f t="shared" si="0"/>
        <v>100</v>
      </c>
      <c r="T12" s="1123" t="s">
        <v>1388</v>
      </c>
      <c r="U12" s="1168">
        <f t="shared" si="1"/>
        <v>100</v>
      </c>
      <c r="V12" s="1123" t="s">
        <v>1388</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1388</v>
      </c>
      <c r="S13" s="1168">
        <f t="shared" si="0"/>
        <v>100</v>
      </c>
      <c r="T13" s="1123" t="s">
        <v>1388</v>
      </c>
      <c r="U13" s="1168">
        <f t="shared" si="1"/>
        <v>100</v>
      </c>
      <c r="V13" s="1123" t="s">
        <v>1388</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1388</v>
      </c>
      <c r="S14" s="1168">
        <f t="shared" si="0"/>
        <v>100</v>
      </c>
      <c r="T14" s="1123" t="s">
        <v>1388</v>
      </c>
      <c r="U14" s="1168">
        <f t="shared" si="1"/>
        <v>100</v>
      </c>
      <c r="V14" s="1123" t="s">
        <v>1388</v>
      </c>
      <c r="W14" s="1168">
        <f t="shared" si="2"/>
        <v>100</v>
      </c>
      <c r="X14" s="1169"/>
      <c r="Y14" s="1170"/>
      <c r="Z14" s="1181">
        <f t="shared" si="7"/>
        <v>111</v>
      </c>
      <c r="AA14" s="1181">
        <f t="shared" si="3"/>
        <v>1</v>
      </c>
      <c r="AB14" s="1181">
        <f t="shared" si="4"/>
        <v>1</v>
      </c>
      <c r="AC14" s="1181">
        <f t="shared" si="5"/>
        <v>1</v>
      </c>
    </row>
    <row r="15" ht="72" spans="1:29">
      <c r="A15" s="1017" t="s">
        <v>1398</v>
      </c>
      <c r="B15" s="1018" t="s">
        <v>1488</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1400</v>
      </c>
      <c r="Q15" s="1093" t="str">
        <f t="shared" si="6"/>
        <v>产业集聚程度</v>
      </c>
      <c r="R15" s="1077" t="s">
        <v>1388</v>
      </c>
      <c r="S15" s="1146">
        <f t="shared" si="0"/>
        <v>100</v>
      </c>
      <c r="T15" s="1077" t="s">
        <v>1388</v>
      </c>
      <c r="U15" s="1146">
        <f t="shared" si="1"/>
        <v>100</v>
      </c>
      <c r="V15" s="1077" t="s">
        <v>1388</v>
      </c>
      <c r="W15" s="1146">
        <f t="shared" si="2"/>
        <v>100</v>
      </c>
      <c r="X15" s="1160"/>
      <c r="Y15" s="1134" t="s">
        <v>1400</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1401</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1388</v>
      </c>
      <c r="S17" s="1146">
        <f>F17</f>
        <v>100</v>
      </c>
      <c r="T17" s="1077" t="s">
        <v>1388</v>
      </c>
      <c r="U17" s="1146">
        <f>H17</f>
        <v>100</v>
      </c>
      <c r="V17" s="1077" t="s">
        <v>1388</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1510</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1388</v>
      </c>
      <c r="S19" s="1146">
        <f>F19</f>
        <v>100</v>
      </c>
      <c r="T19" s="1077" t="s">
        <v>1388</v>
      </c>
      <c r="U19" s="1146">
        <f>H19</f>
        <v>100</v>
      </c>
      <c r="V19" s="1077" t="s">
        <v>1388</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1551</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1388</v>
      </c>
      <c r="S21" s="1146">
        <f>F21</f>
        <v>100</v>
      </c>
      <c r="T21" s="1077" t="s">
        <v>1388</v>
      </c>
      <c r="U21" s="1146">
        <f>H21</f>
        <v>100</v>
      </c>
      <c r="V21" s="1077" t="s">
        <v>1388</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1402</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1388</v>
      </c>
      <c r="S23" s="1168">
        <f>F23</f>
        <v>100</v>
      </c>
      <c r="T23" s="1123" t="s">
        <v>1388</v>
      </c>
      <c r="U23" s="1168">
        <f>H23</f>
        <v>100</v>
      </c>
      <c r="V23" s="1123" t="s">
        <v>1388</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1403</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1388</v>
      </c>
      <c r="S25" s="1168">
        <f>F25</f>
        <v>100</v>
      </c>
      <c r="T25" s="1123" t="s">
        <v>1388</v>
      </c>
      <c r="U25" s="1168">
        <f>H25</f>
        <v>100</v>
      </c>
      <c r="V25" s="1123" t="s">
        <v>1388</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1469</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1388</v>
      </c>
      <c r="S27" s="1146">
        <f t="shared" ref="S27:S40" si="10">F27</f>
        <v>100</v>
      </c>
      <c r="T27" s="1077" t="s">
        <v>1388</v>
      </c>
      <c r="U27" s="1146">
        <f t="shared" ref="U27:U40" si="11">H27</f>
        <v>100</v>
      </c>
      <c r="V27" s="1077" t="s">
        <v>1388</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1483</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1388</v>
      </c>
      <c r="S28" s="1146">
        <f t="shared" si="10"/>
        <v>100</v>
      </c>
      <c r="T28" s="1077" t="s">
        <v>1388</v>
      </c>
      <c r="U28" s="1146">
        <f t="shared" si="11"/>
        <v>100</v>
      </c>
      <c r="V28" s="1077" t="s">
        <v>1388</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1512</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1388</v>
      </c>
      <c r="S30" s="1146">
        <f t="shared" si="10"/>
        <v>100</v>
      </c>
      <c r="T30" s="1077" t="s">
        <v>1388</v>
      </c>
      <c r="U30" s="1146">
        <f t="shared" si="11"/>
        <v>100</v>
      </c>
      <c r="V30" s="1077" t="s">
        <v>1388</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1388</v>
      </c>
      <c r="S31" s="1146">
        <f t="shared" si="10"/>
        <v>100</v>
      </c>
      <c r="T31" s="1077" t="s">
        <v>1388</v>
      </c>
      <c r="U31" s="1146">
        <f t="shared" si="11"/>
        <v>100</v>
      </c>
      <c r="V31" s="1077" t="s">
        <v>1388</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1409</v>
      </c>
      <c r="Q32" s="1093">
        <f t="shared" si="8"/>
        <v>111</v>
      </c>
      <c r="R32" s="1077" t="s">
        <v>1388</v>
      </c>
      <c r="S32" s="1146">
        <f t="shared" si="10"/>
        <v>100</v>
      </c>
      <c r="T32" s="1077" t="s">
        <v>1388</v>
      </c>
      <c r="U32" s="1146">
        <f t="shared" si="11"/>
        <v>100</v>
      </c>
      <c r="V32" s="1077" t="s">
        <v>1388</v>
      </c>
      <c r="W32" s="1146">
        <f t="shared" si="12"/>
        <v>100</v>
      </c>
      <c r="X32" s="1160"/>
      <c r="Y32" s="1143" t="s">
        <v>1409</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1388</v>
      </c>
      <c r="S33" s="1172">
        <f t="shared" si="10"/>
        <v>100</v>
      </c>
      <c r="T33" s="1171" t="s">
        <v>1388</v>
      </c>
      <c r="U33" s="1172">
        <f t="shared" si="11"/>
        <v>100</v>
      </c>
      <c r="V33" s="1171" t="s">
        <v>1388</v>
      </c>
      <c r="W33" s="1172">
        <f t="shared" si="12"/>
        <v>100</v>
      </c>
      <c r="X33" s="1173"/>
      <c r="Y33" s="1143"/>
      <c r="Z33" s="1182">
        <f t="shared" si="13"/>
        <v>111</v>
      </c>
      <c r="AA33" s="1150">
        <f t="shared" si="3"/>
        <v>1</v>
      </c>
      <c r="AB33" s="1150">
        <f t="shared" si="4"/>
        <v>1</v>
      </c>
      <c r="AC33" s="1150">
        <f t="shared" si="5"/>
        <v>1</v>
      </c>
    </row>
    <row r="34" ht="15" spans="1:29">
      <c r="A34" s="1017" t="s">
        <v>1407</v>
      </c>
      <c r="B34" s="1049" t="s">
        <v>1513</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1388</v>
      </c>
      <c r="S34" s="1146" t="e">
        <f t="shared" si="10"/>
        <v>#N/A</v>
      </c>
      <c r="T34" s="1077" t="s">
        <v>1388</v>
      </c>
      <c r="U34" s="1146" t="e">
        <f t="shared" si="11"/>
        <v>#N/A</v>
      </c>
      <c r="V34" s="1077" t="s">
        <v>1388</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1514</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1388</v>
      </c>
      <c r="S35" s="1146">
        <f t="shared" si="10"/>
        <v>100</v>
      </c>
      <c r="T35" s="1077" t="s">
        <v>1388</v>
      </c>
      <c r="U35" s="1146">
        <f t="shared" si="11"/>
        <v>100</v>
      </c>
      <c r="V35" s="1077" t="s">
        <v>1388</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1516</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1388</v>
      </c>
      <c r="S36" s="1168">
        <f t="shared" si="10"/>
        <v>100</v>
      </c>
      <c r="T36" s="1123" t="s">
        <v>1388</v>
      </c>
      <c r="U36" s="1168">
        <f t="shared" si="11"/>
        <v>100</v>
      </c>
      <c r="V36" s="1123" t="s">
        <v>1388</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1517</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1409</v>
      </c>
      <c r="Q37" s="1093" t="str">
        <f t="shared" si="14"/>
        <v>工程地质条件</v>
      </c>
      <c r="R37" s="1077" t="s">
        <v>1388</v>
      </c>
      <c r="S37" s="1146">
        <f t="shared" si="10"/>
        <v>100</v>
      </c>
      <c r="T37" s="1077" t="s">
        <v>1388</v>
      </c>
      <c r="U37" s="1146">
        <f t="shared" si="11"/>
        <v>100</v>
      </c>
      <c r="V37" s="1077" t="s">
        <v>1388</v>
      </c>
      <c r="W37" s="1146">
        <f t="shared" si="12"/>
        <v>100</v>
      </c>
      <c r="X37" s="1160"/>
      <c r="Y37" s="1143" t="s">
        <v>1409</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1388</v>
      </c>
      <c r="S38" s="1146">
        <f t="shared" si="10"/>
        <v>100</v>
      </c>
      <c r="T38" s="1077" t="s">
        <v>1388</v>
      </c>
      <c r="U38" s="1146">
        <f t="shared" si="11"/>
        <v>100</v>
      </c>
      <c r="V38" s="1077" t="s">
        <v>1388</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1388</v>
      </c>
      <c r="S39" s="1146">
        <f t="shared" si="10"/>
        <v>100</v>
      </c>
      <c r="T39" s="1077" t="s">
        <v>1388</v>
      </c>
      <c r="U39" s="1146">
        <f t="shared" si="11"/>
        <v>100</v>
      </c>
      <c r="V39" s="1077" t="s">
        <v>1388</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1388</v>
      </c>
      <c r="S40" s="1172">
        <f t="shared" si="10"/>
        <v>100</v>
      </c>
      <c r="T40" s="1171" t="s">
        <v>1388</v>
      </c>
      <c r="U40" s="1172">
        <f t="shared" si="11"/>
        <v>100</v>
      </c>
      <c r="V40" s="1171" t="s">
        <v>1388</v>
      </c>
      <c r="W40" s="1172">
        <f t="shared" si="12"/>
        <v>100</v>
      </c>
      <c r="X40" s="1173"/>
      <c r="Y40" s="1143"/>
      <c r="Z40" s="1182">
        <f t="shared" si="13"/>
        <v>111</v>
      </c>
      <c r="AA40" s="1150">
        <f t="shared" si="3"/>
        <v>1</v>
      </c>
      <c r="AB40" s="1150">
        <f t="shared" si="4"/>
        <v>1</v>
      </c>
      <c r="AC40" s="1150">
        <f t="shared" si="5"/>
        <v>1</v>
      </c>
    </row>
    <row r="41" ht="14.4" spans="1:29">
      <c r="A41" s="1058" t="s">
        <v>1500</v>
      </c>
      <c r="B41" s="1059" t="s">
        <v>1552</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1421</v>
      </c>
      <c r="B42" s="1067"/>
      <c r="C42" s="1068" t="e">
        <f>R43</f>
        <v>#DIV/0!</v>
      </c>
      <c r="D42" s="1069" t="s">
        <v>1422</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1423</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1424</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1425</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1426</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1520</v>
      </c>
      <c r="B50" s="1084" t="s">
        <v>1521</v>
      </c>
      <c r="C50" s="1085" t="s">
        <v>1522</v>
      </c>
      <c r="D50" s="1086" t="s">
        <v>1523</v>
      </c>
      <c r="E50" s="1084" t="s">
        <v>1524</v>
      </c>
      <c r="F50" s="1087" t="s">
        <v>1525</v>
      </c>
      <c r="G50" s="971" t="s">
        <v>1526</v>
      </c>
      <c r="H50" s="1088"/>
      <c r="I50" s="1150" t="s">
        <v>1553</v>
      </c>
      <c r="J50" s="1150">
        <f>项目基本情况!F35</f>
        <v>0</v>
      </c>
      <c r="K50" s="1151" t="s">
        <v>1528</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1529</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1530</v>
      </c>
      <c r="B52" s="262" t="e">
        <f>ROUND($C$43*C52*D52,0)</f>
        <v>#DIV/0!</v>
      </c>
      <c r="C52" s="1095">
        <f t="shared" ref="C52:C60" si="16">IF($C$50="北京市系数",I52,J52)</f>
        <v>0.7</v>
      </c>
      <c r="D52" s="1096">
        <v>0.25</v>
      </c>
      <c r="E52" s="261"/>
      <c r="F52" s="1091" t="e">
        <f t="shared" si="15"/>
        <v>#DIV/0!</v>
      </c>
      <c r="G52" s="1097" t="s">
        <v>1531</v>
      </c>
      <c r="H52" s="1098" t="str">
        <f>项目基本情况!B37</f>
        <v>一级</v>
      </c>
      <c r="I52" s="1152">
        <f>SUMIF(修正!A57:A68,H52,修正!B57:B68)</f>
        <v>0.7</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1532</v>
      </c>
      <c r="B53" s="262" t="e">
        <f t="shared" ref="B53:B60" si="17">ROUND($C$43*C53*D53,0)</f>
        <v>#DIV/0!</v>
      </c>
      <c r="C53" s="1095">
        <f t="shared" si="16"/>
        <v>0.4</v>
      </c>
      <c r="D53" s="1096">
        <v>0.25</v>
      </c>
      <c r="E53" s="261"/>
      <c r="F53" s="1091" t="e">
        <f t="shared" si="15"/>
        <v>#DIV/0!</v>
      </c>
      <c r="G53" s="1097"/>
      <c r="H53" s="1098" t="str">
        <f>项目基本情况!B37</f>
        <v>一级</v>
      </c>
      <c r="I53" s="1152">
        <f>SUMIF(修正!A57:A68,H53,修正!C57:C68)</f>
        <v>0.4</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1533</v>
      </c>
      <c r="B54" s="262" t="e">
        <f t="shared" si="17"/>
        <v>#DIV/0!</v>
      </c>
      <c r="C54" s="1095">
        <f t="shared" si="16"/>
        <v>0.3</v>
      </c>
      <c r="D54" s="1096">
        <v>0.25</v>
      </c>
      <c r="E54" s="261"/>
      <c r="F54" s="1091" t="e">
        <f t="shared" si="15"/>
        <v>#DIV/0!</v>
      </c>
      <c r="G54" s="1097"/>
      <c r="H54" s="1098" t="str">
        <f>项目基本情况!B37</f>
        <v>一级</v>
      </c>
      <c r="I54" s="1152">
        <f>SUMIF(修正!A57:A68,H54,修正!D57:D68)</f>
        <v>0.3</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1534</v>
      </c>
      <c r="B55" s="262" t="e">
        <f ca="1" t="shared" si="17"/>
        <v>#DIV/0!</v>
      </c>
      <c r="C55" s="1095" t="e">
        <f ca="1" t="shared" si="16"/>
        <v>#REF!</v>
      </c>
      <c r="D55" s="1096">
        <v>0.25</v>
      </c>
      <c r="E55" s="261"/>
      <c r="F55" s="1091" t="e">
        <f ca="1" t="shared" si="15"/>
        <v>#DIV/0!</v>
      </c>
      <c r="G55" s="1097"/>
      <c r="H55" s="1098" t="str">
        <f>项目基本情况!B37</f>
        <v>一级</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1535</v>
      </c>
      <c r="B56" s="262" t="e">
        <f t="shared" si="17"/>
        <v>#DIV/0!</v>
      </c>
      <c r="C56" s="1095">
        <f t="shared" si="16"/>
        <v>0</v>
      </c>
      <c r="D56" s="1096">
        <v>0.25</v>
      </c>
      <c r="E56" s="262">
        <f>'数据-汇总表'!E11</f>
        <v>0</v>
      </c>
      <c r="F56" s="1091" t="e">
        <f t="shared" si="15"/>
        <v>#DIV/0!</v>
      </c>
      <c r="G56" s="1097" t="s">
        <v>1536</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1537</v>
      </c>
      <c r="B57" s="262" t="e">
        <f t="shared" si="17"/>
        <v>#DIV/0!</v>
      </c>
      <c r="C57" s="1095">
        <f t="shared" si="16"/>
        <v>0</v>
      </c>
      <c r="D57" s="1096">
        <v>0.25</v>
      </c>
      <c r="E57" s="262">
        <f>'数据-汇总表'!E12</f>
        <v>0</v>
      </c>
      <c r="F57" s="1091" t="e">
        <f t="shared" si="15"/>
        <v>#DIV/0!</v>
      </c>
      <c r="G57" s="1099" t="s">
        <v>1538</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1539</v>
      </c>
      <c r="B58" s="262" t="e">
        <f t="shared" si="17"/>
        <v>#DIV/0!</v>
      </c>
      <c r="C58" s="1095">
        <f t="shared" si="16"/>
        <v>0</v>
      </c>
      <c r="D58" s="1096">
        <v>0.25</v>
      </c>
      <c r="E58" s="262">
        <f>'数据-汇总表'!E13</f>
        <v>0</v>
      </c>
      <c r="F58" s="1091" t="e">
        <f t="shared" si="15"/>
        <v>#DIV/0!</v>
      </c>
      <c r="G58" s="1099" t="s">
        <v>1540</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1541</v>
      </c>
      <c r="B59" s="262" t="e">
        <f t="shared" si="17"/>
        <v>#DIV/0!</v>
      </c>
      <c r="C59" s="1095">
        <f t="shared" si="16"/>
        <v>0.2</v>
      </c>
      <c r="D59" s="1096">
        <v>0.25</v>
      </c>
      <c r="E59" s="262">
        <f>'数据-汇总表'!E14</f>
        <v>0</v>
      </c>
      <c r="F59" s="1091" t="e">
        <f t="shared" si="15"/>
        <v>#DIV/0!</v>
      </c>
      <c r="G59" s="1097" t="s">
        <v>1531</v>
      </c>
      <c r="H59" s="1098" t="str">
        <f>项目基本情况!B37</f>
        <v>一级</v>
      </c>
      <c r="I59" s="1152">
        <f>SUMIF(修正!A57:A68,H59,修正!G57:G68)</f>
        <v>0.2</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1542</v>
      </c>
      <c r="B60" s="262" t="e">
        <f t="shared" si="17"/>
        <v>#DIV/0!</v>
      </c>
      <c r="C60" s="1095">
        <f t="shared" si="16"/>
        <v>0</v>
      </c>
      <c r="D60" s="1096">
        <v>0.25</v>
      </c>
      <c r="E60" s="262">
        <f>'数据-汇总表'!E15</f>
        <v>0</v>
      </c>
      <c r="F60" s="1091" t="e">
        <f t="shared" si="15"/>
        <v>#DIV/0!</v>
      </c>
      <c r="G60" s="1100" t="s">
        <v>1536</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1543</v>
      </c>
      <c r="B61" s="1103" t="s">
        <v>1478</v>
      </c>
      <c r="C61" s="1103" t="s">
        <v>1478</v>
      </c>
      <c r="D61" s="1103" t="s">
        <v>1478</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15" spans="1:31">
      <c r="A64" s="1107" t="s">
        <v>1427</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1544</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1554</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1428</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1389</v>
      </c>
      <c r="B68" s="1195"/>
      <c r="C68" s="1196" t="s">
        <v>1390</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1429</v>
      </c>
      <c r="B70" s="1200" t="s">
        <v>1393</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1396</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1397</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1398</v>
      </c>
      <c r="B83" s="1200" t="s">
        <v>1488</v>
      </c>
      <c r="C83" s="1220" t="s">
        <v>1437</v>
      </c>
      <c r="D83" s="1220" t="s">
        <v>1438</v>
      </c>
      <c r="E83" s="1220" t="s">
        <v>1439</v>
      </c>
      <c r="F83" s="1220" t="s">
        <v>1440</v>
      </c>
      <c r="G83" s="1220" t="s">
        <v>1441</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1401</v>
      </c>
      <c r="C85" s="1221" t="s">
        <v>1437</v>
      </c>
      <c r="D85" s="1221" t="s">
        <v>1438</v>
      </c>
      <c r="E85" s="1221" t="s">
        <v>1439</v>
      </c>
      <c r="F85" s="1221" t="s">
        <v>1440</v>
      </c>
      <c r="G85" s="1221" t="s">
        <v>1441</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1510</v>
      </c>
      <c r="C87" s="1220" t="s">
        <v>1437</v>
      </c>
      <c r="D87" s="1220" t="s">
        <v>1438</v>
      </c>
      <c r="E87" s="1220" t="s">
        <v>1439</v>
      </c>
      <c r="F87" s="1220" t="s">
        <v>1440</v>
      </c>
      <c r="G87" s="1220" t="s">
        <v>1441</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1511</v>
      </c>
      <c r="C89" s="1220" t="s">
        <v>1437</v>
      </c>
      <c r="D89" s="1220" t="s">
        <v>1438</v>
      </c>
      <c r="E89" s="1220" t="s">
        <v>1439</v>
      </c>
      <c r="F89" s="1220" t="s">
        <v>1440</v>
      </c>
      <c r="G89" s="1220" t="s">
        <v>1441</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1402</v>
      </c>
      <c r="C91" s="1220" t="s">
        <v>1437</v>
      </c>
      <c r="D91" s="1220" t="s">
        <v>1438</v>
      </c>
      <c r="E91" s="1220" t="s">
        <v>1439</v>
      </c>
      <c r="F91" s="1220" t="s">
        <v>1440</v>
      </c>
      <c r="G91" s="1220" t="s">
        <v>1441</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1403</v>
      </c>
      <c r="C93" s="1135" t="s">
        <v>1442</v>
      </c>
      <c r="D93" s="1135" t="s">
        <v>1443</v>
      </c>
      <c r="E93" s="1135" t="s">
        <v>1444</v>
      </c>
      <c r="F93" s="1135" t="s">
        <v>1445</v>
      </c>
      <c r="G93" s="1135" t="s">
        <v>1446</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1546</v>
      </c>
      <c r="D95" s="1204" t="s">
        <v>1547</v>
      </c>
      <c r="E95" s="1204" t="s">
        <v>1548</v>
      </c>
      <c r="F95" s="1204" t="s">
        <v>1549</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1483</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1512</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1407</v>
      </c>
      <c r="B107" s="1200" t="s">
        <v>1513</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1514</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1516</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1517</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80" zoomScaleNormal="80" workbookViewId="0">
      <selection activeCell="F12" sqref="F12"/>
    </sheetView>
  </sheetViews>
  <sheetFormatPr defaultColWidth="12" defaultRowHeight="13.2"/>
  <cols>
    <col min="1" max="1" width="9.75" style="650" customWidth="1"/>
    <col min="2" max="2" width="23.8796296296296" style="650" customWidth="1"/>
    <col min="3" max="4" width="12" style="650"/>
    <col min="5" max="5" width="14.6296296296296" style="650" customWidth="1"/>
    <col min="6" max="6" width="12.75" style="650" customWidth="1"/>
    <col min="7" max="8" width="12" style="650"/>
    <col min="9" max="9" width="12.25" style="650" customWidth="1"/>
    <col min="10" max="10" width="12" style="650"/>
    <col min="11" max="11" width="8.12962962962963" style="649" customWidth="1"/>
    <col min="12" max="12" width="16.8796296296296" style="650" customWidth="1"/>
    <col min="13" max="13" width="8.5" style="650" customWidth="1"/>
    <col min="14" max="14" width="9.75" style="650" customWidth="1"/>
    <col min="15" max="25" width="12" style="650"/>
    <col min="26" max="26" width="9.37962962962963" style="650" customWidth="1"/>
    <col min="27" max="32" width="9.37962962962963" style="649" customWidth="1"/>
    <col min="33" max="38" width="9.37962962962963" style="650" customWidth="1"/>
    <col min="39" max="16384" width="12" style="650"/>
  </cols>
  <sheetData>
    <row r="1" ht="31.2" spans="1:36">
      <c r="A1" s="651" t="s">
        <v>1555</v>
      </c>
      <c r="B1" s="652"/>
      <c r="C1" s="653" t="s">
        <v>1372</v>
      </c>
      <c r="D1" s="654">
        <f>SUM(D33:D34,D37:D42)</f>
        <v>3326.64</v>
      </c>
      <c r="E1" s="655"/>
      <c r="F1" s="655"/>
      <c r="G1" s="655"/>
      <c r="H1" s="655"/>
      <c r="I1" s="655"/>
      <c r="J1" s="655"/>
      <c r="L1" s="832" t="s">
        <v>1556</v>
      </c>
      <c r="M1" s="833">
        <f>SUMPRODUCT((区片价!B5:B9=I2)*(区片价!C3:G3=E2)*(区片价!C5:G9))</f>
        <v>34550</v>
      </c>
      <c r="N1" s="654">
        <f>SUMPRODUCT((因素修正幅度!B5:B9=I2)*(因素修正幅度!C3:G3=E2)*(因素修正幅度!C5:G9))</f>
        <v>0.098</v>
      </c>
      <c r="Q1" s="649"/>
      <c r="R1" s="907" t="s">
        <v>1557</v>
      </c>
      <c r="S1" s="907" t="s">
        <v>1558</v>
      </c>
      <c r="T1" s="907" t="s">
        <v>1559</v>
      </c>
      <c r="U1" s="907" t="s">
        <v>1560</v>
      </c>
      <c r="V1" s="907" t="s">
        <v>1561</v>
      </c>
      <c r="W1" s="908"/>
      <c r="X1" s="908"/>
      <c r="Y1" s="908"/>
      <c r="Z1" s="908"/>
      <c r="AA1" s="908"/>
      <c r="AB1" s="908"/>
      <c r="AC1" s="908"/>
      <c r="AD1" s="914"/>
      <c r="AE1" s="914"/>
      <c r="AF1" s="914"/>
      <c r="AG1" s="914"/>
      <c r="AH1" s="914"/>
      <c r="AI1" s="914"/>
      <c r="AJ1" s="920"/>
    </row>
    <row r="2" ht="15.6" spans="1:36">
      <c r="A2" s="653" t="s">
        <v>888</v>
      </c>
      <c r="B2" s="656">
        <f>C30</f>
        <v>7737</v>
      </c>
      <c r="C2" s="657" t="s">
        <v>889</v>
      </c>
      <c r="D2" s="654" t="s">
        <v>1562</v>
      </c>
      <c r="E2" s="658" t="s">
        <v>1563</v>
      </c>
      <c r="F2" s="654" t="s">
        <v>1564</v>
      </c>
      <c r="G2" s="654" t="str">
        <f>IF(E2="商业",项目基本情况!B37,IF(E2="办公",项目基本情况!C37,IF(E2="住宅",项目基本情况!D37,IF(E2="工业",项目基本情况!E37,项目基本情况!F37))))</f>
        <v>一级</v>
      </c>
      <c r="H2" s="654" t="s">
        <v>1565</v>
      </c>
      <c r="I2" s="654" t="str">
        <f>IF(E2="商业",项目基本情况!B38,IF(E2="办公",项目基本情况!C38,IF(E2="住宅",项目基本情况!D38,IF(E2="工业",项目基本情况!E38,项目基本情况!F38))))</f>
        <v>Ⅰ—01</v>
      </c>
      <c r="J2" s="655"/>
      <c r="L2" s="834" t="s">
        <v>1566</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1.5206</v>
      </c>
      <c r="T2" s="907">
        <f t="shared" ref="T2:T16" si="0">ROUND($C$5*$C$22*$C$23*$C$24*S2*$C$28,0)</f>
        <v>39314</v>
      </c>
      <c r="U2" s="909"/>
      <c r="V2" s="907">
        <f>ROUND(T2*U2/10000,0)</f>
        <v>0</v>
      </c>
      <c r="W2" s="908"/>
      <c r="X2" s="908"/>
      <c r="Y2" s="908"/>
      <c r="Z2" s="908"/>
      <c r="AA2" s="908"/>
      <c r="AB2" s="908"/>
      <c r="AC2" s="908"/>
      <c r="AD2" s="914"/>
      <c r="AE2" s="914"/>
      <c r="AF2" s="914"/>
      <c r="AG2" s="914"/>
      <c r="AH2" s="914"/>
      <c r="AI2" s="914"/>
      <c r="AJ2" s="920"/>
    </row>
    <row r="3" ht="15.6" spans="1:36">
      <c r="A3" s="656" t="s">
        <v>890</v>
      </c>
      <c r="B3" s="656">
        <f>ROUND(B2*10000/D1,0)</f>
        <v>23258</v>
      </c>
      <c r="C3" s="657" t="s">
        <v>891</v>
      </c>
      <c r="D3" s="654" t="s">
        <v>1567</v>
      </c>
      <c r="E3" s="658" t="s">
        <v>1568</v>
      </c>
      <c r="F3" s="659" t="s">
        <v>1569</v>
      </c>
      <c r="G3" s="660">
        <v>4.44</v>
      </c>
      <c r="H3" s="654" t="s">
        <v>1570</v>
      </c>
      <c r="I3" s="660">
        <v>5</v>
      </c>
      <c r="J3" s="655" t="s">
        <v>1571</v>
      </c>
      <c r="L3" s="834" t="s">
        <v>1572</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31211</v>
      </c>
      <c r="U3" s="909"/>
      <c r="V3" s="907">
        <f t="shared" ref="V3:V16" si="1">ROUND(T3*U3/10000,0)</f>
        <v>0</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1573</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26968</v>
      </c>
      <c r="U4" s="909"/>
      <c r="V4" s="907">
        <f t="shared" si="1"/>
        <v>0</v>
      </c>
      <c r="W4" s="908"/>
      <c r="X4" s="908"/>
      <c r="Y4" s="908"/>
      <c r="Z4" s="908"/>
      <c r="AA4" s="908"/>
      <c r="AB4" s="908"/>
      <c r="AC4" s="908"/>
      <c r="AD4" s="914"/>
      <c r="AE4" s="914"/>
      <c r="AF4" s="914"/>
      <c r="AG4" s="914"/>
      <c r="AH4" s="914"/>
      <c r="AI4" s="914"/>
      <c r="AJ4" s="920"/>
    </row>
    <row r="5" s="648" customFormat="1" ht="15.75" spans="1:36">
      <c r="A5" s="664" t="s">
        <v>794</v>
      </c>
      <c r="B5" s="664" t="s">
        <v>1574</v>
      </c>
      <c r="C5" s="665">
        <f>ROUND(IF(E2="商业",C6*C7*C17+C20,(IF(E2="住宅",C6*C13*C17+C20,IF(E2="办公",C6*C12*C17+C20,C6+C20)))),0)</f>
        <v>35846</v>
      </c>
      <c r="D5" s="666">
        <f>ROUND(C6*C17+C20,0)</f>
        <v>34550</v>
      </c>
      <c r="E5" s="666"/>
      <c r="F5" s="667"/>
      <c r="G5" s="668"/>
      <c r="H5" s="668"/>
      <c r="I5" s="668"/>
      <c r="J5" s="837"/>
      <c r="K5" s="838"/>
      <c r="L5" s="834" t="s">
        <v>1575</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24404</v>
      </c>
      <c r="U5" s="909"/>
      <c r="V5" s="907">
        <f t="shared" si="1"/>
        <v>0</v>
      </c>
      <c r="W5" s="908"/>
      <c r="X5" s="908"/>
      <c r="Y5" s="908"/>
      <c r="Z5" s="908"/>
      <c r="AA5" s="908"/>
      <c r="AB5" s="908"/>
      <c r="AC5" s="915"/>
      <c r="AD5" s="916"/>
      <c r="AE5" s="916"/>
      <c r="AF5" s="916"/>
      <c r="AG5" s="916"/>
      <c r="AH5" s="916"/>
      <c r="AI5" s="916"/>
      <c r="AJ5" s="921"/>
    </row>
    <row r="6" ht="15.75" spans="1:36">
      <c r="A6" s="669" t="s">
        <v>893</v>
      </c>
      <c r="B6" s="670" t="s">
        <v>1576</v>
      </c>
      <c r="C6" s="671">
        <f>SUMIF(L1:L12,G2,M1:M12)</f>
        <v>34550</v>
      </c>
      <c r="D6" s="672" t="s">
        <v>1577</v>
      </c>
      <c r="E6" s="670"/>
      <c r="F6" s="670"/>
      <c r="G6" s="673"/>
      <c r="H6" s="673"/>
      <c r="I6" s="673"/>
      <c r="J6" s="839"/>
      <c r="K6" s="840"/>
      <c r="L6" s="834" t="s">
        <v>1578</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23258</v>
      </c>
      <c r="U6" s="909">
        <v>3326.64</v>
      </c>
      <c r="V6" s="907">
        <f t="shared" si="1"/>
        <v>7737</v>
      </c>
      <c r="W6" s="908"/>
      <c r="X6" s="908"/>
      <c r="Y6" s="908"/>
      <c r="Z6" s="908"/>
      <c r="AA6" s="908"/>
      <c r="AB6" s="908"/>
      <c r="AC6" s="915"/>
      <c r="AD6" s="916"/>
      <c r="AE6" s="916"/>
      <c r="AF6" s="916"/>
      <c r="AG6" s="916"/>
      <c r="AH6" s="916"/>
      <c r="AI6" s="916"/>
      <c r="AJ6" s="921"/>
    </row>
    <row r="7" ht="24.75" spans="1:36">
      <c r="A7" s="674" t="s">
        <v>1579</v>
      </c>
      <c r="B7" s="675" t="s">
        <v>1580</v>
      </c>
      <c r="C7" s="676">
        <f>IF(C8="不临65条商业街",1,ROUND(1+(1.6*E8+1.2*E9+0.8*E10+0.4*E11)*C9,4))</f>
        <v>1.0375</v>
      </c>
      <c r="D7" s="677" t="s">
        <v>1581</v>
      </c>
      <c r="E7" s="678">
        <v>40</v>
      </c>
      <c r="F7" s="679"/>
      <c r="G7" s="679"/>
      <c r="H7" s="679"/>
      <c r="I7" s="679"/>
      <c r="J7" s="841"/>
      <c r="K7" s="840"/>
      <c r="L7" s="834" t="s">
        <v>1582</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1583</v>
      </c>
      <c r="X7" s="911" t="str">
        <f>G2</f>
        <v>一级</v>
      </c>
      <c r="Y7" s="911" t="s">
        <v>1584</v>
      </c>
      <c r="Z7" s="911">
        <f>G3</f>
        <v>4.44</v>
      </c>
      <c r="AA7" s="908"/>
      <c r="AB7" s="908"/>
      <c r="AC7" s="908"/>
      <c r="AD7" s="914"/>
      <c r="AE7" s="914"/>
      <c r="AF7" s="914"/>
      <c r="AG7" s="914"/>
      <c r="AH7" s="914"/>
      <c r="AI7" s="914"/>
      <c r="AJ7" s="920"/>
    </row>
    <row r="8" ht="24" spans="1:36">
      <c r="A8" s="680"/>
      <c r="B8" s="654" t="s">
        <v>1585</v>
      </c>
      <c r="C8" s="658" t="s">
        <v>1586</v>
      </c>
      <c r="D8" s="681" t="s">
        <v>1587</v>
      </c>
      <c r="E8" s="682">
        <f>ROUND(C11/E7,4)</f>
        <v>0.0938</v>
      </c>
      <c r="F8" s="683" t="s">
        <v>1588</v>
      </c>
      <c r="G8" s="684"/>
      <c r="H8" s="684"/>
      <c r="I8" s="684"/>
      <c r="J8" s="842"/>
      <c r="L8" s="834" t="s">
        <v>1589</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1590</v>
      </c>
      <c r="X8" s="910"/>
      <c r="Y8" s="913" t="s">
        <v>1591</v>
      </c>
      <c r="Z8" s="913" t="s">
        <v>1592</v>
      </c>
      <c r="AA8" s="913" t="s">
        <v>1593</v>
      </c>
      <c r="AB8" s="913" t="s">
        <v>1594</v>
      </c>
      <c r="AC8" s="913" t="s">
        <v>1595</v>
      </c>
      <c r="AD8" s="913" t="s">
        <v>1596</v>
      </c>
      <c r="AE8" s="913" t="s">
        <v>1597</v>
      </c>
      <c r="AF8" s="913" t="s">
        <v>1598</v>
      </c>
      <c r="AG8" s="913" t="s">
        <v>1599</v>
      </c>
      <c r="AH8" s="913" t="s">
        <v>1600</v>
      </c>
      <c r="AI8" s="913" t="s">
        <v>1601</v>
      </c>
      <c r="AJ8" s="913" t="s">
        <v>1602</v>
      </c>
    </row>
    <row r="9" ht="15" spans="1:36">
      <c r="A9" s="680"/>
      <c r="B9" s="654" t="s">
        <v>1603</v>
      </c>
      <c r="C9" s="654">
        <f>SUMIF(修正!C71:C138,C8,修正!E71:E138)</f>
        <v>0.1</v>
      </c>
      <c r="D9" s="654" t="s">
        <v>1604</v>
      </c>
      <c r="E9" s="654">
        <f>ROUND(C11/E7,4)</f>
        <v>0.0938</v>
      </c>
      <c r="F9" s="683" t="s">
        <v>1605</v>
      </c>
      <c r="G9" s="684"/>
      <c r="H9" s="684"/>
      <c r="I9" s="684"/>
      <c r="J9" s="842"/>
      <c r="L9" s="834" t="s">
        <v>1606</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1607</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1608</v>
      </c>
      <c r="C10" s="654">
        <f>SUMIF(修正!C71:C138,C8,修正!F71:F138)</f>
        <v>15</v>
      </c>
      <c r="D10" s="654" t="s">
        <v>1609</v>
      </c>
      <c r="E10" s="654">
        <f>ROUND(C11/E7,4)</f>
        <v>0.0938</v>
      </c>
      <c r="F10" s="683" t="s">
        <v>1610</v>
      </c>
      <c r="G10" s="684"/>
      <c r="H10" s="684"/>
      <c r="I10" s="684"/>
      <c r="J10" s="842"/>
      <c r="L10" s="834" t="s">
        <v>1611</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1612</v>
      </c>
      <c r="C11" s="686">
        <f>C10/4</f>
        <v>3.75</v>
      </c>
      <c r="D11" s="686" t="s">
        <v>1613</v>
      </c>
      <c r="E11" s="686">
        <f>ROUND(C11/E7,4)</f>
        <v>0.0938</v>
      </c>
      <c r="F11" s="687" t="s">
        <v>1614</v>
      </c>
      <c r="G11" s="688"/>
      <c r="H11" s="688"/>
      <c r="I11" s="688"/>
      <c r="J11" s="843"/>
      <c r="L11" s="834" t="s">
        <v>1615</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1616</v>
      </c>
      <c r="B12" s="689" t="s">
        <v>1617</v>
      </c>
      <c r="C12" s="690"/>
      <c r="D12" s="691" t="s">
        <v>1618</v>
      </c>
      <c r="E12" s="692" t="s">
        <v>1619</v>
      </c>
      <c r="F12" s="693"/>
      <c r="G12" s="694"/>
      <c r="H12" s="694"/>
      <c r="I12" s="694"/>
      <c r="J12" s="844"/>
      <c r="L12" s="845" t="s">
        <v>1620</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1621</v>
      </c>
      <c r="B13" s="696" t="s">
        <v>1622</v>
      </c>
      <c r="C13" s="676">
        <f>ROUND(C16*D16*E16*F16*G16*H16*I16*J16,4)</f>
        <v>0</v>
      </c>
      <c r="D13" s="697" t="s">
        <v>1623</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1624</v>
      </c>
      <c r="C14" s="701" t="s">
        <v>1625</v>
      </c>
      <c r="D14" s="702" t="s">
        <v>1626</v>
      </c>
      <c r="E14" s="703" t="s">
        <v>1627</v>
      </c>
      <c r="F14" s="704" t="s">
        <v>1628</v>
      </c>
      <c r="G14" s="704" t="s">
        <v>1628</v>
      </c>
      <c r="H14" s="704" t="s">
        <v>1628</v>
      </c>
      <c r="I14" s="704" t="s">
        <v>1628</v>
      </c>
      <c r="J14" s="848" t="s">
        <v>1628</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1629</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1630</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1631</v>
      </c>
      <c r="B17" s="714" t="s">
        <v>1632</v>
      </c>
      <c r="C17" s="677">
        <f>ROUND(IF(OR(E2="工业",E2="公共服务"),1,IF(AND(E18=0,E19=0),1,IF(AND(E18=J24,E19=G19),0.8,IF(E19=0,1+E17*(-0.2),1+E17*G17*(-0.2))))),4)</f>
        <v>1</v>
      </c>
      <c r="D17" s="715" t="s">
        <v>1633</v>
      </c>
      <c r="E17" s="677">
        <f>ROUND(G18/I18,2)</f>
        <v>0</v>
      </c>
      <c r="F17" s="715" t="s">
        <v>1634</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1635</v>
      </c>
      <c r="E18" s="722">
        <v>0</v>
      </c>
      <c r="F18" s="719" t="s">
        <v>1636</v>
      </c>
      <c r="G18" s="719">
        <f>ROUND(1-(1/(POWER(1+G24,E18))),4)</f>
        <v>0</v>
      </c>
      <c r="H18" s="719" t="s">
        <v>1637</v>
      </c>
      <c r="I18" s="719">
        <f>ROUND(1-(1/(POWER(1+G24,J24))),4)</f>
        <v>0.8825</v>
      </c>
      <c r="J18" s="853"/>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1638</v>
      </c>
      <c r="E19" s="726">
        <v>0</v>
      </c>
      <c r="F19" s="727" t="s">
        <v>1639</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1640</v>
      </c>
      <c r="B20" s="728" t="s">
        <v>1641</v>
      </c>
      <c r="C20" s="728">
        <f>ROUND(IF(F21="与级别开发程度一致",0,(G21-E21)/C21),0)</f>
        <v>0</v>
      </c>
      <c r="D20" s="729" t="s">
        <v>1642</v>
      </c>
      <c r="E20" s="730"/>
      <c r="F20" s="729" t="s">
        <v>1643</v>
      </c>
      <c r="G20" s="730"/>
      <c r="H20" s="731"/>
      <c r="I20" s="731"/>
      <c r="J20" s="855"/>
      <c r="K20" s="856"/>
      <c r="L20" s="856"/>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1644</v>
      </c>
      <c r="C21" s="734">
        <f>IF(E3="M4科研用地",SUMPRODUCT((修正!A2:A7=E3)*(修正!B1:M1=G2)*(修正!B2:M7)),SUMPRODUCT((修正!A2:A7=E2)*(修正!B1:M1=G2)*(修正!B2:M7)))</f>
        <v>3.5</v>
      </c>
      <c r="D21" s="735" t="str">
        <f>IF(OR(G2="八级",G2="九级",G2="十级",G2="十一级",G2="十二级"),"五通一平","七通一平")</f>
        <v>七通一平</v>
      </c>
      <c r="E21" s="736">
        <f>SUMPRODUCT((修正!B1:M1=G2)*(修正!B17:M17))</f>
        <v>375</v>
      </c>
      <c r="F21" s="737" t="s">
        <v>1645</v>
      </c>
      <c r="G21" s="738">
        <f>SUM(H21:O21)</f>
        <v>0</v>
      </c>
      <c r="H21" s="734">
        <f>SUMPRODUCT((七通一平=H20)*(修正!B1:M1=G2)*(修正!B8:M16))</f>
        <v>0</v>
      </c>
      <c r="I21" s="734">
        <f>SUMPRODUCT((七通一平=I20)*(修正!B1:M1=G2)*(修正!B8:M16))</f>
        <v>0</v>
      </c>
      <c r="J21" s="858">
        <f>SUMPRODUCT((七通一平=J20)*(修正!B1:M1=G2)*(修正!B8:M16))</f>
        <v>0</v>
      </c>
      <c r="K21" s="734">
        <f>SUMPRODUCT((七通一平=K20)*(修正!B1:M1=G2)*(修正!B8:M16))</f>
        <v>0</v>
      </c>
      <c r="L21" s="734">
        <f>SUMPRODUCT((七通一平=L20)*(修正!B1:M1=G2)*(修正!B8:M16))</f>
        <v>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805</v>
      </c>
      <c r="B22" s="740" t="s">
        <v>1646</v>
      </c>
      <c r="C22" s="741">
        <f>SUMIF(修正!C20:C51,E3,修正!E20:E51)</f>
        <v>0.9</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810</v>
      </c>
      <c r="B23" s="745" t="s">
        <v>1647</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46" t="s">
        <v>1648</v>
      </c>
      <c r="E23" s="747">
        <v>44197</v>
      </c>
      <c r="F23" s="746" t="s">
        <v>1649</v>
      </c>
      <c r="G23" s="748">
        <f>项目基本情况!D3</f>
        <v>44771</v>
      </c>
      <c r="H23" s="749" t="s">
        <v>1650</v>
      </c>
      <c r="I23" s="861" t="str">
        <f>IF(H23="季度增幅（自定义）",SUMIF(N25:N28,E2,O25:O28),"")</f>
        <v/>
      </c>
      <c r="J23" s="862" t="s">
        <v>1651</v>
      </c>
      <c r="K23" s="860"/>
      <c r="L23" s="863" t="s">
        <v>1652</v>
      </c>
      <c r="M23" s="864">
        <f>ROUND(SUMIF(地价!B2:G2,E2,地价!B13:G13),0)</f>
        <v>348</v>
      </c>
      <c r="N23" s="673" t="s">
        <v>1653</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813</v>
      </c>
      <c r="B24" s="751" t="s">
        <v>1654</v>
      </c>
      <c r="C24" s="751">
        <f>ROUND(POWER(1+G24,J24-I24)*(POWER(1+G24,I24)-1)/(POWER(1+G24,J24)-1),4)</f>
        <v>0.7199</v>
      </c>
      <c r="D24" s="752" t="s">
        <v>1655</v>
      </c>
      <c r="E24" s="752">
        <f>存贷款利率!E20/100</f>
        <v>0.0435</v>
      </c>
      <c r="F24" s="752" t="s">
        <v>1656</v>
      </c>
      <c r="G24" s="753">
        <f>SUMIF(M30:Q30,E2,M33:Q33)</f>
        <v>0.055</v>
      </c>
      <c r="H24" s="752" t="s">
        <v>1657</v>
      </c>
      <c r="I24" s="866">
        <f>项目基本情况!E15</f>
        <v>18.84</v>
      </c>
      <c r="J24" s="867">
        <f>IF(E2="住宅",70,IF(E2="商业",40,50))</f>
        <v>40</v>
      </c>
      <c r="K24" s="860"/>
      <c r="L24" s="868" t="s">
        <v>1658</v>
      </c>
      <c r="M24" s="869">
        <f>ROUND(SUMPRODUCT((地价!A4:A13=YEAR(G23)&amp;"-"&amp;ROUNDUP(MONTH(G23)/3,0))*(地价!B2:G2=E2)*(地价!B4:G13)),0)</f>
        <v>354</v>
      </c>
      <c r="N24" s="870" t="s">
        <v>1659</v>
      </c>
      <c r="O24" s="871" t="s">
        <v>1660</v>
      </c>
      <c r="P24" s="872" t="s">
        <v>1661</v>
      </c>
      <c r="R24" s="649"/>
      <c r="S24" s="649"/>
      <c r="T24" s="649"/>
      <c r="U24" s="649"/>
      <c r="V24" s="649"/>
      <c r="W24" s="649"/>
      <c r="X24" s="649"/>
      <c r="Y24" s="649"/>
      <c r="Z24" s="860"/>
      <c r="AA24" s="860"/>
      <c r="AB24" s="860"/>
      <c r="AC24" s="860"/>
      <c r="AD24" s="860"/>
      <c r="AE24" s="860"/>
      <c r="AF24" s="860"/>
    </row>
    <row r="25" ht="14.4" spans="1:30">
      <c r="A25" s="754" t="s">
        <v>835</v>
      </c>
      <c r="B25" s="755" t="s">
        <v>1662</v>
      </c>
      <c r="C25" s="756">
        <f>IF(B25="容积率修正",IF(G3&lt;10,D26,J26),C27)</f>
        <v>0.8996</v>
      </c>
      <c r="D25" s="757"/>
      <c r="E25" s="757"/>
      <c r="F25" s="757"/>
      <c r="G25" s="757"/>
      <c r="H25" s="757"/>
      <c r="I25" s="757"/>
      <c r="J25" s="873"/>
      <c r="K25" s="860"/>
      <c r="L25" s="648"/>
      <c r="M25" s="648"/>
      <c r="N25" s="874" t="s">
        <v>1663</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1664</v>
      </c>
      <c r="B26" s="759" t="s">
        <v>1665</v>
      </c>
      <c r="C26" s="759" t="s">
        <v>1666</v>
      </c>
      <c r="D26" s="759">
        <f>IF(E26=G26,F26,IF(G3&lt;10,ROUND(F26+(H26-F26)*(G3-E26)/(G26-E26),4),"——"))</f>
        <v>0.972</v>
      </c>
      <c r="E26" s="759">
        <f>ROUNDDOWN(G3,1)</f>
        <v>4.4</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759">
        <f>ROUNDUP(G3,1)</f>
        <v>4.5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v>
      </c>
      <c r="I26" s="759" t="s">
        <v>1667</v>
      </c>
      <c r="J26" s="877" t="str">
        <f>IF(G3&gt;=10,D117,"——")</f>
        <v>——</v>
      </c>
      <c r="K26" s="860"/>
      <c r="L26" s="648"/>
      <c r="M26" s="648"/>
      <c r="N26" s="874" t="s">
        <v>1668</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1669</v>
      </c>
      <c r="B27" s="760" t="s">
        <v>1670</v>
      </c>
      <c r="C27" s="761">
        <f>ROUND(IF(I3&lt;6,SUMPRODUCT((B107:B111=I3)*(C106:N106=G2)*(C107:N111)),SUMIF(C106:N106,G2,C113:N113)),4)</f>
        <v>0.8996</v>
      </c>
      <c r="D27" s="710"/>
      <c r="E27" s="710"/>
      <c r="F27" s="762"/>
      <c r="G27" s="729"/>
      <c r="H27" s="763"/>
      <c r="I27" s="760"/>
      <c r="J27" s="878"/>
      <c r="N27" s="874" t="s">
        <v>1671</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1672</v>
      </c>
      <c r="B28" s="745" t="s">
        <v>1673</v>
      </c>
      <c r="C28" s="745">
        <f>SUMIF(A48:A102,E2,B48:B102)</f>
        <v>1.0933</v>
      </c>
      <c r="D28" s="764"/>
      <c r="E28" s="746"/>
      <c r="F28" s="746"/>
      <c r="G28" s="746"/>
      <c r="H28" s="746"/>
      <c r="I28" s="746"/>
      <c r="J28" s="879"/>
      <c r="K28" s="860"/>
      <c r="L28" s="648"/>
      <c r="M28" s="648"/>
      <c r="N28" s="880" t="s">
        <v>1674</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1675</v>
      </c>
      <c r="B29" s="765" t="s">
        <v>1676</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1677</v>
      </c>
      <c r="C30" s="770">
        <f>IF(B25="容积率修正",E33+SUM(E37:E42),SUM(V2:V16)+SUM(E37:E42))</f>
        <v>7737</v>
      </c>
      <c r="D30" s="771"/>
      <c r="E30" s="772"/>
      <c r="F30" s="773"/>
      <c r="G30" s="772"/>
      <c r="H30" s="772"/>
      <c r="I30" s="772"/>
      <c r="J30" s="887"/>
      <c r="L30" s="888" t="s">
        <v>1562</v>
      </c>
      <c r="M30" s="677" t="s">
        <v>1678</v>
      </c>
      <c r="N30" s="677" t="s">
        <v>1679</v>
      </c>
      <c r="O30" s="677" t="s">
        <v>1680</v>
      </c>
      <c r="P30" s="889" t="s">
        <v>1681</v>
      </c>
      <c r="Q30" s="889" t="s">
        <v>288</v>
      </c>
      <c r="R30" s="649"/>
      <c r="S30" s="649"/>
      <c r="T30" s="649"/>
      <c r="U30" s="649"/>
      <c r="V30" s="649"/>
      <c r="W30" s="649"/>
      <c r="X30" s="649"/>
      <c r="Y30" s="649"/>
      <c r="Z30" s="860"/>
      <c r="AA30" s="860"/>
      <c r="AB30" s="860"/>
      <c r="AC30" s="860"/>
      <c r="AD30" s="860"/>
    </row>
    <row r="31" ht="15.15" spans="1:30">
      <c r="A31" s="769"/>
      <c r="B31" s="774" t="s">
        <v>1682</v>
      </c>
      <c r="C31" s="775">
        <f>E34+SUM(I37:I42)</f>
        <v>1934</v>
      </c>
      <c r="D31" s="776"/>
      <c r="E31" s="777"/>
      <c r="F31" s="778"/>
      <c r="G31" s="777"/>
      <c r="H31" s="777"/>
      <c r="I31" s="777"/>
      <c r="J31" s="890"/>
      <c r="L31" s="891" t="s">
        <v>1683</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1684</v>
      </c>
      <c r="C32" s="780" t="s">
        <v>1685</v>
      </c>
      <c r="D32" s="780" t="s">
        <v>467</v>
      </c>
      <c r="E32" s="765" t="s">
        <v>1686</v>
      </c>
      <c r="F32" s="676"/>
      <c r="G32" s="698"/>
      <c r="H32" s="698"/>
      <c r="I32" s="698"/>
      <c r="J32" s="847"/>
      <c r="L32" s="892" t="s">
        <v>1656</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1687</v>
      </c>
      <c r="C33" s="782">
        <f>ROUND(C5*C22*C23*C24*C25*C28,0)</f>
        <v>23258</v>
      </c>
      <c r="D33" s="783">
        <v>3326.64</v>
      </c>
      <c r="E33" s="784">
        <f>ROUND(C33*D33/10000,0)</f>
        <v>7737</v>
      </c>
      <c r="F33" s="785" t="s">
        <v>1688</v>
      </c>
      <c r="G33" s="786"/>
      <c r="H33" s="786"/>
      <c r="I33" s="786"/>
      <c r="J33" s="894"/>
      <c r="L33" s="895" t="s">
        <v>1689</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1690</v>
      </c>
      <c r="C34" s="735" t="e">
        <f>ROUND(IF(E2="工业",C33*M42,IF(B25="楼层修正",SUM(V2:V16)*M41*10000/D34,C33*M41)),0)</f>
        <v>#DIV/0!</v>
      </c>
      <c r="D34" s="787"/>
      <c r="E34" s="784">
        <f>ROUND(IF(B25="楼层修正",SUM(V2:V16)*M41,C34*D34/10000),0)</f>
        <v>1934</v>
      </c>
      <c r="F34" s="733" t="s">
        <v>1691</v>
      </c>
      <c r="G34" s="788"/>
      <c r="H34" s="788"/>
      <c r="I34" s="788"/>
      <c r="J34" s="897"/>
      <c r="L34" s="895" t="s">
        <v>1692</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1693</v>
      </c>
      <c r="C35" s="791" t="s">
        <v>1694</v>
      </c>
      <c r="D35" s="698"/>
      <c r="E35" s="791"/>
      <c r="F35" s="791"/>
      <c r="G35" s="697" t="s">
        <v>1691</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1685</v>
      </c>
      <c r="D36" s="794" t="s">
        <v>467</v>
      </c>
      <c r="E36" s="794" t="s">
        <v>1686</v>
      </c>
      <c r="F36" s="654" t="s">
        <v>1695</v>
      </c>
      <c r="G36" s="795" t="s">
        <v>1685</v>
      </c>
      <c r="H36" s="795" t="s">
        <v>467</v>
      </c>
      <c r="I36" s="795" t="s">
        <v>1686</v>
      </c>
      <c r="J36" s="302"/>
      <c r="K36" s="649" t="s">
        <v>1696</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1697</v>
      </c>
      <c r="C37" s="782">
        <f>ROUND(D5*C22*C23*C24*C28*F37,0)</f>
        <v>17443</v>
      </c>
      <c r="D37" s="783"/>
      <c r="E37" s="654">
        <f>ROUND(C37*D37/10000,0)</f>
        <v>0</v>
      </c>
      <c r="F37" s="654">
        <f>SUMIF(修正!A57:A68,G2,修正!B57:B68)</f>
        <v>0.7</v>
      </c>
      <c r="G37" s="654">
        <f>ROUND(IF(E2="工业",C37*$M$42,C37*$M$41),0)</f>
        <v>4361</v>
      </c>
      <c r="H37" s="654">
        <f>D37</f>
        <v>0</v>
      </c>
      <c r="I37" s="654">
        <f>ROUND(G37*H37/10000,0)</f>
        <v>0</v>
      </c>
      <c r="J37" s="899" t="s">
        <v>1698</v>
      </c>
      <c r="K37" s="900" t="s">
        <v>1699</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1700</v>
      </c>
      <c r="C38" s="782">
        <f>ROUND(D5*C22*C23*C24*C28*F38,0)</f>
        <v>9968</v>
      </c>
      <c r="D38" s="783"/>
      <c r="E38" s="654">
        <f t="shared" ref="E38:E42" si="4">ROUND(C38*D38/10000,0)</f>
        <v>0</v>
      </c>
      <c r="F38" s="654">
        <f>SUMIF(修正!A57:A68,G2,修正!C57:C68)</f>
        <v>0.4</v>
      </c>
      <c r="G38" s="654">
        <f>ROUND(IF(E2="工业",C38*$M$42,C38*$M$41),0)</f>
        <v>2492</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1701</v>
      </c>
      <c r="C39" s="782">
        <f>ROUND(D5*C22*C23*C24*C28*F39,0)</f>
        <v>7476</v>
      </c>
      <c r="D39" s="783"/>
      <c r="E39" s="654">
        <f t="shared" si="4"/>
        <v>0</v>
      </c>
      <c r="F39" s="654">
        <f>SUMIF(修正!A57:A68,G2,修正!D57:D68)</f>
        <v>0.3</v>
      </c>
      <c r="G39" s="654">
        <f>ROUND(IF(E2="工业",C39*$M$42,C39*$M$41),0)</f>
        <v>1869</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1702</v>
      </c>
      <c r="C40" s="654">
        <f>ROUND(D5*C22*C23*C24*C28*F40,0)</f>
        <v>7476</v>
      </c>
      <c r="D40" s="783"/>
      <c r="E40" s="654">
        <f t="shared" si="4"/>
        <v>0</v>
      </c>
      <c r="F40" s="782">
        <f>SUMIF(修正!A57:A68,G2,修正!E57:E68)</f>
        <v>0.3</v>
      </c>
      <c r="G40" s="654">
        <f>ROUND(IF(E2="工业",C40*$M$42,C40*$M$41),0)</f>
        <v>1869</v>
      </c>
      <c r="H40" s="654">
        <f t="shared" si="5"/>
        <v>0</v>
      </c>
      <c r="I40" s="654">
        <f t="shared" si="6"/>
        <v>0</v>
      </c>
      <c r="J40" s="901"/>
      <c r="L40" s="902" t="s">
        <v>1703</v>
      </c>
      <c r="M40" s="841"/>
    </row>
    <row r="41" s="649" customFormat="1" spans="1:13">
      <c r="A41" s="799"/>
      <c r="B41" s="701" t="s">
        <v>1704</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1705</v>
      </c>
      <c r="M41" s="904">
        <v>0.25</v>
      </c>
    </row>
    <row r="42" s="649" customFormat="1" ht="13.95" spans="1:13">
      <c r="A42" s="732"/>
      <c r="B42" s="800" t="s">
        <v>1706</v>
      </c>
      <c r="C42" s="735">
        <f>ROUND(D5*C22*C23*C44*C28*F42,0)</f>
        <v>0</v>
      </c>
      <c r="D42" s="787"/>
      <c r="E42" s="735">
        <f t="shared" si="4"/>
        <v>0</v>
      </c>
      <c r="F42" s="801">
        <f>SUMIF(修正!A57:A68,G2,修正!G57:G68)</f>
        <v>0.2</v>
      </c>
      <c r="G42" s="735">
        <f>ROUND(IF(E2="工业",C42*$M$42,C42*$M$41),0)</f>
        <v>0</v>
      </c>
      <c r="H42" s="735">
        <f t="shared" si="5"/>
        <v>0</v>
      </c>
      <c r="I42" s="735">
        <f t="shared" si="6"/>
        <v>0</v>
      </c>
      <c r="J42" s="890"/>
      <c r="L42" s="892" t="s">
        <v>1681</v>
      </c>
      <c r="M42" s="893">
        <v>0.15</v>
      </c>
    </row>
    <row r="43" s="649" customFormat="1"/>
    <row r="44" s="649" customFormat="1" spans="2:8">
      <c r="B44" s="719" t="s">
        <v>1707</v>
      </c>
      <c r="C44" s="654">
        <f>ROUND(POWER(1+E44,H44-G44)*(POWER(1+E44,G44)-1)/(POWER(1+E44,H44)-1),4)</f>
        <v>0</v>
      </c>
      <c r="D44" s="654" t="s">
        <v>1656</v>
      </c>
      <c r="E44" s="802">
        <f>G24</f>
        <v>0.055</v>
      </c>
      <c r="F44" s="654" t="s">
        <v>1657</v>
      </c>
      <c r="G44" s="803"/>
      <c r="H44" s="654">
        <v>50</v>
      </c>
    </row>
    <row r="45" s="649" customFormat="1"/>
    <row r="46" s="649" customFormat="1"/>
    <row r="47" s="649" customFormat="1"/>
    <row r="48" s="649" customFormat="1" ht="15.15" spans="1:13">
      <c r="A48" s="804" t="s">
        <v>1708</v>
      </c>
      <c r="B48" s="805"/>
      <c r="C48" s="806"/>
      <c r="D48" s="806"/>
      <c r="E48" s="806"/>
      <c r="F48" s="807"/>
      <c r="G48" s="807"/>
      <c r="H48" s="807"/>
      <c r="I48" s="807"/>
      <c r="J48" s="807"/>
      <c r="K48" s="807"/>
      <c r="L48" s="807"/>
      <c r="M48" s="807"/>
    </row>
    <row r="49" s="649" customFormat="1" ht="14.4" spans="1:13">
      <c r="A49" s="808" t="s">
        <v>1709</v>
      </c>
      <c r="B49" s="809">
        <f>1+E51</f>
        <v>1.0933</v>
      </c>
      <c r="C49" s="810"/>
      <c r="D49" s="811"/>
      <c r="E49" s="812"/>
      <c r="F49" s="813"/>
      <c r="G49" s="807"/>
      <c r="H49" s="807"/>
      <c r="I49" s="807"/>
      <c r="J49" s="807"/>
      <c r="K49" s="807"/>
      <c r="L49" s="807"/>
      <c r="M49" s="807"/>
    </row>
    <row r="50" s="649" customFormat="1" ht="25.2" spans="1:14">
      <c r="A50" s="814" t="s">
        <v>1710</v>
      </c>
      <c r="B50" s="802" t="s">
        <v>1711</v>
      </c>
      <c r="C50" s="802" t="s">
        <v>1712</v>
      </c>
      <c r="D50" s="802" t="s">
        <v>1713</v>
      </c>
      <c r="E50" s="815" t="s">
        <v>1714</v>
      </c>
      <c r="F50" s="816" t="s">
        <v>1715</v>
      </c>
      <c r="G50" s="817" t="s">
        <v>1630</v>
      </c>
      <c r="H50" s="818" t="s">
        <v>1716</v>
      </c>
      <c r="I50" s="802" t="s">
        <v>1717</v>
      </c>
      <c r="J50" s="905" t="s">
        <v>1437</v>
      </c>
      <c r="K50" s="905" t="s">
        <v>1438</v>
      </c>
      <c r="L50" s="905" t="s">
        <v>1439</v>
      </c>
      <c r="M50" s="905" t="s">
        <v>1440</v>
      </c>
      <c r="N50" s="905" t="s">
        <v>1441</v>
      </c>
    </row>
    <row r="51" s="649" customFormat="1" ht="37.2" spans="1:14">
      <c r="A51" s="814" t="s">
        <v>1718</v>
      </c>
      <c r="B51" s="802" t="str">
        <f>估价对象房地状况!C4</f>
        <v>估价对象位于XX商圈，周边商业氛围成熟，人流量大，商业繁华度好</v>
      </c>
      <c r="C51" s="706" t="s">
        <v>1719</v>
      </c>
      <c r="D51" s="802">
        <f t="shared" ref="D51:D59" si="7">SUMIF($J$50:$N$50,C51,J51:N51)</f>
        <v>0.0294</v>
      </c>
      <c r="E51" s="819">
        <f>ROUND(SUM(D51:D59),4)</f>
        <v>0.0933</v>
      </c>
      <c r="F51" s="710">
        <f>IF(E2="商业",SUMIF(L1:L12,G2,N1:N12),"——")</f>
        <v>0.098</v>
      </c>
      <c r="G51" s="820">
        <f>H51</f>
        <v>0.0147</v>
      </c>
      <c r="H51" s="821">
        <f t="shared" ref="H51:H59" si="8">IFERROR(ROUNDDOWN($F$51*I51/2,4),"——")</f>
        <v>0.0147</v>
      </c>
      <c r="I51" s="802">
        <v>0.3</v>
      </c>
      <c r="J51" s="759">
        <f t="shared" ref="J51:J59" si="9">K51+$G51</f>
        <v>0.0294</v>
      </c>
      <c r="K51" s="759">
        <f t="shared" ref="K51:K59" si="10">$L51+$G51</f>
        <v>0.0147</v>
      </c>
      <c r="L51" s="759">
        <v>0</v>
      </c>
      <c r="M51" s="759">
        <f t="shared" ref="M51:N59" si="11">L51-$G51</f>
        <v>-0.0147</v>
      </c>
      <c r="N51" s="759">
        <f t="shared" si="11"/>
        <v>-0.0294</v>
      </c>
    </row>
    <row r="52" s="649" customFormat="1" ht="48" spans="1:14">
      <c r="A52" s="814" t="s">
        <v>1720</v>
      </c>
      <c r="B52" s="802" t="str">
        <f>估价对象房地状况!C18</f>
        <v>估价对象周边道路状况、公共交通通达情况、停车便捷程度，综合评价交通便捷度较好</v>
      </c>
      <c r="C52" s="706" t="s">
        <v>1719</v>
      </c>
      <c r="D52" s="802">
        <f t="shared" si="7"/>
        <v>0.0214</v>
      </c>
      <c r="E52" s="822"/>
      <c r="F52" s="772"/>
      <c r="G52" s="820">
        <f t="shared" ref="G52:G59" si="12">H52</f>
        <v>0.0107</v>
      </c>
      <c r="H52" s="821">
        <f t="shared" si="8"/>
        <v>0.0107</v>
      </c>
      <c r="I52" s="802">
        <v>0.22</v>
      </c>
      <c r="J52" s="759">
        <f t="shared" si="9"/>
        <v>0.0214</v>
      </c>
      <c r="K52" s="759">
        <f t="shared" si="10"/>
        <v>0.0107</v>
      </c>
      <c r="L52" s="759">
        <v>0</v>
      </c>
      <c r="M52" s="759">
        <f t="shared" si="11"/>
        <v>-0.0107</v>
      </c>
      <c r="N52" s="759">
        <f t="shared" si="11"/>
        <v>-0.0214</v>
      </c>
    </row>
    <row r="53" s="649" customFormat="1" ht="48" spans="1:14">
      <c r="A53" s="823" t="s">
        <v>1721</v>
      </c>
      <c r="B53" s="802">
        <f>估价对象房地状况!C19</f>
        <v>0</v>
      </c>
      <c r="C53" s="706" t="s">
        <v>1719</v>
      </c>
      <c r="D53" s="802">
        <f t="shared" si="7"/>
        <v>0.0116</v>
      </c>
      <c r="E53" s="822"/>
      <c r="F53" s="772"/>
      <c r="G53" s="820">
        <f t="shared" si="12"/>
        <v>0.0058</v>
      </c>
      <c r="H53" s="821">
        <f t="shared" si="8"/>
        <v>0.0058</v>
      </c>
      <c r="I53" s="802">
        <v>0.12</v>
      </c>
      <c r="J53" s="759">
        <f t="shared" si="9"/>
        <v>0.0116</v>
      </c>
      <c r="K53" s="759">
        <f t="shared" si="10"/>
        <v>0.0058</v>
      </c>
      <c r="L53" s="759">
        <v>0</v>
      </c>
      <c r="M53" s="759">
        <f t="shared" si="11"/>
        <v>-0.0058</v>
      </c>
      <c r="N53" s="759">
        <f t="shared" si="11"/>
        <v>-0.0116</v>
      </c>
    </row>
    <row r="54" s="649" customFormat="1" ht="37.2" spans="1:14">
      <c r="A54" s="814" t="s">
        <v>1722</v>
      </c>
      <c r="B54" s="824" t="s">
        <v>1723</v>
      </c>
      <c r="C54" s="706" t="s">
        <v>1719</v>
      </c>
      <c r="D54" s="802">
        <f t="shared" si="7"/>
        <v>0.0048</v>
      </c>
      <c r="E54" s="822"/>
      <c r="F54" s="772"/>
      <c r="G54" s="820">
        <f t="shared" si="12"/>
        <v>0.0024</v>
      </c>
      <c r="H54" s="821">
        <f t="shared" si="8"/>
        <v>0.0024</v>
      </c>
      <c r="I54" s="802">
        <v>0.05</v>
      </c>
      <c r="J54" s="759">
        <f t="shared" si="9"/>
        <v>0.0048</v>
      </c>
      <c r="K54" s="759">
        <f t="shared" si="10"/>
        <v>0.0024</v>
      </c>
      <c r="L54" s="759">
        <v>0</v>
      </c>
      <c r="M54" s="759">
        <f t="shared" si="11"/>
        <v>-0.0024</v>
      </c>
      <c r="N54" s="759">
        <f t="shared" si="11"/>
        <v>-0.0048</v>
      </c>
    </row>
    <row r="55" s="649" customFormat="1" ht="24" spans="1:14">
      <c r="A55" s="814" t="s">
        <v>1724</v>
      </c>
      <c r="B55" s="802">
        <f>估价对象房地状况!C24</f>
        <v>0</v>
      </c>
      <c r="C55" s="706" t="s">
        <v>1725</v>
      </c>
      <c r="D55" s="802">
        <f t="shared" si="7"/>
        <v>0.0039</v>
      </c>
      <c r="E55" s="822"/>
      <c r="F55" s="772"/>
      <c r="G55" s="820">
        <f t="shared" si="12"/>
        <v>0.0039</v>
      </c>
      <c r="H55" s="821">
        <f t="shared" si="8"/>
        <v>0.0039</v>
      </c>
      <c r="I55" s="802">
        <v>0.08</v>
      </c>
      <c r="J55" s="759">
        <f t="shared" si="9"/>
        <v>0.0078</v>
      </c>
      <c r="K55" s="759">
        <f t="shared" si="10"/>
        <v>0.0039</v>
      </c>
      <c r="L55" s="759">
        <v>0</v>
      </c>
      <c r="M55" s="759">
        <f t="shared" si="11"/>
        <v>-0.0039</v>
      </c>
      <c r="N55" s="759">
        <f t="shared" si="11"/>
        <v>-0.0078</v>
      </c>
    </row>
    <row r="56" s="649" customFormat="1" ht="36" spans="1:14">
      <c r="A56" s="814" t="s">
        <v>1726</v>
      </c>
      <c r="B56" s="825" t="s">
        <v>1727</v>
      </c>
      <c r="C56" s="706" t="s">
        <v>1719</v>
      </c>
      <c r="D56" s="802">
        <f t="shared" si="7"/>
        <v>0.0048</v>
      </c>
      <c r="E56" s="822"/>
      <c r="F56" s="772"/>
      <c r="G56" s="820">
        <f t="shared" si="12"/>
        <v>0.0024</v>
      </c>
      <c r="H56" s="821">
        <f t="shared" si="8"/>
        <v>0.0024</v>
      </c>
      <c r="I56" s="802">
        <v>0.05</v>
      </c>
      <c r="J56" s="759">
        <f t="shared" si="9"/>
        <v>0.0048</v>
      </c>
      <c r="K56" s="759">
        <f t="shared" si="10"/>
        <v>0.0024</v>
      </c>
      <c r="L56" s="759">
        <v>0</v>
      </c>
      <c r="M56" s="759">
        <f t="shared" si="11"/>
        <v>-0.0024</v>
      </c>
      <c r="N56" s="759">
        <f t="shared" si="11"/>
        <v>-0.0048</v>
      </c>
    </row>
    <row r="57" s="649" customFormat="1" ht="24" spans="1:14">
      <c r="A57" s="826" t="s">
        <v>1728</v>
      </c>
      <c r="B57" s="700" t="str">
        <f>估价对象房地状况!C21</f>
        <v>估价对象所在区域公共配套设施齐备情况</v>
      </c>
      <c r="C57" s="706" t="s">
        <v>1719</v>
      </c>
      <c r="D57" s="802">
        <f t="shared" si="7"/>
        <v>0.0048</v>
      </c>
      <c r="E57" s="822"/>
      <c r="F57" s="772"/>
      <c r="G57" s="820">
        <f t="shared" si="12"/>
        <v>0.0024</v>
      </c>
      <c r="H57" s="821">
        <f t="shared" si="8"/>
        <v>0.0024</v>
      </c>
      <c r="I57" s="802">
        <v>0.05</v>
      </c>
      <c r="J57" s="759">
        <f t="shared" si="9"/>
        <v>0.0048</v>
      </c>
      <c r="K57" s="759">
        <f t="shared" si="10"/>
        <v>0.0024</v>
      </c>
      <c r="L57" s="759">
        <v>0</v>
      </c>
      <c r="M57" s="759">
        <f t="shared" si="11"/>
        <v>-0.0024</v>
      </c>
      <c r="N57" s="759">
        <f t="shared" si="11"/>
        <v>-0.0048</v>
      </c>
    </row>
    <row r="58" s="649" customFormat="1" ht="24" spans="1:14">
      <c r="A58" s="826" t="s">
        <v>1729</v>
      </c>
      <c r="B58" s="802" t="str">
        <f>估价对象房地状况!C22</f>
        <v>估价对象所在区域基础设施水平</v>
      </c>
      <c r="C58" s="706" t="s">
        <v>1719</v>
      </c>
      <c r="D58" s="802">
        <f t="shared" si="7"/>
        <v>0.0078</v>
      </c>
      <c r="E58" s="822"/>
      <c r="F58" s="772"/>
      <c r="G58" s="820">
        <f t="shared" si="12"/>
        <v>0.0039</v>
      </c>
      <c r="H58" s="821">
        <f t="shared" si="8"/>
        <v>0.0039</v>
      </c>
      <c r="I58" s="802">
        <v>0.08</v>
      </c>
      <c r="J58" s="759">
        <f t="shared" si="9"/>
        <v>0.0078</v>
      </c>
      <c r="K58" s="759">
        <f t="shared" si="10"/>
        <v>0.0039</v>
      </c>
      <c r="L58" s="759">
        <v>0</v>
      </c>
      <c r="M58" s="759">
        <f t="shared" si="11"/>
        <v>-0.0039</v>
      </c>
      <c r="N58" s="759">
        <f t="shared" si="11"/>
        <v>-0.0078</v>
      </c>
    </row>
    <row r="59" s="649" customFormat="1" ht="36.75" spans="1:14">
      <c r="A59" s="827" t="s">
        <v>1730</v>
      </c>
      <c r="B59" s="828" t="str">
        <f>估价对象房地状况!C20</f>
        <v>区域自然环境：；人文环境；综合评价环境状况一般</v>
      </c>
      <c r="C59" s="706" t="s">
        <v>1719</v>
      </c>
      <c r="D59" s="802">
        <f t="shared" si="7"/>
        <v>0.0048</v>
      </c>
      <c r="E59" s="829"/>
      <c r="F59" s="772"/>
      <c r="G59" s="820">
        <f t="shared" si="12"/>
        <v>0.0024</v>
      </c>
      <c r="H59" s="821">
        <f t="shared" si="8"/>
        <v>0.0024</v>
      </c>
      <c r="I59" s="906">
        <v>0.05</v>
      </c>
      <c r="J59" s="759">
        <f t="shared" si="9"/>
        <v>0.0048</v>
      </c>
      <c r="K59" s="759">
        <f t="shared" si="10"/>
        <v>0.0024</v>
      </c>
      <c r="L59" s="759">
        <v>0</v>
      </c>
      <c r="M59" s="759">
        <f t="shared" si="11"/>
        <v>-0.0024</v>
      </c>
      <c r="N59" s="759">
        <f t="shared" si="11"/>
        <v>-0.0048</v>
      </c>
    </row>
    <row r="60" s="649" customFormat="1" ht="14.4" spans="1:14">
      <c r="A60" s="808" t="s">
        <v>1731</v>
      </c>
      <c r="B60" s="809">
        <f>1+E62</f>
        <v>1</v>
      </c>
      <c r="C60" s="830"/>
      <c r="D60" s="830"/>
      <c r="E60" s="831"/>
      <c r="F60" s="813"/>
      <c r="G60" s="807"/>
      <c r="H60" s="807"/>
      <c r="I60" s="807"/>
      <c r="J60" s="807"/>
      <c r="K60" s="807"/>
      <c r="L60" s="807"/>
      <c r="M60" s="807"/>
      <c r="N60" s="807"/>
    </row>
    <row r="61" s="649" customFormat="1" ht="25.2" spans="1:14">
      <c r="A61" s="814" t="s">
        <v>1710</v>
      </c>
      <c r="B61" s="802"/>
      <c r="C61" s="802" t="s">
        <v>1712</v>
      </c>
      <c r="D61" s="802" t="s">
        <v>1713</v>
      </c>
      <c r="E61" s="815" t="s">
        <v>1714</v>
      </c>
      <c r="F61" s="816" t="s">
        <v>1732</v>
      </c>
      <c r="G61" s="802" t="s">
        <v>1630</v>
      </c>
      <c r="H61" s="818" t="s">
        <v>1716</v>
      </c>
      <c r="I61" s="802" t="s">
        <v>1717</v>
      </c>
      <c r="J61" s="905" t="s">
        <v>1437</v>
      </c>
      <c r="K61" s="905" t="s">
        <v>1438</v>
      </c>
      <c r="L61" s="905" t="s">
        <v>1439</v>
      </c>
      <c r="M61" s="905" t="s">
        <v>1440</v>
      </c>
      <c r="N61" s="905" t="s">
        <v>1441</v>
      </c>
    </row>
    <row r="62" s="649" customFormat="1" ht="37.2" spans="1:14">
      <c r="A62" s="814" t="s">
        <v>1733</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3">IFERROR(ROUNDDOWN($F$62*I62/2,4),"——")</f>
        <v>——</v>
      </c>
      <c r="I62" s="802">
        <v>0.25</v>
      </c>
      <c r="J62" s="759">
        <f t="shared" ref="J62:J70" si="14">K62+$G62</f>
        <v>0</v>
      </c>
      <c r="K62" s="759">
        <f t="shared" ref="K62:K70" si="15">$L62+$G62</f>
        <v>0</v>
      </c>
      <c r="L62" s="759">
        <v>0</v>
      </c>
      <c r="M62" s="759">
        <f t="shared" ref="M62:N70" si="16">L62-$G62</f>
        <v>0</v>
      </c>
      <c r="N62" s="759">
        <f t="shared" si="16"/>
        <v>0</v>
      </c>
    </row>
    <row r="63" s="649" customFormat="1" ht="48" spans="1:14">
      <c r="A63" s="814" t="s">
        <v>1720</v>
      </c>
      <c r="B63" s="802" t="str">
        <f>估价对象房地状况!C18</f>
        <v>估价对象周边道路状况、公共交通通达情况、停车便捷程度，综合评价交通便捷度较好</v>
      </c>
      <c r="C63" s="706"/>
      <c r="D63" s="802">
        <f t="shared" ref="D63:D70" si="17">SUMIF($J$61:$N$61,C63,J63:N63)</f>
        <v>0</v>
      </c>
      <c r="E63" s="822"/>
      <c r="F63" s="772"/>
      <c r="G63" s="820"/>
      <c r="H63" s="821" t="str">
        <f t="shared" si="13"/>
        <v>——</v>
      </c>
      <c r="I63" s="802">
        <v>0.26</v>
      </c>
      <c r="J63" s="759">
        <f t="shared" si="14"/>
        <v>0</v>
      </c>
      <c r="K63" s="759">
        <f t="shared" si="15"/>
        <v>0</v>
      </c>
      <c r="L63" s="759">
        <v>0</v>
      </c>
      <c r="M63" s="759">
        <f t="shared" si="16"/>
        <v>0</v>
      </c>
      <c r="N63" s="759">
        <f t="shared" si="16"/>
        <v>0</v>
      </c>
    </row>
    <row r="64" s="649" customFormat="1" ht="48" spans="1:14">
      <c r="A64" s="823" t="s">
        <v>1721</v>
      </c>
      <c r="B64" s="802">
        <f>估价对象房地状况!C19</f>
        <v>0</v>
      </c>
      <c r="C64" s="706"/>
      <c r="D64" s="802">
        <f t="shared" si="17"/>
        <v>0</v>
      </c>
      <c r="E64" s="822"/>
      <c r="F64" s="772"/>
      <c r="G64" s="820"/>
      <c r="H64" s="821" t="str">
        <f t="shared" si="13"/>
        <v>——</v>
      </c>
      <c r="I64" s="802">
        <v>0.11</v>
      </c>
      <c r="J64" s="759">
        <f t="shared" si="14"/>
        <v>0</v>
      </c>
      <c r="K64" s="759">
        <f t="shared" si="15"/>
        <v>0</v>
      </c>
      <c r="L64" s="759">
        <v>0</v>
      </c>
      <c r="M64" s="759">
        <f t="shared" si="16"/>
        <v>0</v>
      </c>
      <c r="N64" s="759">
        <f t="shared" si="16"/>
        <v>0</v>
      </c>
    </row>
    <row r="65" s="649" customFormat="1" ht="37.2" spans="1:14">
      <c r="A65" s="814" t="s">
        <v>1722</v>
      </c>
      <c r="B65" s="824" t="s">
        <v>1723</v>
      </c>
      <c r="C65" s="706"/>
      <c r="D65" s="802">
        <f t="shared" si="17"/>
        <v>0</v>
      </c>
      <c r="E65" s="822"/>
      <c r="F65" s="772"/>
      <c r="G65" s="820"/>
      <c r="H65" s="821" t="str">
        <f t="shared" si="13"/>
        <v>——</v>
      </c>
      <c r="I65" s="802">
        <v>0.05</v>
      </c>
      <c r="J65" s="759">
        <f t="shared" si="14"/>
        <v>0</v>
      </c>
      <c r="K65" s="759">
        <f t="shared" si="15"/>
        <v>0</v>
      </c>
      <c r="L65" s="759">
        <v>0</v>
      </c>
      <c r="M65" s="759">
        <f t="shared" si="16"/>
        <v>0</v>
      </c>
      <c r="N65" s="759">
        <f t="shared" si="16"/>
        <v>0</v>
      </c>
    </row>
    <row r="66" s="649" customFormat="1" ht="24" spans="1:14">
      <c r="A66" s="814" t="s">
        <v>1724</v>
      </c>
      <c r="B66" s="802">
        <f>估价对象房地状况!C24</f>
        <v>0</v>
      </c>
      <c r="C66" s="706"/>
      <c r="D66" s="802">
        <f t="shared" si="17"/>
        <v>0</v>
      </c>
      <c r="E66" s="822"/>
      <c r="F66" s="772"/>
      <c r="G66" s="820"/>
      <c r="H66" s="821" t="str">
        <f t="shared" si="13"/>
        <v>——</v>
      </c>
      <c r="I66" s="802">
        <v>0.05</v>
      </c>
      <c r="J66" s="759">
        <f t="shared" si="14"/>
        <v>0</v>
      </c>
      <c r="K66" s="759">
        <f t="shared" si="15"/>
        <v>0</v>
      </c>
      <c r="L66" s="759">
        <v>0</v>
      </c>
      <c r="M66" s="759">
        <f t="shared" si="16"/>
        <v>0</v>
      </c>
      <c r="N66" s="759">
        <f t="shared" si="16"/>
        <v>0</v>
      </c>
    </row>
    <row r="67" s="649" customFormat="1" ht="36" spans="1:14">
      <c r="A67" s="814" t="s">
        <v>1726</v>
      </c>
      <c r="B67" s="825" t="s">
        <v>1727</v>
      </c>
      <c r="C67" s="706"/>
      <c r="D67" s="802">
        <f t="shared" si="17"/>
        <v>0</v>
      </c>
      <c r="E67" s="822"/>
      <c r="F67" s="772"/>
      <c r="G67" s="820"/>
      <c r="H67" s="821" t="str">
        <f t="shared" si="13"/>
        <v>——</v>
      </c>
      <c r="I67" s="802">
        <v>0.06</v>
      </c>
      <c r="J67" s="759">
        <f t="shared" si="14"/>
        <v>0</v>
      </c>
      <c r="K67" s="759">
        <f t="shared" si="15"/>
        <v>0</v>
      </c>
      <c r="L67" s="759">
        <v>0</v>
      </c>
      <c r="M67" s="759">
        <f t="shared" si="16"/>
        <v>0</v>
      </c>
      <c r="N67" s="759">
        <f t="shared" si="16"/>
        <v>0</v>
      </c>
    </row>
    <row r="68" s="649" customFormat="1" ht="24" spans="1:14">
      <c r="A68" s="814" t="s">
        <v>1728</v>
      </c>
      <c r="B68" s="700" t="str">
        <f>估价对象房地状况!C21</f>
        <v>估价对象所在区域公共配套设施齐备情况</v>
      </c>
      <c r="C68" s="706"/>
      <c r="D68" s="802">
        <f t="shared" si="17"/>
        <v>0</v>
      </c>
      <c r="E68" s="822"/>
      <c r="F68" s="772"/>
      <c r="G68" s="820"/>
      <c r="H68" s="821" t="str">
        <f t="shared" si="13"/>
        <v>——</v>
      </c>
      <c r="I68" s="802">
        <v>0.06</v>
      </c>
      <c r="J68" s="759">
        <f t="shared" si="14"/>
        <v>0</v>
      </c>
      <c r="K68" s="759">
        <f t="shared" si="15"/>
        <v>0</v>
      </c>
      <c r="L68" s="759">
        <v>0</v>
      </c>
      <c r="M68" s="759">
        <f t="shared" si="16"/>
        <v>0</v>
      </c>
      <c r="N68" s="759">
        <f t="shared" si="16"/>
        <v>0</v>
      </c>
    </row>
    <row r="69" s="649" customFormat="1" ht="24" spans="1:14">
      <c r="A69" s="814" t="s">
        <v>1729</v>
      </c>
      <c r="B69" s="700" t="str">
        <f>估价对象房地状况!C22</f>
        <v>估价对象所在区域基础设施水平</v>
      </c>
      <c r="C69" s="706"/>
      <c r="D69" s="802">
        <f t="shared" si="17"/>
        <v>0</v>
      </c>
      <c r="E69" s="822"/>
      <c r="F69" s="772"/>
      <c r="G69" s="820"/>
      <c r="H69" s="821" t="str">
        <f t="shared" si="13"/>
        <v>——</v>
      </c>
      <c r="I69" s="802">
        <v>0.09</v>
      </c>
      <c r="J69" s="759">
        <f t="shared" si="14"/>
        <v>0</v>
      </c>
      <c r="K69" s="759">
        <f t="shared" si="15"/>
        <v>0</v>
      </c>
      <c r="L69" s="759">
        <v>0</v>
      </c>
      <c r="M69" s="759">
        <f t="shared" si="16"/>
        <v>0</v>
      </c>
      <c r="N69" s="759">
        <f t="shared" si="16"/>
        <v>0</v>
      </c>
    </row>
    <row r="70" s="649" customFormat="1" ht="36.75" spans="1:14">
      <c r="A70" s="827" t="s">
        <v>1730</v>
      </c>
      <c r="B70" s="906" t="str">
        <f>估价对象房地状况!C20</f>
        <v>区域自然环境：；人文环境；综合评价环境状况一般</v>
      </c>
      <c r="C70" s="706"/>
      <c r="D70" s="802">
        <f t="shared" si="17"/>
        <v>0</v>
      </c>
      <c r="E70" s="829"/>
      <c r="F70" s="772"/>
      <c r="G70" s="820"/>
      <c r="H70" s="821" t="str">
        <f t="shared" si="13"/>
        <v>——</v>
      </c>
      <c r="I70" s="906">
        <v>0.07</v>
      </c>
      <c r="J70" s="759">
        <f t="shared" si="14"/>
        <v>0</v>
      </c>
      <c r="K70" s="759">
        <f t="shared" si="15"/>
        <v>0</v>
      </c>
      <c r="L70" s="759">
        <v>0</v>
      </c>
      <c r="M70" s="759">
        <f t="shared" si="16"/>
        <v>0</v>
      </c>
      <c r="N70" s="759">
        <f t="shared" si="16"/>
        <v>0</v>
      </c>
    </row>
    <row r="71" s="649" customFormat="1" ht="14.4" spans="1:14">
      <c r="A71" s="808" t="s">
        <v>1734</v>
      </c>
      <c r="B71" s="809">
        <f>1+E73</f>
        <v>1</v>
      </c>
      <c r="C71" s="811"/>
      <c r="D71" s="811"/>
      <c r="E71" s="812"/>
      <c r="F71" s="922"/>
      <c r="G71" s="807"/>
      <c r="H71" s="807"/>
      <c r="I71" s="807"/>
      <c r="J71" s="807"/>
      <c r="K71" s="807"/>
      <c r="L71" s="807"/>
      <c r="M71" s="807"/>
      <c r="N71" s="807"/>
    </row>
    <row r="72" s="649" customFormat="1" ht="25.2" spans="1:14">
      <c r="A72" s="814" t="s">
        <v>1710</v>
      </c>
      <c r="B72" s="802"/>
      <c r="C72" s="802" t="s">
        <v>1712</v>
      </c>
      <c r="D72" s="802" t="s">
        <v>1713</v>
      </c>
      <c r="E72" s="815" t="s">
        <v>1714</v>
      </c>
      <c r="F72" s="816" t="s">
        <v>1732</v>
      </c>
      <c r="G72" s="802" t="s">
        <v>1630</v>
      </c>
      <c r="H72" s="818" t="s">
        <v>1716</v>
      </c>
      <c r="I72" s="802" t="s">
        <v>1717</v>
      </c>
      <c r="J72" s="905" t="s">
        <v>1437</v>
      </c>
      <c r="K72" s="905" t="s">
        <v>1438</v>
      </c>
      <c r="L72" s="905" t="s">
        <v>1439</v>
      </c>
      <c r="M72" s="905" t="s">
        <v>1440</v>
      </c>
      <c r="N72" s="905" t="s">
        <v>1441</v>
      </c>
    </row>
    <row r="73" s="649" customFormat="1" ht="48" spans="1:25">
      <c r="A73" s="823" t="s">
        <v>1735</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9">
        <f t="shared" ref="J73:J81" si="20">K73+$G73</f>
        <v>0</v>
      </c>
      <c r="K73" s="759">
        <f t="shared" ref="K73:K81" si="21">$L73+$G73</f>
        <v>0</v>
      </c>
      <c r="L73" s="759">
        <v>0</v>
      </c>
      <c r="M73" s="759">
        <f t="shared" ref="M73:N81" si="22">L73-$G73</f>
        <v>0</v>
      </c>
      <c r="N73" s="759">
        <f t="shared" si="22"/>
        <v>0</v>
      </c>
      <c r="S73" s="650"/>
      <c r="T73" s="650"/>
      <c r="U73" s="650"/>
      <c r="V73" s="650"/>
      <c r="W73" s="650"/>
      <c r="X73" s="650"/>
      <c r="Y73" s="650"/>
    </row>
    <row r="74" s="649" customFormat="1" ht="48" spans="1:25">
      <c r="A74" s="814" t="s">
        <v>1720</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9">
        <f t="shared" si="20"/>
        <v>0</v>
      </c>
      <c r="K74" s="759">
        <f t="shared" si="21"/>
        <v>0</v>
      </c>
      <c r="L74" s="759">
        <v>0</v>
      </c>
      <c r="M74" s="759">
        <f t="shared" si="22"/>
        <v>0</v>
      </c>
      <c r="N74" s="759">
        <f t="shared" si="22"/>
        <v>0</v>
      </c>
      <c r="S74" s="650"/>
      <c r="T74" s="650"/>
      <c r="U74" s="650"/>
      <c r="V74" s="650"/>
      <c r="W74" s="650"/>
      <c r="X74" s="650"/>
      <c r="Y74" s="650"/>
    </row>
    <row r="75" ht="48" spans="1:33">
      <c r="A75" s="823" t="s">
        <v>1721</v>
      </c>
      <c r="B75" s="802">
        <f>估价对象房地状况!C19</f>
        <v>0</v>
      </c>
      <c r="C75" s="706"/>
      <c r="D75" s="802">
        <f t="shared" si="18"/>
        <v>0</v>
      </c>
      <c r="E75" s="822"/>
      <c r="F75" s="710"/>
      <c r="G75" s="820"/>
      <c r="H75" s="821" t="str">
        <f t="shared" si="19"/>
        <v>——</v>
      </c>
      <c r="I75" s="802">
        <v>0.1</v>
      </c>
      <c r="J75" s="759">
        <f t="shared" si="20"/>
        <v>0</v>
      </c>
      <c r="K75" s="759">
        <f t="shared" si="21"/>
        <v>0</v>
      </c>
      <c r="L75" s="759">
        <v>0</v>
      </c>
      <c r="M75" s="759">
        <f t="shared" si="22"/>
        <v>0</v>
      </c>
      <c r="N75" s="759">
        <f t="shared" si="22"/>
        <v>0</v>
      </c>
      <c r="O75" s="649"/>
      <c r="P75" s="649"/>
      <c r="Q75" s="649"/>
      <c r="AA75" s="650"/>
      <c r="AG75" s="649"/>
    </row>
    <row r="76" ht="13.8" spans="1:33">
      <c r="A76" s="814" t="s">
        <v>1736</v>
      </c>
      <c r="B76" s="802">
        <f>估价对象房地状况!C24</f>
        <v>0</v>
      </c>
      <c r="C76" s="706"/>
      <c r="D76" s="802">
        <f t="shared" si="18"/>
        <v>0</v>
      </c>
      <c r="E76" s="822"/>
      <c r="F76" s="710"/>
      <c r="G76" s="820"/>
      <c r="H76" s="821" t="str">
        <f t="shared" si="19"/>
        <v>——</v>
      </c>
      <c r="I76" s="802">
        <v>0.05</v>
      </c>
      <c r="J76" s="759">
        <f t="shared" si="20"/>
        <v>0</v>
      </c>
      <c r="K76" s="759">
        <f t="shared" si="21"/>
        <v>0</v>
      </c>
      <c r="L76" s="759">
        <v>0</v>
      </c>
      <c r="M76" s="759">
        <f t="shared" si="22"/>
        <v>0</v>
      </c>
      <c r="N76" s="759">
        <f t="shared" si="22"/>
        <v>0</v>
      </c>
      <c r="O76" s="649"/>
      <c r="P76" s="649"/>
      <c r="Q76" s="649"/>
      <c r="AA76" s="650"/>
      <c r="AG76" s="649"/>
    </row>
    <row r="77" ht="24" spans="1:33">
      <c r="A77" s="814" t="s">
        <v>1728</v>
      </c>
      <c r="B77" s="700" t="str">
        <f>估价对象房地状况!C21</f>
        <v>估价对象所在区域公共配套设施齐备情况</v>
      </c>
      <c r="C77" s="706"/>
      <c r="D77" s="802">
        <f t="shared" si="18"/>
        <v>0</v>
      </c>
      <c r="E77" s="822"/>
      <c r="F77" s="710"/>
      <c r="G77" s="820"/>
      <c r="H77" s="821" t="str">
        <f t="shared" si="19"/>
        <v>——</v>
      </c>
      <c r="I77" s="802">
        <v>0.08</v>
      </c>
      <c r="J77" s="759">
        <f t="shared" si="20"/>
        <v>0</v>
      </c>
      <c r="K77" s="759">
        <f t="shared" si="21"/>
        <v>0</v>
      </c>
      <c r="L77" s="759">
        <v>0</v>
      </c>
      <c r="M77" s="759">
        <f t="shared" si="22"/>
        <v>0</v>
      </c>
      <c r="N77" s="759">
        <f t="shared" si="22"/>
        <v>0</v>
      </c>
      <c r="O77" s="649"/>
      <c r="P77" s="649"/>
      <c r="Q77" s="649"/>
      <c r="AA77" s="650"/>
      <c r="AG77" s="649"/>
    </row>
    <row r="78" ht="24" spans="1:33">
      <c r="A78" s="814" t="s">
        <v>1729</v>
      </c>
      <c r="B78" s="700" t="str">
        <f>估价对象房地状况!C22</f>
        <v>估价对象所在区域基础设施水平</v>
      </c>
      <c r="C78" s="706"/>
      <c r="D78" s="802">
        <f t="shared" si="18"/>
        <v>0</v>
      </c>
      <c r="E78" s="822"/>
      <c r="F78" s="710"/>
      <c r="G78" s="820"/>
      <c r="H78" s="821" t="str">
        <f t="shared" si="19"/>
        <v>——</v>
      </c>
      <c r="I78" s="802">
        <v>0.09</v>
      </c>
      <c r="J78" s="759">
        <f t="shared" si="20"/>
        <v>0</v>
      </c>
      <c r="K78" s="759">
        <f t="shared" si="21"/>
        <v>0</v>
      </c>
      <c r="L78" s="759">
        <v>0</v>
      </c>
      <c r="M78" s="759">
        <f t="shared" si="22"/>
        <v>0</v>
      </c>
      <c r="N78" s="759">
        <f t="shared" si="22"/>
        <v>0</v>
      </c>
      <c r="O78" s="649"/>
      <c r="P78" s="649"/>
      <c r="Q78" s="649"/>
      <c r="AA78" s="650"/>
      <c r="AG78" s="649"/>
    </row>
    <row r="79" ht="36" spans="1:33">
      <c r="A79" s="814" t="s">
        <v>1726</v>
      </c>
      <c r="B79" s="825" t="s">
        <v>1727</v>
      </c>
      <c r="C79" s="706"/>
      <c r="D79" s="802">
        <f t="shared" si="18"/>
        <v>0</v>
      </c>
      <c r="E79" s="822"/>
      <c r="F79" s="710"/>
      <c r="G79" s="820"/>
      <c r="H79" s="821" t="str">
        <f t="shared" si="19"/>
        <v>——</v>
      </c>
      <c r="I79" s="802">
        <v>0.05</v>
      </c>
      <c r="J79" s="759">
        <f t="shared" si="20"/>
        <v>0</v>
      </c>
      <c r="K79" s="759">
        <f t="shared" si="21"/>
        <v>0</v>
      </c>
      <c r="L79" s="759">
        <v>0</v>
      </c>
      <c r="M79" s="759">
        <f t="shared" si="22"/>
        <v>0</v>
      </c>
      <c r="N79" s="759">
        <f t="shared" si="22"/>
        <v>0</v>
      </c>
      <c r="AA79" s="650"/>
      <c r="AG79" s="649"/>
    </row>
    <row r="80" ht="36" spans="1:33">
      <c r="A80" s="814" t="s">
        <v>1730</v>
      </c>
      <c r="B80" s="802" t="str">
        <f>估价对象房地状况!C20</f>
        <v>区域自然环境：；人文环境；综合评价环境状况一般</v>
      </c>
      <c r="C80" s="706"/>
      <c r="D80" s="802">
        <f t="shared" si="18"/>
        <v>0</v>
      </c>
      <c r="E80" s="822"/>
      <c r="F80" s="710"/>
      <c r="G80" s="820"/>
      <c r="H80" s="821" t="str">
        <f t="shared" si="19"/>
        <v>——</v>
      </c>
      <c r="I80" s="802">
        <v>0.12</v>
      </c>
      <c r="J80" s="759">
        <f t="shared" si="20"/>
        <v>0</v>
      </c>
      <c r="K80" s="759">
        <f t="shared" si="21"/>
        <v>0</v>
      </c>
      <c r="L80" s="759">
        <v>0</v>
      </c>
      <c r="M80" s="759">
        <f t="shared" si="22"/>
        <v>0</v>
      </c>
      <c r="N80" s="759">
        <f t="shared" si="22"/>
        <v>0</v>
      </c>
      <c r="AA80" s="650"/>
      <c r="AG80" s="649"/>
    </row>
    <row r="81" ht="36.75" spans="1:33">
      <c r="A81" s="827" t="s">
        <v>1737</v>
      </c>
      <c r="B81" s="923"/>
      <c r="C81" s="706"/>
      <c r="D81" s="802">
        <f t="shared" si="18"/>
        <v>0</v>
      </c>
      <c r="E81" s="829"/>
      <c r="F81" s="710"/>
      <c r="G81" s="820"/>
      <c r="H81" s="821" t="str">
        <f t="shared" si="19"/>
        <v>——</v>
      </c>
      <c r="I81" s="906">
        <v>0.05</v>
      </c>
      <c r="J81" s="759">
        <f t="shared" si="20"/>
        <v>0</v>
      </c>
      <c r="K81" s="759">
        <f t="shared" si="21"/>
        <v>0</v>
      </c>
      <c r="L81" s="759">
        <v>0</v>
      </c>
      <c r="M81" s="759">
        <f t="shared" si="22"/>
        <v>0</v>
      </c>
      <c r="N81" s="759">
        <f t="shared" si="22"/>
        <v>0</v>
      </c>
      <c r="AA81" s="650"/>
      <c r="AG81" s="649"/>
    </row>
    <row r="82" ht="14.4" spans="1:33">
      <c r="A82" s="808" t="s">
        <v>1738</v>
      </c>
      <c r="B82" s="809">
        <f>1+E84</f>
        <v>1</v>
      </c>
      <c r="C82" s="811"/>
      <c r="D82" s="811"/>
      <c r="E82" s="812"/>
      <c r="F82" s="922"/>
      <c r="G82" s="807"/>
      <c r="H82" s="807"/>
      <c r="I82" s="807"/>
      <c r="J82" s="807"/>
      <c r="K82" s="807"/>
      <c r="L82" s="807"/>
      <c r="M82" s="807"/>
      <c r="N82" s="807"/>
      <c r="AA82" s="650"/>
      <c r="AG82" s="649"/>
    </row>
    <row r="83" ht="25.2" spans="1:33">
      <c r="A83" s="814" t="s">
        <v>1710</v>
      </c>
      <c r="B83" s="802"/>
      <c r="C83" s="802" t="s">
        <v>1712</v>
      </c>
      <c r="D83" s="802" t="s">
        <v>1713</v>
      </c>
      <c r="E83" s="815" t="s">
        <v>1714</v>
      </c>
      <c r="F83" s="816" t="s">
        <v>1732</v>
      </c>
      <c r="G83" s="802" t="s">
        <v>1630</v>
      </c>
      <c r="H83" s="818" t="s">
        <v>1716</v>
      </c>
      <c r="I83" s="802" t="s">
        <v>1717</v>
      </c>
      <c r="J83" s="905" t="s">
        <v>1437</v>
      </c>
      <c r="K83" s="905" t="s">
        <v>1438</v>
      </c>
      <c r="L83" s="905" t="s">
        <v>1439</v>
      </c>
      <c r="M83" s="905" t="s">
        <v>1440</v>
      </c>
      <c r="N83" s="905" t="s">
        <v>1441</v>
      </c>
      <c r="AA83" s="650"/>
      <c r="AG83" s="649"/>
    </row>
    <row r="84" ht="39.6" spans="1:33">
      <c r="A84" s="814" t="s">
        <v>1739</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9">
        <f t="shared" ref="J84:J91" si="25">K84+$G84</f>
        <v>0</v>
      </c>
      <c r="K84" s="759">
        <f t="shared" ref="K84:K91" si="26">$L84+$G84</f>
        <v>0</v>
      </c>
      <c r="L84" s="759">
        <v>0</v>
      </c>
      <c r="M84" s="759">
        <f t="shared" ref="M84:N91" si="27">L84-$G84</f>
        <v>0</v>
      </c>
      <c r="N84" s="759">
        <f t="shared" si="27"/>
        <v>0</v>
      </c>
      <c r="AA84" s="650"/>
      <c r="AG84" s="649"/>
    </row>
    <row r="85" ht="48" spans="1:33">
      <c r="A85" s="814" t="s">
        <v>1720</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9">
        <f t="shared" si="25"/>
        <v>0</v>
      </c>
      <c r="K85" s="759">
        <f t="shared" si="26"/>
        <v>0</v>
      </c>
      <c r="L85" s="759">
        <v>0</v>
      </c>
      <c r="M85" s="759">
        <f t="shared" si="27"/>
        <v>0</v>
      </c>
      <c r="N85" s="759">
        <f t="shared" si="27"/>
        <v>0</v>
      </c>
      <c r="AA85" s="650"/>
      <c r="AG85" s="649"/>
    </row>
    <row r="86" ht="48" spans="1:33">
      <c r="A86" s="823" t="s">
        <v>1721</v>
      </c>
      <c r="B86" s="802">
        <f>估价对象房地状况!G17</f>
        <v>0</v>
      </c>
      <c r="C86" s="706"/>
      <c r="D86" s="802">
        <f t="shared" si="23"/>
        <v>0</v>
      </c>
      <c r="E86" s="822"/>
      <c r="F86" s="710"/>
      <c r="G86" s="820"/>
      <c r="H86" s="821" t="str">
        <f t="shared" si="24"/>
        <v>——</v>
      </c>
      <c r="I86" s="802">
        <v>0.1</v>
      </c>
      <c r="J86" s="759">
        <f t="shared" si="25"/>
        <v>0</v>
      </c>
      <c r="K86" s="759">
        <f t="shared" si="26"/>
        <v>0</v>
      </c>
      <c r="L86" s="759">
        <v>0</v>
      </c>
      <c r="M86" s="759">
        <f t="shared" si="27"/>
        <v>0</v>
      </c>
      <c r="N86" s="759">
        <f t="shared" si="27"/>
        <v>0</v>
      </c>
      <c r="AA86" s="650"/>
      <c r="AG86" s="649"/>
    </row>
    <row r="87" ht="13.8" spans="1:33">
      <c r="A87" s="814" t="s">
        <v>1736</v>
      </c>
      <c r="B87" s="802">
        <f>估价对象房地状况!G22</f>
        <v>0</v>
      </c>
      <c r="C87" s="706"/>
      <c r="D87" s="802">
        <f t="shared" si="23"/>
        <v>0</v>
      </c>
      <c r="E87" s="822"/>
      <c r="F87" s="710"/>
      <c r="G87" s="820"/>
      <c r="H87" s="821" t="str">
        <f t="shared" si="24"/>
        <v>——</v>
      </c>
      <c r="I87" s="802">
        <v>0.05</v>
      </c>
      <c r="J87" s="759">
        <f t="shared" si="25"/>
        <v>0</v>
      </c>
      <c r="K87" s="759">
        <f t="shared" si="26"/>
        <v>0</v>
      </c>
      <c r="L87" s="759">
        <v>0</v>
      </c>
      <c r="M87" s="759">
        <f t="shared" si="27"/>
        <v>0</v>
      </c>
      <c r="N87" s="759">
        <f t="shared" si="27"/>
        <v>0</v>
      </c>
      <c r="AA87" s="650"/>
      <c r="AG87" s="649"/>
    </row>
    <row r="88" ht="24" spans="1:14">
      <c r="A88" s="814" t="s">
        <v>1728</v>
      </c>
      <c r="B88" s="700" t="str">
        <f>估价对象房地状况!G19</f>
        <v>估价对象所在区域公共配套设施齐备情况</v>
      </c>
      <c r="C88" s="706"/>
      <c r="D88" s="802">
        <f t="shared" si="23"/>
        <v>0</v>
      </c>
      <c r="E88" s="822"/>
      <c r="F88" s="710"/>
      <c r="G88" s="820"/>
      <c r="H88" s="821" t="str">
        <f t="shared" si="24"/>
        <v>——</v>
      </c>
      <c r="I88" s="802">
        <v>0.06</v>
      </c>
      <c r="J88" s="759">
        <f t="shared" si="25"/>
        <v>0</v>
      </c>
      <c r="K88" s="759">
        <f t="shared" si="26"/>
        <v>0</v>
      </c>
      <c r="L88" s="759">
        <v>0</v>
      </c>
      <c r="M88" s="759">
        <f t="shared" si="27"/>
        <v>0</v>
      </c>
      <c r="N88" s="759">
        <f t="shared" si="27"/>
        <v>0</v>
      </c>
    </row>
    <row r="89" ht="24" spans="1:14">
      <c r="A89" s="814" t="s">
        <v>1729</v>
      </c>
      <c r="B89" s="700" t="str">
        <f>估价对象房地状况!G20</f>
        <v>估价对象所在区域基础设施水平</v>
      </c>
      <c r="C89" s="706"/>
      <c r="D89" s="802">
        <f t="shared" si="23"/>
        <v>0</v>
      </c>
      <c r="E89" s="822"/>
      <c r="F89" s="710"/>
      <c r="G89" s="820"/>
      <c r="H89" s="821" t="str">
        <f t="shared" si="24"/>
        <v>——</v>
      </c>
      <c r="I89" s="802">
        <v>0.12</v>
      </c>
      <c r="J89" s="759">
        <f t="shared" si="25"/>
        <v>0</v>
      </c>
      <c r="K89" s="759">
        <f t="shared" si="26"/>
        <v>0</v>
      </c>
      <c r="L89" s="759">
        <v>0</v>
      </c>
      <c r="M89" s="759">
        <f t="shared" si="27"/>
        <v>0</v>
      </c>
      <c r="N89" s="759">
        <f t="shared" si="27"/>
        <v>0</v>
      </c>
    </row>
    <row r="90" ht="36" spans="1:14">
      <c r="A90" s="814" t="s">
        <v>1726</v>
      </c>
      <c r="B90" s="825" t="s">
        <v>1740</v>
      </c>
      <c r="C90" s="706"/>
      <c r="D90" s="802">
        <f t="shared" si="23"/>
        <v>0</v>
      </c>
      <c r="E90" s="822"/>
      <c r="F90" s="710"/>
      <c r="G90" s="820"/>
      <c r="H90" s="821" t="str">
        <f t="shared" si="24"/>
        <v>——</v>
      </c>
      <c r="I90" s="802">
        <v>0.06</v>
      </c>
      <c r="J90" s="759">
        <f t="shared" si="25"/>
        <v>0</v>
      </c>
      <c r="K90" s="759">
        <f t="shared" si="26"/>
        <v>0</v>
      </c>
      <c r="L90" s="759">
        <v>0</v>
      </c>
      <c r="M90" s="759">
        <f t="shared" si="27"/>
        <v>0</v>
      </c>
      <c r="N90" s="759">
        <f t="shared" si="27"/>
        <v>0</v>
      </c>
    </row>
    <row r="91" ht="36.75" spans="1:25">
      <c r="A91" s="827" t="s">
        <v>1741</v>
      </c>
      <c r="B91" s="906" t="str">
        <f>估价对象房地状况!G18</f>
        <v>该园区内是否有污染型企业，绿化情况，卫生条件，整体环境状况判断</v>
      </c>
      <c r="C91" s="706"/>
      <c r="D91" s="802">
        <f t="shared" si="23"/>
        <v>0</v>
      </c>
      <c r="E91" s="829"/>
      <c r="F91" s="710"/>
      <c r="G91" s="820"/>
      <c r="H91" s="821" t="str">
        <f t="shared" si="24"/>
        <v>——</v>
      </c>
      <c r="I91" s="906">
        <v>0.05</v>
      </c>
      <c r="J91" s="759">
        <f t="shared" si="25"/>
        <v>0</v>
      </c>
      <c r="K91" s="759">
        <f t="shared" si="26"/>
        <v>0</v>
      </c>
      <c r="L91" s="759">
        <v>0</v>
      </c>
      <c r="M91" s="759">
        <f t="shared" si="27"/>
        <v>0</v>
      </c>
      <c r="N91" s="759">
        <f t="shared" si="27"/>
        <v>0</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1710</v>
      </c>
      <c r="B93" s="802"/>
      <c r="C93" s="802" t="s">
        <v>1712</v>
      </c>
      <c r="D93" s="802" t="s">
        <v>1713</v>
      </c>
      <c r="E93" s="815" t="s">
        <v>1714</v>
      </c>
      <c r="F93" s="816" t="s">
        <v>1732</v>
      </c>
      <c r="G93" s="802" t="s">
        <v>1630</v>
      </c>
      <c r="H93" s="818" t="s">
        <v>1716</v>
      </c>
      <c r="I93" s="802" t="s">
        <v>1717</v>
      </c>
      <c r="J93" s="905" t="s">
        <v>1437</v>
      </c>
      <c r="K93" s="905" t="s">
        <v>1438</v>
      </c>
      <c r="L93" s="905" t="s">
        <v>1439</v>
      </c>
      <c r="M93" s="905" t="s">
        <v>1440</v>
      </c>
      <c r="N93" s="905" t="s">
        <v>1441</v>
      </c>
    </row>
    <row r="94" s="649" customFormat="1" ht="24" spans="1:14">
      <c r="A94" s="823" t="s">
        <v>1742</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8">K94+$G94</f>
        <v>0</v>
      </c>
      <c r="K94" s="759">
        <f t="shared" ref="K94:K102" si="29">$L94+$G94</f>
        <v>0</v>
      </c>
      <c r="L94" s="759">
        <v>0</v>
      </c>
      <c r="M94" s="759">
        <f t="shared" ref="M94:M102" si="30">L94-$G94</f>
        <v>0</v>
      </c>
      <c r="N94" s="759">
        <f t="shared" ref="N94:N102" si="31">M94-$G94</f>
        <v>0</v>
      </c>
    </row>
    <row r="95" s="649" customFormat="1" ht="48" spans="1:14">
      <c r="A95" s="814" t="s">
        <v>1720</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9">
        <f t="shared" si="28"/>
        <v>0</v>
      </c>
      <c r="K95" s="759">
        <f t="shared" si="29"/>
        <v>0</v>
      </c>
      <c r="L95" s="759">
        <v>0</v>
      </c>
      <c r="M95" s="759">
        <f t="shared" si="30"/>
        <v>0</v>
      </c>
      <c r="N95" s="759">
        <f t="shared" si="31"/>
        <v>0</v>
      </c>
    </row>
    <row r="96" s="649" customFormat="1" ht="48" spans="1:14">
      <c r="A96" s="823" t="s">
        <v>1721</v>
      </c>
      <c r="B96" s="802">
        <f>估价对象房地状况!C19</f>
        <v>0</v>
      </c>
      <c r="C96" s="706"/>
      <c r="D96" s="802">
        <f t="shared" si="32"/>
        <v>0</v>
      </c>
      <c r="E96" s="822"/>
      <c r="F96" s="710"/>
      <c r="G96" s="820"/>
      <c r="H96" s="821" t="str">
        <f t="shared" ref="H96:H102" si="33">IFERROR(ROUNDDOWN($F$94*I96/2,4),"——")</f>
        <v>——</v>
      </c>
      <c r="I96" s="802">
        <v>0.11</v>
      </c>
      <c r="J96" s="759">
        <f t="shared" si="28"/>
        <v>0</v>
      </c>
      <c r="K96" s="759">
        <f t="shared" si="29"/>
        <v>0</v>
      </c>
      <c r="L96" s="759">
        <v>0</v>
      </c>
      <c r="M96" s="759">
        <f t="shared" si="30"/>
        <v>0</v>
      </c>
      <c r="N96" s="759">
        <f t="shared" si="31"/>
        <v>0</v>
      </c>
    </row>
    <row r="97" s="649" customFormat="1" ht="37.2" spans="1:14">
      <c r="A97" s="814" t="s">
        <v>1722</v>
      </c>
      <c r="B97" s="824" t="s">
        <v>1723</v>
      </c>
      <c r="C97" s="706"/>
      <c r="D97" s="802">
        <f t="shared" si="32"/>
        <v>0</v>
      </c>
      <c r="E97" s="822"/>
      <c r="F97" s="710"/>
      <c r="G97" s="820"/>
      <c r="H97" s="821" t="str">
        <f t="shared" si="33"/>
        <v>——</v>
      </c>
      <c r="I97" s="802">
        <v>0.05</v>
      </c>
      <c r="J97" s="759">
        <f t="shared" si="28"/>
        <v>0</v>
      </c>
      <c r="K97" s="759">
        <f t="shared" si="29"/>
        <v>0</v>
      </c>
      <c r="L97" s="759">
        <v>0</v>
      </c>
      <c r="M97" s="759">
        <f t="shared" si="30"/>
        <v>0</v>
      </c>
      <c r="N97" s="759">
        <f t="shared" si="31"/>
        <v>0</v>
      </c>
    </row>
    <row r="98" s="649" customFormat="1" ht="24" spans="1:14">
      <c r="A98" s="814" t="s">
        <v>1724</v>
      </c>
      <c r="B98" s="802">
        <f>估价对象房地状况!C24</f>
        <v>0</v>
      </c>
      <c r="C98" s="706"/>
      <c r="D98" s="802">
        <f t="shared" si="32"/>
        <v>0</v>
      </c>
      <c r="E98" s="822"/>
      <c r="F98" s="710"/>
      <c r="G98" s="820"/>
      <c r="H98" s="821" t="str">
        <f t="shared" si="33"/>
        <v>——</v>
      </c>
      <c r="I98" s="802">
        <v>0.05</v>
      </c>
      <c r="J98" s="759">
        <f t="shared" si="28"/>
        <v>0</v>
      </c>
      <c r="K98" s="759">
        <f t="shared" si="29"/>
        <v>0</v>
      </c>
      <c r="L98" s="759">
        <v>0</v>
      </c>
      <c r="M98" s="759">
        <f t="shared" si="30"/>
        <v>0</v>
      </c>
      <c r="N98" s="759">
        <f t="shared" si="31"/>
        <v>0</v>
      </c>
    </row>
    <row r="99" s="649" customFormat="1" ht="36" spans="1:14">
      <c r="A99" s="814" t="s">
        <v>1726</v>
      </c>
      <c r="B99" s="825" t="s">
        <v>1727</v>
      </c>
      <c r="C99" s="706"/>
      <c r="D99" s="802">
        <f t="shared" si="32"/>
        <v>0</v>
      </c>
      <c r="E99" s="822"/>
      <c r="F99" s="710"/>
      <c r="G99" s="820"/>
      <c r="H99" s="821" t="str">
        <f t="shared" si="33"/>
        <v>——</v>
      </c>
      <c r="I99" s="802">
        <v>0.06</v>
      </c>
      <c r="J99" s="759">
        <f t="shared" si="28"/>
        <v>0</v>
      </c>
      <c r="K99" s="759">
        <f t="shared" si="29"/>
        <v>0</v>
      </c>
      <c r="L99" s="759">
        <v>0</v>
      </c>
      <c r="M99" s="759">
        <f t="shared" si="30"/>
        <v>0</v>
      </c>
      <c r="N99" s="759">
        <f t="shared" si="31"/>
        <v>0</v>
      </c>
    </row>
    <row r="100" s="649" customFormat="1" ht="24" spans="1:14">
      <c r="A100" s="814" t="s">
        <v>1728</v>
      </c>
      <c r="B100" s="700" t="str">
        <f>估价对象房地状况!C21</f>
        <v>估价对象所在区域公共配套设施齐备情况</v>
      </c>
      <c r="C100" s="706"/>
      <c r="D100" s="802">
        <f t="shared" si="32"/>
        <v>0</v>
      </c>
      <c r="E100" s="822"/>
      <c r="F100" s="710"/>
      <c r="G100" s="820"/>
      <c r="H100" s="821" t="str">
        <f t="shared" si="33"/>
        <v>——</v>
      </c>
      <c r="I100" s="802">
        <v>0.06</v>
      </c>
      <c r="J100" s="759">
        <f t="shared" si="28"/>
        <v>0</v>
      </c>
      <c r="K100" s="759">
        <f t="shared" si="29"/>
        <v>0</v>
      </c>
      <c r="L100" s="759">
        <v>0</v>
      </c>
      <c r="M100" s="759">
        <f t="shared" si="30"/>
        <v>0</v>
      </c>
      <c r="N100" s="759">
        <f t="shared" si="31"/>
        <v>0</v>
      </c>
    </row>
    <row r="101" s="649" customFormat="1" ht="24" spans="1:14">
      <c r="A101" s="814" t="s">
        <v>1729</v>
      </c>
      <c r="B101" s="700" t="str">
        <f>估价对象房地状况!C22</f>
        <v>估价对象所在区域基础设施水平</v>
      </c>
      <c r="C101" s="706"/>
      <c r="D101" s="802">
        <f t="shared" si="32"/>
        <v>0</v>
      </c>
      <c r="E101" s="822"/>
      <c r="F101" s="710"/>
      <c r="G101" s="820"/>
      <c r="H101" s="821" t="str">
        <f t="shared" si="33"/>
        <v>——</v>
      </c>
      <c r="I101" s="802">
        <v>0.09</v>
      </c>
      <c r="J101" s="759">
        <f t="shared" si="28"/>
        <v>0</v>
      </c>
      <c r="K101" s="759">
        <f t="shared" si="29"/>
        <v>0</v>
      </c>
      <c r="L101" s="759">
        <v>0</v>
      </c>
      <c r="M101" s="759">
        <f t="shared" si="30"/>
        <v>0</v>
      </c>
      <c r="N101" s="759">
        <f t="shared" si="31"/>
        <v>0</v>
      </c>
    </row>
    <row r="102" s="649" customFormat="1" ht="36.75" spans="1:25">
      <c r="A102" s="827" t="s">
        <v>1730</v>
      </c>
      <c r="B102" s="906" t="str">
        <f>估价对象房地状况!C20</f>
        <v>区域自然环境：；人文环境；综合评价环境状况一般</v>
      </c>
      <c r="C102" s="706"/>
      <c r="D102" s="802">
        <f t="shared" si="32"/>
        <v>0</v>
      </c>
      <c r="E102" s="829"/>
      <c r="F102" s="710"/>
      <c r="G102" s="820"/>
      <c r="H102" s="821" t="str">
        <f t="shared" si="33"/>
        <v>——</v>
      </c>
      <c r="I102" s="906">
        <v>0.07</v>
      </c>
      <c r="J102" s="759">
        <f t="shared" si="28"/>
        <v>0</v>
      </c>
      <c r="K102" s="759">
        <f t="shared" si="29"/>
        <v>0</v>
      </c>
      <c r="L102" s="759">
        <v>0</v>
      </c>
      <c r="M102" s="759">
        <f t="shared" si="30"/>
        <v>0</v>
      </c>
      <c r="N102" s="759">
        <f t="shared" si="31"/>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1743</v>
      </c>
      <c r="B104" s="929"/>
      <c r="C104" s="929"/>
      <c r="D104" s="929"/>
      <c r="E104" s="929"/>
      <c r="F104" s="929"/>
      <c r="G104" s="929"/>
      <c r="H104" s="929"/>
      <c r="I104" s="929"/>
      <c r="J104" s="929"/>
      <c r="K104" s="929"/>
      <c r="L104" s="929"/>
      <c r="M104" s="929"/>
      <c r="N104" s="929"/>
    </row>
    <row r="105" spans="1:14">
      <c r="A105" s="784" t="s">
        <v>1744</v>
      </c>
      <c r="B105" s="784" t="s">
        <v>1745</v>
      </c>
      <c r="C105" s="785" t="s">
        <v>1746</v>
      </c>
      <c r="D105" s="786"/>
      <c r="E105" s="786"/>
      <c r="F105" s="786"/>
      <c r="G105" s="786"/>
      <c r="H105" s="786"/>
      <c r="I105" s="786"/>
      <c r="J105" s="945"/>
      <c r="K105" s="946"/>
      <c r="L105" s="946"/>
      <c r="M105" s="946"/>
      <c r="N105" s="946"/>
    </row>
    <row r="106" spans="1:14">
      <c r="A106" s="784"/>
      <c r="B106" s="784"/>
      <c r="C106" s="784" t="s">
        <v>1591</v>
      </c>
      <c r="D106" s="784" t="s">
        <v>1592</v>
      </c>
      <c r="E106" s="784" t="s">
        <v>1593</v>
      </c>
      <c r="F106" s="784" t="s">
        <v>1594</v>
      </c>
      <c r="G106" s="784" t="s">
        <v>1595</v>
      </c>
      <c r="H106" s="784" t="s">
        <v>1596</v>
      </c>
      <c r="I106" s="784" t="s">
        <v>1597</v>
      </c>
      <c r="J106" s="784" t="s">
        <v>1598</v>
      </c>
      <c r="K106" s="784" t="s">
        <v>1599</v>
      </c>
      <c r="L106" s="784" t="s">
        <v>1600</v>
      </c>
      <c r="M106" s="784" t="s">
        <v>1601</v>
      </c>
      <c r="N106" s="784" t="s">
        <v>1602</v>
      </c>
    </row>
    <row r="107" spans="1:14">
      <c r="A107" s="930" t="s">
        <v>1747</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1607</v>
      </c>
      <c r="C112" s="932">
        <f>$I$3</f>
        <v>5</v>
      </c>
      <c r="D112" s="932">
        <f t="shared" ref="D112:N112" si="34">$I$3</f>
        <v>5</v>
      </c>
      <c r="E112" s="932">
        <f t="shared" si="34"/>
        <v>5</v>
      </c>
      <c r="F112" s="932">
        <f t="shared" si="34"/>
        <v>5</v>
      </c>
      <c r="G112" s="932">
        <f t="shared" si="34"/>
        <v>5</v>
      </c>
      <c r="H112" s="932">
        <f t="shared" si="34"/>
        <v>5</v>
      </c>
      <c r="I112" s="932">
        <f t="shared" si="34"/>
        <v>5</v>
      </c>
      <c r="J112" s="932">
        <f t="shared" si="34"/>
        <v>5</v>
      </c>
      <c r="K112" s="932">
        <f t="shared" si="34"/>
        <v>5</v>
      </c>
      <c r="L112" s="932">
        <f t="shared" si="34"/>
        <v>5</v>
      </c>
      <c r="M112" s="932">
        <f t="shared" si="34"/>
        <v>5</v>
      </c>
      <c r="N112" s="932">
        <f t="shared" si="34"/>
        <v>5</v>
      </c>
    </row>
    <row r="113" spans="1:14">
      <c r="A113" s="933"/>
      <c r="B113" s="784">
        <v>6</v>
      </c>
      <c r="C113" s="818">
        <f>(-0.5556*(C112^2)-0.2719*C112+8944)*(10^(-4))</f>
        <v>0.89287505</v>
      </c>
      <c r="D113" s="818">
        <f>(-0.5556*(D112^2)-0.2719*D112+8944)*(10^(-4))</f>
        <v>0.89287505</v>
      </c>
      <c r="E113" s="818">
        <f>(-0.7912*(E112^2)-11.3794*E112+8482)*(10^(-4))</f>
        <v>0.8405323</v>
      </c>
      <c r="F113" s="818">
        <f t="shared" ref="F113:I113" si="35">(-0.7912*(F112^2)-11.3794*F112+8482)*(10^(-4))</f>
        <v>0.8405323</v>
      </c>
      <c r="G113" s="818">
        <f t="shared" si="35"/>
        <v>0.8405323</v>
      </c>
      <c r="H113" s="818">
        <f t="shared" si="35"/>
        <v>0.8405323</v>
      </c>
      <c r="I113" s="818">
        <f t="shared" si="35"/>
        <v>0.8405323</v>
      </c>
      <c r="J113" s="818">
        <f>(-0.989*(J112^2)-63.78*J112+7771)*(10^(-4))</f>
        <v>0.7427375</v>
      </c>
      <c r="K113" s="818">
        <f t="shared" ref="K113:N113" si="36">(-0.989*(K112^2)-63.78*K112+7771)*(10^(-4))</f>
        <v>0.7427375</v>
      </c>
      <c r="L113" s="818">
        <f t="shared" si="36"/>
        <v>0.7427375</v>
      </c>
      <c r="M113" s="818">
        <f t="shared" si="36"/>
        <v>0.7427375</v>
      </c>
      <c r="N113" s="818">
        <f t="shared" si="36"/>
        <v>0.7427375</v>
      </c>
    </row>
    <row r="114" spans="1:14">
      <c r="A114" s="934" t="s">
        <v>1748</v>
      </c>
      <c r="B114" s="934"/>
      <c r="C114" s="934"/>
      <c r="D114" s="934"/>
      <c r="E114" s="934"/>
      <c r="F114" s="934"/>
      <c r="G114" s="934"/>
      <c r="H114" s="934"/>
      <c r="I114" s="934"/>
      <c r="J114" s="934"/>
      <c r="K114" s="934"/>
      <c r="L114" s="934"/>
      <c r="M114" s="934"/>
      <c r="N114" s="934"/>
    </row>
    <row r="116" ht="13.95"/>
    <row r="117" ht="25.95" spans="1:13">
      <c r="A117" s="762" t="s">
        <v>1749</v>
      </c>
      <c r="B117" s="935">
        <f>G3</f>
        <v>4.44</v>
      </c>
      <c r="C117" s="752" t="s">
        <v>1750</v>
      </c>
      <c r="D117" s="936">
        <f>SUMPRODUCT((A119:A123=F117)*(B118:M118=H117)*B119:M123)</f>
        <v>0.948</v>
      </c>
      <c r="E117" s="654" t="s">
        <v>1562</v>
      </c>
      <c r="F117" s="937" t="str">
        <f>E2</f>
        <v>商业</v>
      </c>
      <c r="G117" s="654" t="s">
        <v>1564</v>
      </c>
      <c r="H117" s="937" t="str">
        <f>G2</f>
        <v>一级</v>
      </c>
      <c r="I117" s="654"/>
      <c r="J117" s="947"/>
      <c r="K117" s="947"/>
      <c r="L117" s="947"/>
      <c r="M117" s="947"/>
    </row>
    <row r="118" spans="1:13">
      <c r="A118" s="938"/>
      <c r="B118" s="939" t="s">
        <v>1751</v>
      </c>
      <c r="C118" s="939" t="s">
        <v>1752</v>
      </c>
      <c r="D118" s="939" t="s">
        <v>1753</v>
      </c>
      <c r="E118" s="940" t="s">
        <v>1754</v>
      </c>
      <c r="F118" s="940" t="s">
        <v>1755</v>
      </c>
      <c r="G118" s="940" t="s">
        <v>1756</v>
      </c>
      <c r="H118" s="941" t="s">
        <v>1757</v>
      </c>
      <c r="I118" s="941" t="s">
        <v>1758</v>
      </c>
      <c r="J118" s="948" t="s">
        <v>1759</v>
      </c>
      <c r="K118" s="948" t="s">
        <v>1760</v>
      </c>
      <c r="L118" s="948" t="s">
        <v>1761</v>
      </c>
      <c r="M118" s="949" t="s">
        <v>1762</v>
      </c>
    </row>
    <row r="119" spans="1:13">
      <c r="A119" s="891" t="s">
        <v>1678</v>
      </c>
      <c r="B119" s="818">
        <f>ROUND(0.9968-0.011*B117,4)</f>
        <v>0.948</v>
      </c>
      <c r="C119" s="818">
        <f>B119</f>
        <v>0.948</v>
      </c>
      <c r="D119" s="818">
        <f>ROUND(0.949-0.014*B117,4)</f>
        <v>0.8868</v>
      </c>
      <c r="E119" s="818">
        <f>D119</f>
        <v>0.8868</v>
      </c>
      <c r="F119" s="818">
        <f>E119</f>
        <v>0.8868</v>
      </c>
      <c r="G119" s="818">
        <f>F119</f>
        <v>0.8868</v>
      </c>
      <c r="H119" s="818">
        <f>G119</f>
        <v>0.8868</v>
      </c>
      <c r="I119" s="818">
        <f>ROUND(0.8486-0.018*B117,4)</f>
        <v>0.7687</v>
      </c>
      <c r="J119" s="818">
        <f t="shared" ref="J119:M122" si="37">I119</f>
        <v>0.7687</v>
      </c>
      <c r="K119" s="818">
        <f t="shared" si="37"/>
        <v>0.7687</v>
      </c>
      <c r="L119" s="818">
        <f t="shared" si="37"/>
        <v>0.7687</v>
      </c>
      <c r="M119" s="950">
        <f t="shared" si="37"/>
        <v>0.7687</v>
      </c>
    </row>
    <row r="120" spans="1:13">
      <c r="A120" s="891" t="s">
        <v>1679</v>
      </c>
      <c r="B120" s="818">
        <f>ROUND(0.993-0.0112*B117,4)</f>
        <v>0.9433</v>
      </c>
      <c r="C120" s="818">
        <f>B120</f>
        <v>0.9433</v>
      </c>
      <c r="D120" s="818">
        <f>ROUND(0.9415-0.0142*B117,4)</f>
        <v>0.8785</v>
      </c>
      <c r="E120" s="818">
        <f t="shared" ref="E120:H121" si="38">D120</f>
        <v>0.8785</v>
      </c>
      <c r="F120" s="818">
        <f t="shared" si="38"/>
        <v>0.8785</v>
      </c>
      <c r="G120" s="818">
        <f t="shared" si="38"/>
        <v>0.8785</v>
      </c>
      <c r="H120" s="818">
        <f t="shared" si="38"/>
        <v>0.8785</v>
      </c>
      <c r="I120" s="818">
        <f>ROUND(0.838-0.0182*B117,4)</f>
        <v>0.7572</v>
      </c>
      <c r="J120" s="818">
        <f t="shared" si="37"/>
        <v>0.7572</v>
      </c>
      <c r="K120" s="818">
        <f t="shared" si="37"/>
        <v>0.7572</v>
      </c>
      <c r="L120" s="818">
        <f t="shared" si="37"/>
        <v>0.7572</v>
      </c>
      <c r="M120" s="950">
        <f t="shared" si="37"/>
        <v>0.7572</v>
      </c>
    </row>
    <row r="121" spans="1:13">
      <c r="A121" s="891" t="s">
        <v>1680</v>
      </c>
      <c r="B121" s="818">
        <f>ROUND(0.9448-0.0115*B117,4)</f>
        <v>0.8937</v>
      </c>
      <c r="C121" s="818">
        <f>B121</f>
        <v>0.8937</v>
      </c>
      <c r="D121" s="818">
        <f>ROUND(0.937-0.0145*B117,4)</f>
        <v>0.8726</v>
      </c>
      <c r="E121" s="818">
        <f t="shared" si="38"/>
        <v>0.8726</v>
      </c>
      <c r="F121" s="818">
        <f t="shared" si="38"/>
        <v>0.8726</v>
      </c>
      <c r="G121" s="818">
        <f t="shared" si="38"/>
        <v>0.8726</v>
      </c>
      <c r="H121" s="818">
        <f t="shared" si="38"/>
        <v>0.8726</v>
      </c>
      <c r="I121" s="818">
        <f>ROUND(0.7965-0.0185*B117,4)</f>
        <v>0.7144</v>
      </c>
      <c r="J121" s="818">
        <f t="shared" si="37"/>
        <v>0.7144</v>
      </c>
      <c r="K121" s="818">
        <f t="shared" si="37"/>
        <v>0.7144</v>
      </c>
      <c r="L121" s="818">
        <f t="shared" si="37"/>
        <v>0.7144</v>
      </c>
      <c r="M121" s="950">
        <f t="shared" si="37"/>
        <v>0.7144</v>
      </c>
    </row>
    <row r="122" ht="13.95" spans="1:13">
      <c r="A122" s="892" t="s">
        <v>1681</v>
      </c>
      <c r="B122" s="942">
        <f>ROUND(0.7836-0.012*B117,4)</f>
        <v>0.7303</v>
      </c>
      <c r="C122" s="942">
        <f>B122</f>
        <v>0.7303</v>
      </c>
      <c r="D122" s="942">
        <f>ROUND(0.753-0.015*B117,4)</f>
        <v>0.6864</v>
      </c>
      <c r="E122" s="942">
        <f>D122</f>
        <v>0.6864</v>
      </c>
      <c r="F122" s="942">
        <f>E122</f>
        <v>0.6864</v>
      </c>
      <c r="G122" s="942">
        <f>ROUND(0.6612-0.018*B117,4)</f>
        <v>0.5813</v>
      </c>
      <c r="H122" s="942">
        <f>G122</f>
        <v>0.5813</v>
      </c>
      <c r="I122" s="942">
        <f>ROUND(0.5905-0.019*B117,4)</f>
        <v>0.5061</v>
      </c>
      <c r="J122" s="942">
        <f t="shared" si="37"/>
        <v>0.5061</v>
      </c>
      <c r="K122" s="942">
        <f t="shared" si="37"/>
        <v>0.5061</v>
      </c>
      <c r="L122" s="942">
        <f t="shared" si="37"/>
        <v>0.5061</v>
      </c>
      <c r="M122" s="951">
        <f t="shared" si="37"/>
        <v>0.5061</v>
      </c>
    </row>
    <row r="123" spans="1:13">
      <c r="A123" s="943" t="s">
        <v>288</v>
      </c>
      <c r="B123" s="818">
        <f>ROUND(0.9404-0.0106*B117,4)</f>
        <v>0.8933</v>
      </c>
      <c r="C123" s="818">
        <f>B123</f>
        <v>0.8933</v>
      </c>
      <c r="D123" s="818">
        <f>ROUND(0.8955-0.0135*B117,4)</f>
        <v>0.8356</v>
      </c>
      <c r="E123" s="818">
        <f t="shared" ref="E123" si="39">D123</f>
        <v>0.8356</v>
      </c>
      <c r="F123" s="818">
        <f t="shared" ref="F123" si="40">E123</f>
        <v>0.8356</v>
      </c>
      <c r="G123" s="818">
        <f t="shared" ref="G123" si="41">F123</f>
        <v>0.8356</v>
      </c>
      <c r="H123" s="818">
        <f t="shared" ref="H123" si="42">G123</f>
        <v>0.8356</v>
      </c>
      <c r="I123" s="818">
        <f>ROUND(0.7632-0.0166*B117,4)</f>
        <v>0.6895</v>
      </c>
      <c r="J123" s="818">
        <f t="shared" ref="J123" si="43">I123</f>
        <v>0.6895</v>
      </c>
      <c r="K123" s="818">
        <f t="shared" ref="K123" si="44">J123</f>
        <v>0.6895</v>
      </c>
      <c r="L123" s="818">
        <f t="shared" ref="L123" si="45">K123</f>
        <v>0.6895</v>
      </c>
      <c r="M123" s="950">
        <f t="shared" ref="M123" si="46">L123</f>
        <v>0.6895</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5" defaultRowHeight="14.4"/>
  <cols>
    <col min="1" max="13" width="15.25" style="579" customWidth="1"/>
    <col min="14" max="14" width="10" style="579" customWidth="1"/>
    <col min="15" max="16" width="8.25" style="579"/>
    <col min="17" max="17" width="34.1296296296296" style="579" customWidth="1"/>
    <col min="18" max="18" width="8.25" style="579" customWidth="1"/>
    <col min="19" max="19" width="8.25" style="579"/>
    <col min="20" max="20" width="11.6296296296296" style="579" customWidth="1"/>
    <col min="21" max="16384" width="8.25"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1563</v>
      </c>
      <c r="B2" s="583">
        <v>3.5</v>
      </c>
      <c r="C2" s="583">
        <v>3.5</v>
      </c>
      <c r="D2" s="584">
        <v>2.5</v>
      </c>
      <c r="E2" s="584">
        <v>2.5</v>
      </c>
      <c r="F2" s="584">
        <v>2.5</v>
      </c>
      <c r="G2" s="584">
        <v>2.5</v>
      </c>
      <c r="H2" s="584">
        <v>2.5</v>
      </c>
      <c r="I2" s="583">
        <v>2</v>
      </c>
      <c r="J2" s="583">
        <v>2</v>
      </c>
      <c r="K2" s="583">
        <v>2</v>
      </c>
      <c r="L2" s="583">
        <v>2</v>
      </c>
      <c r="M2" s="637">
        <v>2</v>
      </c>
    </row>
    <row r="3" spans="1:13">
      <c r="A3" s="585" t="s">
        <v>1763</v>
      </c>
      <c r="B3" s="586">
        <v>3.5</v>
      </c>
      <c r="C3" s="586">
        <v>3.5</v>
      </c>
      <c r="D3" s="587">
        <v>2.5</v>
      </c>
      <c r="E3" s="587">
        <v>2.5</v>
      </c>
      <c r="F3" s="587">
        <v>2.5</v>
      </c>
      <c r="G3" s="587">
        <v>2.5</v>
      </c>
      <c r="H3" s="587">
        <v>2.5</v>
      </c>
      <c r="I3" s="586">
        <v>2</v>
      </c>
      <c r="J3" s="586">
        <v>2</v>
      </c>
      <c r="K3" s="586">
        <v>2</v>
      </c>
      <c r="L3" s="586">
        <v>2</v>
      </c>
      <c r="M3" s="638">
        <v>2</v>
      </c>
    </row>
    <row r="4" spans="1:13">
      <c r="A4" s="585" t="s">
        <v>1764</v>
      </c>
      <c r="B4" s="587">
        <v>2.5</v>
      </c>
      <c r="C4" s="587">
        <v>2.5</v>
      </c>
      <c r="D4" s="587">
        <v>2.5</v>
      </c>
      <c r="E4" s="587">
        <v>2.5</v>
      </c>
      <c r="F4" s="587">
        <v>2.5</v>
      </c>
      <c r="G4" s="587">
        <v>2.5</v>
      </c>
      <c r="H4" s="587">
        <v>2.5</v>
      </c>
      <c r="I4" s="586">
        <v>1.5</v>
      </c>
      <c r="J4" s="586">
        <v>1.5</v>
      </c>
      <c r="K4" s="586">
        <v>1.5</v>
      </c>
      <c r="L4" s="586">
        <v>1.5</v>
      </c>
      <c r="M4" s="638">
        <v>1.5</v>
      </c>
    </row>
    <row r="5" spans="1:13">
      <c r="A5" s="588" t="s">
        <v>1765</v>
      </c>
      <c r="B5" s="586">
        <v>1.5</v>
      </c>
      <c r="C5" s="586">
        <v>1.5</v>
      </c>
      <c r="D5" s="586">
        <v>1.5</v>
      </c>
      <c r="E5" s="586">
        <v>1.5</v>
      </c>
      <c r="F5" s="586">
        <v>1.5</v>
      </c>
      <c r="G5" s="586">
        <v>1.2</v>
      </c>
      <c r="H5" s="586">
        <v>1.2</v>
      </c>
      <c r="I5" s="586">
        <v>1</v>
      </c>
      <c r="J5" s="586">
        <v>1</v>
      </c>
      <c r="K5" s="586">
        <v>1</v>
      </c>
      <c r="L5" s="586">
        <v>1</v>
      </c>
      <c r="M5" s="638">
        <v>1</v>
      </c>
    </row>
    <row r="6" spans="1:13">
      <c r="A6" s="589" t="s">
        <v>1766</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1767</v>
      </c>
      <c r="B8" s="594">
        <v>80</v>
      </c>
      <c r="C8" s="594">
        <v>80</v>
      </c>
      <c r="D8" s="594">
        <v>70</v>
      </c>
      <c r="E8" s="594">
        <v>70</v>
      </c>
      <c r="F8" s="594">
        <v>70</v>
      </c>
      <c r="G8" s="594">
        <v>70</v>
      </c>
      <c r="H8" s="594">
        <v>70</v>
      </c>
      <c r="I8" s="594">
        <v>60</v>
      </c>
      <c r="J8" s="594">
        <v>60</v>
      </c>
      <c r="K8" s="594">
        <v>60</v>
      </c>
      <c r="L8" s="594">
        <v>60</v>
      </c>
      <c r="M8" s="643">
        <v>60</v>
      </c>
    </row>
    <row r="9" spans="1:13">
      <c r="A9" s="595" t="s">
        <v>1768</v>
      </c>
      <c r="B9" s="596">
        <v>70</v>
      </c>
      <c r="C9" s="596">
        <v>70</v>
      </c>
      <c r="D9" s="596">
        <v>60</v>
      </c>
      <c r="E9" s="596">
        <v>60</v>
      </c>
      <c r="F9" s="596">
        <v>60</v>
      </c>
      <c r="G9" s="596">
        <v>60</v>
      </c>
      <c r="H9" s="596">
        <v>60</v>
      </c>
      <c r="I9" s="596">
        <v>50</v>
      </c>
      <c r="J9" s="596">
        <v>50</v>
      </c>
      <c r="K9" s="596">
        <v>50</v>
      </c>
      <c r="L9" s="596">
        <v>50</v>
      </c>
      <c r="M9" s="644">
        <v>50</v>
      </c>
    </row>
    <row r="10" spans="1:13">
      <c r="A10" s="595" t="s">
        <v>1769</v>
      </c>
      <c r="B10" s="596">
        <v>20</v>
      </c>
      <c r="C10" s="596">
        <v>20</v>
      </c>
      <c r="D10" s="596">
        <v>15</v>
      </c>
      <c r="E10" s="596">
        <v>15</v>
      </c>
      <c r="F10" s="596">
        <v>15</v>
      </c>
      <c r="G10" s="596">
        <v>15</v>
      </c>
      <c r="H10" s="596">
        <v>15</v>
      </c>
      <c r="I10" s="596">
        <v>10</v>
      </c>
      <c r="J10" s="596">
        <v>10</v>
      </c>
      <c r="K10" s="596">
        <v>10</v>
      </c>
      <c r="L10" s="596">
        <v>10</v>
      </c>
      <c r="M10" s="644">
        <v>10</v>
      </c>
    </row>
    <row r="11" spans="1:13">
      <c r="A11" s="595" t="s">
        <v>1770</v>
      </c>
      <c r="B11" s="596">
        <v>30</v>
      </c>
      <c r="C11" s="596">
        <v>30</v>
      </c>
      <c r="D11" s="596">
        <v>25</v>
      </c>
      <c r="E11" s="596">
        <v>25</v>
      </c>
      <c r="F11" s="596">
        <v>25</v>
      </c>
      <c r="G11" s="596">
        <v>25</v>
      </c>
      <c r="H11" s="596">
        <v>25</v>
      </c>
      <c r="I11" s="596">
        <v>20</v>
      </c>
      <c r="J11" s="596">
        <v>20</v>
      </c>
      <c r="K11" s="596">
        <v>20</v>
      </c>
      <c r="L11" s="596">
        <v>20</v>
      </c>
      <c r="M11" s="644">
        <v>20</v>
      </c>
    </row>
    <row r="12" spans="1:13">
      <c r="A12" s="595" t="s">
        <v>1771</v>
      </c>
      <c r="B12" s="596">
        <v>45</v>
      </c>
      <c r="C12" s="596">
        <v>45</v>
      </c>
      <c r="D12" s="596">
        <v>40</v>
      </c>
      <c r="E12" s="596">
        <v>40</v>
      </c>
      <c r="F12" s="596">
        <v>40</v>
      </c>
      <c r="G12" s="596">
        <v>40</v>
      </c>
      <c r="H12" s="596">
        <v>40</v>
      </c>
      <c r="I12" s="596">
        <v>35</v>
      </c>
      <c r="J12" s="596">
        <v>35</v>
      </c>
      <c r="K12" s="596">
        <v>35</v>
      </c>
      <c r="L12" s="596">
        <v>35</v>
      </c>
      <c r="M12" s="644">
        <v>35</v>
      </c>
    </row>
    <row r="13" spans="1:13">
      <c r="A13" s="595" t="s">
        <v>1772</v>
      </c>
      <c r="B13" s="596">
        <v>60</v>
      </c>
      <c r="C13" s="596">
        <v>60</v>
      </c>
      <c r="D13" s="596">
        <v>50</v>
      </c>
      <c r="E13" s="596">
        <v>50</v>
      </c>
      <c r="F13" s="596">
        <v>50</v>
      </c>
      <c r="G13" s="596">
        <v>50</v>
      </c>
      <c r="H13" s="596">
        <v>50</v>
      </c>
      <c r="I13" s="596">
        <v>40</v>
      </c>
      <c r="J13" s="596">
        <v>40</v>
      </c>
      <c r="K13" s="596">
        <v>40</v>
      </c>
      <c r="L13" s="596">
        <v>40</v>
      </c>
      <c r="M13" s="644">
        <v>40</v>
      </c>
    </row>
    <row r="14" spans="1:13">
      <c r="A14" s="595" t="s">
        <v>1773</v>
      </c>
      <c r="B14" s="596">
        <v>50</v>
      </c>
      <c r="C14" s="596">
        <v>50</v>
      </c>
      <c r="D14" s="596">
        <v>40</v>
      </c>
      <c r="E14" s="596">
        <v>40</v>
      </c>
      <c r="F14" s="596">
        <v>40</v>
      </c>
      <c r="G14" s="596">
        <v>40</v>
      </c>
      <c r="H14" s="596">
        <v>40</v>
      </c>
      <c r="I14" s="596">
        <v>30</v>
      </c>
      <c r="J14" s="596">
        <v>30</v>
      </c>
      <c r="K14" s="596">
        <v>30</v>
      </c>
      <c r="L14" s="596">
        <v>30</v>
      </c>
      <c r="M14" s="644">
        <v>30</v>
      </c>
    </row>
    <row r="15" spans="1:13">
      <c r="A15" s="597" t="s">
        <v>1774</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1776</v>
      </c>
      <c r="B18" s="599"/>
      <c r="C18" s="600"/>
      <c r="D18" s="600"/>
      <c r="E18" s="599"/>
      <c r="F18" s="600"/>
      <c r="G18" s="600"/>
    </row>
    <row r="19" ht="15.15" spans="1:7">
      <c r="A19" s="598" t="s">
        <v>1777</v>
      </c>
      <c r="B19" s="601" t="s">
        <v>1778</v>
      </c>
      <c r="C19" s="601" t="s">
        <v>1779</v>
      </c>
      <c r="D19" s="602"/>
      <c r="E19" s="598" t="s">
        <v>1780</v>
      </c>
      <c r="F19" s="603"/>
      <c r="G19" s="603"/>
    </row>
    <row r="20" spans="1:7">
      <c r="A20" s="604" t="s">
        <v>1563</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1568</v>
      </c>
      <c r="D23" s="613"/>
      <c r="E23" s="614">
        <v>0.9</v>
      </c>
      <c r="F23" s="609" t="s">
        <v>1788</v>
      </c>
      <c r="G23" s="609"/>
    </row>
    <row r="24" spans="1:7">
      <c r="A24" s="610"/>
      <c r="B24" s="611"/>
      <c r="C24" s="612" t="s">
        <v>1789</v>
      </c>
      <c r="D24" s="613"/>
      <c r="E24" s="614">
        <v>0.8</v>
      </c>
      <c r="F24" s="609" t="s">
        <v>1790</v>
      </c>
      <c r="G24" s="609"/>
    </row>
    <row r="25" ht="15.15" spans="1:7">
      <c r="A25" s="615"/>
      <c r="B25" s="616"/>
      <c r="C25" s="617" t="s">
        <v>1791</v>
      </c>
      <c r="D25" s="618"/>
      <c r="E25" s="619">
        <v>0.8</v>
      </c>
      <c r="F25" s="609" t="s">
        <v>1792</v>
      </c>
      <c r="G25" s="609"/>
    </row>
    <row r="26" ht="15.15" spans="1:7">
      <c r="A26" s="620" t="s">
        <v>1763</v>
      </c>
      <c r="B26" s="621" t="s">
        <v>1781</v>
      </c>
      <c r="C26" s="622" t="s">
        <v>1793</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5.15" spans="1:7">
      <c r="A39" s="628"/>
      <c r="B39" s="616"/>
      <c r="C39" s="617" t="s">
        <v>1820</v>
      </c>
      <c r="D39" s="618"/>
      <c r="E39" s="619">
        <v>0.6</v>
      </c>
      <c r="F39" s="609" t="s">
        <v>1821</v>
      </c>
      <c r="G39" s="609"/>
    </row>
    <row r="40" ht="15.15" spans="1:7">
      <c r="A40" s="620" t="s">
        <v>1764</v>
      </c>
      <c r="B40" s="621" t="s">
        <v>1764</v>
      </c>
      <c r="C40" s="622" t="s">
        <v>1822</v>
      </c>
      <c r="D40" s="623"/>
      <c r="E40" s="624">
        <v>1</v>
      </c>
      <c r="F40" s="609" t="s">
        <v>1823</v>
      </c>
      <c r="G40" s="609"/>
    </row>
    <row r="41" spans="1:7">
      <c r="A41" s="604" t="s">
        <v>1765</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1766</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5.1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1563</v>
      </c>
      <c r="C55" s="598" t="s">
        <v>1563</v>
      </c>
      <c r="D55" s="598" t="s">
        <v>1563</v>
      </c>
      <c r="E55" s="596" t="s">
        <v>1763</v>
      </c>
      <c r="F55" s="596" t="s">
        <v>1765</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1858</v>
      </c>
      <c r="D72" s="630"/>
      <c r="E72" s="630" t="s">
        <v>124</v>
      </c>
      <c r="F72" s="630" t="s">
        <v>124</v>
      </c>
    </row>
    <row r="73" spans="1:6">
      <c r="A73" s="630">
        <v>1</v>
      </c>
      <c r="B73" s="627" t="s">
        <v>1859</v>
      </c>
      <c r="C73" s="596" t="s">
        <v>1860</v>
      </c>
      <c r="D73" s="596" t="s">
        <v>1861</v>
      </c>
      <c r="E73" s="630">
        <v>0.2</v>
      </c>
      <c r="F73" s="630">
        <v>25</v>
      </c>
    </row>
    <row r="74" ht="24" spans="1:6">
      <c r="A74" s="630">
        <v>2</v>
      </c>
      <c r="B74" s="611"/>
      <c r="C74" s="596" t="s">
        <v>1862</v>
      </c>
      <c r="D74" s="596" t="s">
        <v>1863</v>
      </c>
      <c r="E74" s="630">
        <v>0.2</v>
      </c>
      <c r="F74" s="630">
        <v>25</v>
      </c>
    </row>
    <row r="75" ht="24" spans="1:6">
      <c r="A75" s="630">
        <v>3</v>
      </c>
      <c r="B75" s="611"/>
      <c r="C75" s="596" t="s">
        <v>1864</v>
      </c>
      <c r="D75" s="596" t="s">
        <v>1865</v>
      </c>
      <c r="E75" s="630">
        <v>0.2</v>
      </c>
      <c r="F75" s="630">
        <v>25</v>
      </c>
    </row>
    <row r="76" spans="1:6">
      <c r="A76" s="630">
        <v>4</v>
      </c>
      <c r="B76" s="611"/>
      <c r="C76" s="596" t="s">
        <v>1866</v>
      </c>
      <c r="D76" s="596" t="s">
        <v>1867</v>
      </c>
      <c r="E76" s="630">
        <v>0.15</v>
      </c>
      <c r="F76" s="630">
        <v>20</v>
      </c>
    </row>
    <row r="77" ht="24" spans="1:6">
      <c r="A77" s="630">
        <v>5</v>
      </c>
      <c r="B77" s="611"/>
      <c r="C77" s="596" t="s">
        <v>1868</v>
      </c>
      <c r="D77" s="596" t="s">
        <v>1869</v>
      </c>
      <c r="E77" s="630">
        <v>0.15</v>
      </c>
      <c r="F77" s="630">
        <v>20</v>
      </c>
    </row>
    <row r="78" ht="24" spans="1:6">
      <c r="A78" s="630">
        <v>6</v>
      </c>
      <c r="B78" s="611"/>
      <c r="C78" s="596" t="s">
        <v>1870</v>
      </c>
      <c r="D78" s="596" t="s">
        <v>1871</v>
      </c>
      <c r="E78" s="630">
        <v>0.15</v>
      </c>
      <c r="F78" s="630">
        <v>20</v>
      </c>
    </row>
    <row r="79" ht="24" spans="1:6">
      <c r="A79" s="630">
        <v>7</v>
      </c>
      <c r="B79" s="611"/>
      <c r="C79" s="596" t="s">
        <v>1872</v>
      </c>
      <c r="D79" s="596" t="s">
        <v>1873</v>
      </c>
      <c r="E79" s="630">
        <v>0.15</v>
      </c>
      <c r="F79" s="630">
        <v>20</v>
      </c>
    </row>
    <row r="80" ht="24" spans="1:6">
      <c r="A80" s="630">
        <v>8</v>
      </c>
      <c r="B80" s="611"/>
      <c r="C80" s="596" t="s">
        <v>1874</v>
      </c>
      <c r="D80" s="596" t="s">
        <v>1875</v>
      </c>
      <c r="E80" s="630">
        <v>0.1</v>
      </c>
      <c r="F80" s="630">
        <v>15</v>
      </c>
    </row>
    <row r="81" ht="24" spans="1:6">
      <c r="A81" s="630">
        <v>9</v>
      </c>
      <c r="B81" s="611"/>
      <c r="C81" s="596" t="s">
        <v>1876</v>
      </c>
      <c r="D81" s="596" t="s">
        <v>1877</v>
      </c>
      <c r="E81" s="630">
        <v>0.1</v>
      </c>
      <c r="F81" s="630">
        <v>15</v>
      </c>
    </row>
    <row r="82" ht="24" spans="1:6">
      <c r="A82" s="630">
        <v>10</v>
      </c>
      <c r="B82" s="611"/>
      <c r="C82" s="596" t="s">
        <v>1878</v>
      </c>
      <c r="D82" s="596" t="s">
        <v>1879</v>
      </c>
      <c r="E82" s="630">
        <v>0.1</v>
      </c>
      <c r="F82" s="630">
        <v>15</v>
      </c>
    </row>
    <row r="83" ht="24" spans="1:6">
      <c r="A83" s="630">
        <v>11</v>
      </c>
      <c r="B83" s="611"/>
      <c r="C83" s="596" t="s">
        <v>1880</v>
      </c>
      <c r="D83" s="596" t="s">
        <v>1881</v>
      </c>
      <c r="E83" s="630">
        <v>0.1</v>
      </c>
      <c r="F83" s="630">
        <v>15</v>
      </c>
    </row>
    <row r="84" ht="36" spans="1:6">
      <c r="A84" s="630">
        <v>12</v>
      </c>
      <c r="B84" s="611"/>
      <c r="C84" s="596" t="s">
        <v>1882</v>
      </c>
      <c r="D84" s="596" t="s">
        <v>1883</v>
      </c>
      <c r="E84" s="630">
        <v>0.1</v>
      </c>
      <c r="F84" s="630">
        <v>15</v>
      </c>
    </row>
    <row r="85" ht="24" spans="1:6">
      <c r="A85" s="630">
        <v>13</v>
      </c>
      <c r="B85" s="611"/>
      <c r="C85" s="596" t="s">
        <v>1884</v>
      </c>
      <c r="D85" s="596" t="s">
        <v>1885</v>
      </c>
      <c r="E85" s="630">
        <v>0.1</v>
      </c>
      <c r="F85" s="630">
        <v>15</v>
      </c>
    </row>
    <row r="86" ht="24" spans="1:6">
      <c r="A86" s="630">
        <v>14</v>
      </c>
      <c r="B86" s="611"/>
      <c r="C86" s="596" t="s">
        <v>1886</v>
      </c>
      <c r="D86" s="596" t="s">
        <v>1887</v>
      </c>
      <c r="E86" s="630">
        <v>0.1</v>
      </c>
      <c r="F86" s="630">
        <v>15</v>
      </c>
    </row>
    <row r="87" ht="24" spans="1:6">
      <c r="A87" s="630">
        <v>15</v>
      </c>
      <c r="B87" s="611"/>
      <c r="C87" s="596" t="s">
        <v>1586</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0.9732</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0.9218</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796296296296" style="546" customWidth="1"/>
    <col min="2" max="2" width="12.5" style="546" customWidth="1"/>
    <col min="3" max="3" width="12.1296296296296" style="546" customWidth="1"/>
    <col min="4" max="4" width="14.1296296296296" style="546" customWidth="1"/>
    <col min="5" max="5" width="12.5"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7737</v>
      </c>
      <c r="C2" s="550" t="s">
        <v>2017</v>
      </c>
      <c r="D2" s="550" t="s">
        <v>2018</v>
      </c>
      <c r="E2" s="552">
        <f ca="1">SUMIF(E6:E13,"&lt;&gt;#ref!",E6:E13)</f>
        <v>3326.64</v>
      </c>
      <c r="F2" s="549"/>
      <c r="G2" s="549"/>
      <c r="H2" s="549"/>
      <c r="I2" s="549"/>
      <c r="J2" s="549"/>
      <c r="K2" s="549"/>
      <c r="L2" s="549"/>
      <c r="M2" s="549"/>
      <c r="N2" s="549"/>
      <c r="O2" s="549"/>
      <c r="P2" s="549"/>
    </row>
    <row r="3" ht="15.6" spans="1:16">
      <c r="A3" s="550" t="s">
        <v>2019</v>
      </c>
      <c r="B3" s="551">
        <f ca="1">ROUND(B2*10000/E2,0)</f>
        <v>23258</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7737</v>
      </c>
      <c r="C6" s="550" t="s">
        <v>2017</v>
      </c>
      <c r="D6" s="549"/>
      <c r="E6" s="552">
        <f ca="1">SUMIF(INDIRECT("'"&amp;A6&amp;"'"&amp;"!C:C"),"建筑面积",INDIRECT("'"&amp;A6&amp;"'"&amp;"!D:D"))</f>
        <v>3326.64</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962962962963" style="439" customWidth="1"/>
    <col min="21" max="23" width="7.12962962962963"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1763</v>
      </c>
      <c r="E2" s="168" t="s">
        <v>288</v>
      </c>
      <c r="F2" s="168" t="s">
        <v>1764</v>
      </c>
      <c r="G2" s="167" t="s">
        <v>2033</v>
      </c>
      <c r="H2" s="165"/>
      <c r="I2" s="166"/>
      <c r="J2" s="167" t="s">
        <v>2031</v>
      </c>
      <c r="K2" s="168" t="s">
        <v>1781</v>
      </c>
      <c r="L2" s="168" t="s">
        <v>1764</v>
      </c>
      <c r="M2" s="167" t="s">
        <v>2033</v>
      </c>
      <c r="N2" s="191"/>
      <c r="O2" s="167" t="s">
        <v>2031</v>
      </c>
      <c r="P2" s="168" t="s">
        <v>1781</v>
      </c>
      <c r="Q2" s="168" t="s">
        <v>1764</v>
      </c>
      <c r="R2" s="167" t="s">
        <v>2033</v>
      </c>
      <c r="S2" s="191"/>
      <c r="T2" s="167" t="s">
        <v>2031</v>
      </c>
      <c r="U2" s="168" t="s">
        <v>1781</v>
      </c>
      <c r="V2" s="168" t="s">
        <v>1764</v>
      </c>
      <c r="W2" s="167" t="s">
        <v>2033</v>
      </c>
      <c r="X2" s="191"/>
      <c r="Y2" s="167" t="s">
        <v>2031</v>
      </c>
      <c r="Z2" s="500" t="s">
        <v>2032</v>
      </c>
      <c r="AA2" s="501" t="s">
        <v>1763</v>
      </c>
      <c r="AB2" s="168" t="s">
        <v>288</v>
      </c>
      <c r="AC2" s="502" t="s">
        <v>1764</v>
      </c>
      <c r="AD2" s="167" t="s">
        <v>2033</v>
      </c>
      <c r="AE2" s="191"/>
      <c r="AF2" s="167" t="s">
        <v>2031</v>
      </c>
      <c r="AG2" s="500" t="s">
        <v>2032</v>
      </c>
      <c r="AH2" s="501" t="s">
        <v>1763</v>
      </c>
      <c r="AI2" s="168" t="s">
        <v>288</v>
      </c>
      <c r="AJ2" s="502" t="s">
        <v>1764</v>
      </c>
      <c r="AK2" s="167" t="s">
        <v>2033</v>
      </c>
    </row>
    <row r="3" s="433" customFormat="1" ht="14.4"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1630</v>
      </c>
    </row>
    <row r="2" s="312" customFormat="1" spans="1:45">
      <c r="A2" s="324"/>
      <c r="B2" s="325" t="s">
        <v>366</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706</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366</v>
      </c>
      <c r="C23" s="378" t="s">
        <v>1630</v>
      </c>
      <c r="D23" s="378" t="str">
        <f>B5</f>
        <v>修正项2</v>
      </c>
      <c r="E23" s="378" t="s">
        <v>1630</v>
      </c>
      <c r="F23" s="378" t="str">
        <f>B7</f>
        <v>修正项3</v>
      </c>
      <c r="G23" s="378" t="s">
        <v>1630</v>
      </c>
      <c r="H23" s="378" t="str">
        <f>B9</f>
        <v>修正项4</v>
      </c>
      <c r="I23" s="378" t="s">
        <v>1630</v>
      </c>
      <c r="J23" s="378" t="str">
        <f>B11</f>
        <v>修正项5</v>
      </c>
      <c r="K23" s="378" t="s">
        <v>1630</v>
      </c>
      <c r="L23" s="378" t="str">
        <f>B13</f>
        <v>修正项6</v>
      </c>
      <c r="M23" s="378" t="s">
        <v>1630</v>
      </c>
      <c r="N23" s="378" t="str">
        <f>B15</f>
        <v>修正项7</v>
      </c>
      <c r="O23" s="378" t="s">
        <v>1630</v>
      </c>
      <c r="P23" s="378" t="str">
        <f>B17</f>
        <v>楼层</v>
      </c>
      <c r="Q23" s="378" t="s">
        <v>1630</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A1" sqref="$A1:$XFD1048576"/>
    </sheetView>
  </sheetViews>
  <sheetFormatPr defaultColWidth="8.37962962962963" defaultRowHeight="13.2" outlineLevelCol="6"/>
  <cols>
    <col min="1" max="1" width="9.37962962962963" style="240" customWidth="1"/>
    <col min="2" max="2" width="29.25" style="241" customWidth="1"/>
    <col min="3" max="3" width="16.5" style="241" customWidth="1"/>
    <col min="4" max="4" width="18.5" style="242" customWidth="1"/>
    <col min="5" max="5" width="11.25" style="242" customWidth="1"/>
    <col min="6" max="6" width="9.5" style="241" customWidth="1"/>
    <col min="7" max="7" width="31.8796296296296" style="241" customWidth="1"/>
    <col min="8" max="254" width="9" style="241" customWidth="1"/>
    <col min="255" max="16384" width="8.3796296296296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893</v>
      </c>
      <c r="B5" s="256" t="s">
        <v>2148</v>
      </c>
      <c r="C5" s="257">
        <f>C6+C7+C8</f>
        <v>20000</v>
      </c>
      <c r="D5" s="257" t="s">
        <v>2149</v>
      </c>
      <c r="E5" s="257" t="s">
        <v>2150</v>
      </c>
      <c r="F5" s="257" t="s">
        <v>2151</v>
      </c>
      <c r="G5" s="258"/>
    </row>
    <row r="6" s="237" customFormat="1" ht="13.5" customHeight="1" spans="1:7">
      <c r="A6" s="259" t="s">
        <v>897</v>
      </c>
      <c r="B6" s="260" t="s">
        <v>2152</v>
      </c>
      <c r="C6" s="261">
        <v>20000</v>
      </c>
      <c r="D6" s="262"/>
      <c r="E6" s="262"/>
      <c r="F6" s="262"/>
      <c r="G6" s="263"/>
    </row>
    <row r="7" s="237" customFormat="1" ht="13.5" customHeight="1" spans="1:7">
      <c r="A7" s="259" t="s">
        <v>899</v>
      </c>
      <c r="B7" s="260" t="s">
        <v>2153</v>
      </c>
      <c r="C7" s="262">
        <f>ROUND(C6*F7,0)</f>
        <v>0</v>
      </c>
      <c r="D7" s="262"/>
      <c r="E7" s="262"/>
      <c r="F7" s="262">
        <f>'数据-取费表'!B48+'数据-取费表'!B49</f>
        <v>0</v>
      </c>
      <c r="G7" s="263"/>
    </row>
    <row r="8" s="238" customFormat="1" spans="1:7">
      <c r="A8" s="259" t="s">
        <v>901</v>
      </c>
      <c r="B8" s="260" t="s">
        <v>2154</v>
      </c>
      <c r="C8" s="262" t="str">
        <f>IF(G8="已包含在土地购买价格中","0",'数据-取费表'!B29)</f>
        <v>0</v>
      </c>
      <c r="D8" s="264"/>
      <c r="E8" s="262"/>
      <c r="F8" s="262"/>
      <c r="G8" s="265" t="s">
        <v>2155</v>
      </c>
    </row>
    <row r="9" s="237" customFormat="1" ht="13.5" customHeight="1" spans="1:7">
      <c r="A9" s="266" t="s">
        <v>903</v>
      </c>
      <c r="B9" s="267" t="s">
        <v>2156</v>
      </c>
      <c r="C9" s="268">
        <f>ROUND(D9*E9/10000,0)</f>
        <v>0</v>
      </c>
      <c r="D9" s="269">
        <f>'数据-汇总表'!E5</f>
        <v>0</v>
      </c>
      <c r="E9" s="268">
        <f>'数据-取费表'!B27</f>
        <v>0</v>
      </c>
      <c r="F9" s="262"/>
      <c r="G9" s="270"/>
    </row>
    <row r="10" s="237" customFormat="1" ht="13.5" customHeight="1" spans="1:7">
      <c r="A10" s="266" t="s">
        <v>906</v>
      </c>
      <c r="B10" s="267" t="s">
        <v>2157</v>
      </c>
      <c r="C10" s="268">
        <f>ROUND(D10*E10/10000,0)</f>
        <v>0</v>
      </c>
      <c r="D10" s="269">
        <f>'数据-汇总表'!E6</f>
        <v>0</v>
      </c>
      <c r="E10" s="268">
        <f>'数据-取费表'!B28</f>
        <v>0</v>
      </c>
      <c r="F10" s="262"/>
      <c r="G10" s="270"/>
    </row>
    <row r="11" s="237" customFormat="1" ht="13.5" hidden="1" customHeight="1" spans="1:7">
      <c r="A11" s="271" t="s">
        <v>908</v>
      </c>
      <c r="B11" s="260" t="s">
        <v>2158</v>
      </c>
      <c r="C11" s="257"/>
      <c r="D11" s="262"/>
      <c r="E11" s="262"/>
      <c r="F11" s="262"/>
      <c r="G11" s="263"/>
    </row>
    <row r="12" s="237" customFormat="1" ht="13.5" hidden="1" customHeight="1" spans="1:7">
      <c r="A12" s="271" t="s">
        <v>910</v>
      </c>
      <c r="B12" s="260" t="s">
        <v>2159</v>
      </c>
      <c r="C12" s="257">
        <v>0</v>
      </c>
      <c r="D12" s="262"/>
      <c r="E12" s="272"/>
      <c r="F12" s="262">
        <v>0.0305</v>
      </c>
      <c r="G12" s="263"/>
    </row>
    <row r="13" s="237" customFormat="1" ht="13.5" hidden="1" customHeight="1" spans="1:7">
      <c r="A13" s="271" t="s">
        <v>911</v>
      </c>
      <c r="B13" s="260" t="s">
        <v>2160</v>
      </c>
      <c r="C13" s="257"/>
      <c r="D13" s="262"/>
      <c r="E13" s="262"/>
      <c r="F13" s="262"/>
      <c r="G13" s="263"/>
    </row>
    <row r="14" s="237" customFormat="1" ht="13.5" hidden="1" customHeight="1" spans="1:7">
      <c r="A14" s="271" t="s">
        <v>913</v>
      </c>
      <c r="B14" s="260" t="s">
        <v>2154</v>
      </c>
      <c r="C14" s="257"/>
      <c r="D14" s="262"/>
      <c r="E14" s="262"/>
      <c r="F14" s="262"/>
      <c r="G14" s="263" t="s">
        <v>2161</v>
      </c>
    </row>
    <row r="15" s="237" customFormat="1" ht="13.5" hidden="1" customHeight="1" spans="1:7">
      <c r="A15" s="271" t="s">
        <v>915</v>
      </c>
      <c r="B15" s="260" t="s">
        <v>2162</v>
      </c>
      <c r="C15" s="262"/>
      <c r="D15" s="262"/>
      <c r="E15" s="262"/>
      <c r="F15" s="262"/>
      <c r="G15" s="263" t="s">
        <v>2163</v>
      </c>
    </row>
    <row r="16" s="237" customFormat="1" ht="13.5" hidden="1" customHeight="1" spans="1:7">
      <c r="A16" s="271" t="s">
        <v>918</v>
      </c>
      <c r="B16" s="260" t="s">
        <v>2154</v>
      </c>
      <c r="C16" s="262"/>
      <c r="D16" s="262"/>
      <c r="E16" s="262"/>
      <c r="F16" s="262"/>
      <c r="G16" s="263"/>
    </row>
    <row r="17" s="237" customFormat="1" ht="13.5" hidden="1" customHeight="1" spans="1:7">
      <c r="A17" s="271" t="s">
        <v>919</v>
      </c>
      <c r="B17" s="260" t="s">
        <v>2164</v>
      </c>
      <c r="C17" s="273"/>
      <c r="D17" s="273"/>
      <c r="E17" s="273"/>
      <c r="F17" s="273"/>
      <c r="G17" s="263" t="s">
        <v>2163</v>
      </c>
    </row>
    <row r="18" s="237" customFormat="1" ht="13.5" hidden="1" customHeight="1" spans="1:7">
      <c r="A18" s="271" t="s">
        <v>921</v>
      </c>
      <c r="B18" s="260" t="s">
        <v>2165</v>
      </c>
      <c r="C18" s="262">
        <v>0</v>
      </c>
      <c r="D18" s="262"/>
      <c r="E18" s="262"/>
      <c r="F18" s="262">
        <v>0.0305</v>
      </c>
      <c r="G18" s="263" t="s">
        <v>2166</v>
      </c>
    </row>
    <row r="19" s="238" customFormat="1" ht="13.5" customHeight="1" spans="1:7">
      <c r="A19" s="274" t="s">
        <v>1579</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1616</v>
      </c>
      <c r="B20" s="256" t="s">
        <v>2169</v>
      </c>
      <c r="C20" s="276">
        <f>ROUND((C5+C19)*F20,0)</f>
        <v>0</v>
      </c>
      <c r="D20" s="276"/>
      <c r="E20" s="276"/>
      <c r="F20" s="275">
        <f>'数据-取费表'!B37</f>
        <v>0</v>
      </c>
      <c r="G20" s="277" t="s">
        <v>2170</v>
      </c>
    </row>
    <row r="21" s="237" customFormat="1" ht="13.5" customHeight="1" spans="1:7">
      <c r="A21" s="274" t="s">
        <v>1621</v>
      </c>
      <c r="B21" s="256" t="s">
        <v>2171</v>
      </c>
      <c r="C21" s="278">
        <f>F21</f>
        <v>0</v>
      </c>
      <c r="D21" s="279" t="s">
        <v>2172</v>
      </c>
      <c r="E21" s="276"/>
      <c r="F21" s="275">
        <f>'数据-取费表'!B38</f>
        <v>0</v>
      </c>
      <c r="G21" s="280" t="s">
        <v>2173</v>
      </c>
    </row>
    <row r="22" s="237" customFormat="1" ht="13.5" customHeight="1" spans="1:7">
      <c r="A22" s="274" t="s">
        <v>1631</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897</v>
      </c>
      <c r="B23" s="260" t="s">
        <v>2175</v>
      </c>
      <c r="C23" s="283" t="e">
        <f ca="1">ROUND(IF('数据-取费表'!B22&lt;=1,C5*F22*'数据-取费表'!B23,C5*(POWER((1+F22),'数据-取费表'!B23)-1)),0)</f>
        <v>#VALUE!</v>
      </c>
      <c r="D23" s="283"/>
      <c r="E23" s="283"/>
      <c r="F23" s="284"/>
      <c r="G23" s="285" t="s">
        <v>2176</v>
      </c>
    </row>
    <row r="24" s="237" customFormat="1" ht="13.5" customHeight="1" spans="1:7">
      <c r="A24" s="282" t="s">
        <v>899</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901</v>
      </c>
      <c r="B25" s="260" t="s">
        <v>2179</v>
      </c>
      <c r="C25" s="283" t="e">
        <f ca="1">ROUND(IF('数据-取费表'!B22&lt;=1,C20*F22*'数据-取费表'!B23/2,C20*(POWER((1+F22),'数据-取费表'!B23/2)-1)),0)</f>
        <v>#VALUE!</v>
      </c>
      <c r="D25" s="283"/>
      <c r="E25" s="286"/>
      <c r="F25" s="284"/>
      <c r="G25" s="287" t="s">
        <v>2180</v>
      </c>
    </row>
    <row r="26" s="237" customFormat="1" spans="1:7">
      <c r="A26" s="282" t="s">
        <v>941</v>
      </c>
      <c r="B26" s="260" t="s">
        <v>2181</v>
      </c>
      <c r="C26" s="283" t="e">
        <f ca="1">ROUND(IF('数据-取费表'!B22&lt;=1,F21*F22*'数据-取费表'!B23/2,F21*(POWER((1+F22),'数据-取费表'!B23/2)-1)),4)</f>
        <v>#VALUE!</v>
      </c>
      <c r="D26" s="283"/>
      <c r="E26" s="286"/>
      <c r="F26" s="284"/>
      <c r="G26" s="288"/>
    </row>
    <row r="27" s="237" customFormat="1" ht="26.4" spans="1:7">
      <c r="A27" s="274" t="s">
        <v>1640</v>
      </c>
      <c r="B27" s="289" t="s">
        <v>2182</v>
      </c>
      <c r="C27" s="290" t="e">
        <f>C28</f>
        <v>#DIV/0!</v>
      </c>
      <c r="D27" s="278" t="e">
        <f>C29</f>
        <v>#DIV/0!</v>
      </c>
      <c r="E27" s="279" t="s">
        <v>2172</v>
      </c>
      <c r="F27" s="281" t="e">
        <f>'数据-取费表'!Q16</f>
        <v>#DIV/0!</v>
      </c>
      <c r="G27" s="291" t="s">
        <v>2183</v>
      </c>
    </row>
    <row r="28" s="237" customFormat="1" ht="13.5" customHeight="1" spans="1:7">
      <c r="A28" s="282" t="s">
        <v>897</v>
      </c>
      <c r="B28" s="292" t="s">
        <v>2184</v>
      </c>
      <c r="C28" s="293" t="e">
        <f>ROUND((C5+C19+C20)*F27*'数据-取费表'!B21/'数据-取费表'!B20,0)</f>
        <v>#DIV/0!</v>
      </c>
      <c r="D28" s="278"/>
      <c r="E28" s="279"/>
      <c r="F28" s="281"/>
      <c r="G28" s="291"/>
    </row>
    <row r="29" s="237" customFormat="1" ht="13.5" customHeight="1" spans="1:7">
      <c r="A29" s="282" t="s">
        <v>899</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893</v>
      </c>
      <c r="B33" s="256" t="s">
        <v>2193</v>
      </c>
      <c r="C33" s="276">
        <f>SUM(C34:C38)</f>
        <v>0</v>
      </c>
      <c r="D33" s="276"/>
      <c r="E33" s="257"/>
      <c r="F33" s="286"/>
      <c r="G33" s="280"/>
    </row>
    <row r="34" s="239" customFormat="1" ht="13.5" customHeight="1" spans="1:7">
      <c r="A34" s="282" t="s">
        <v>897</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899</v>
      </c>
      <c r="B35" s="260" t="s">
        <v>2196</v>
      </c>
      <c r="C35" s="262">
        <f>ROUND(C34*F35,0)</f>
        <v>0</v>
      </c>
      <c r="D35" s="262"/>
      <c r="E35" s="262"/>
      <c r="F35" s="297">
        <f>'数据-取费表'!B33</f>
        <v>0</v>
      </c>
      <c r="G35" s="263" t="s">
        <v>2197</v>
      </c>
    </row>
    <row r="36" ht="24" spans="1:7">
      <c r="A36" s="282" t="s">
        <v>901</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941</v>
      </c>
      <c r="B37" s="260" t="s">
        <v>2200</v>
      </c>
      <c r="C37" s="293">
        <f>ROUND(E37*D37*F34/10000,0)</f>
        <v>0</v>
      </c>
      <c r="D37" s="262">
        <f>'数据-汇总表'!E3</f>
        <v>0</v>
      </c>
      <c r="E37" s="293">
        <f>'数据-取费表'!B35</f>
        <v>0</v>
      </c>
      <c r="F37" s="297"/>
      <c r="G37" s="299" t="s">
        <v>2201</v>
      </c>
    </row>
    <row r="38" ht="13.5" customHeight="1" spans="1:7">
      <c r="A38" s="282" t="s">
        <v>963</v>
      </c>
      <c r="B38" s="260" t="s">
        <v>2159</v>
      </c>
      <c r="C38" s="262">
        <f>ROUND(C34*F38,0)</f>
        <v>0</v>
      </c>
      <c r="D38" s="262"/>
      <c r="E38" s="262"/>
      <c r="F38" s="297">
        <f>'数据-取费表'!B36</f>
        <v>0</v>
      </c>
      <c r="G38" s="263" t="s">
        <v>2197</v>
      </c>
    </row>
    <row r="39" s="237" customFormat="1" ht="13.5" customHeight="1" spans="1:7">
      <c r="A39" s="274" t="s">
        <v>1579</v>
      </c>
      <c r="B39" s="256" t="s">
        <v>2169</v>
      </c>
      <c r="C39" s="276">
        <f>ROUND(C33*F20,0)</f>
        <v>0</v>
      </c>
      <c r="D39" s="276"/>
      <c r="E39" s="276"/>
      <c r="F39" s="275"/>
      <c r="G39" s="277" t="s">
        <v>2202</v>
      </c>
    </row>
    <row r="40" s="237" customFormat="1" ht="13.5" customHeight="1" spans="1:7">
      <c r="A40" s="274" t="s">
        <v>1616</v>
      </c>
      <c r="B40" s="256" t="s">
        <v>2171</v>
      </c>
      <c r="C40" s="278">
        <f>F21</f>
        <v>0</v>
      </c>
      <c r="D40" s="279" t="s">
        <v>2203</v>
      </c>
      <c r="E40" s="276"/>
      <c r="F40" s="275"/>
      <c r="G40" s="280" t="s">
        <v>2204</v>
      </c>
    </row>
    <row r="41" s="237" customFormat="1" ht="13.5" customHeight="1" spans="1:7">
      <c r="A41" s="274" t="s">
        <v>1621</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897</v>
      </c>
      <c r="B42" s="260" t="s">
        <v>2175</v>
      </c>
      <c r="C42" s="283" t="e">
        <f ca="1">ROUND(IF('数据-取费表'!B22&lt;=1,C33*F22*'数据-取费表'!B21/2,C33*(POWER((1+F22),'数据-取费表'!B21/2)-1)),0)</f>
        <v>#VALUE!</v>
      </c>
      <c r="D42" s="283"/>
      <c r="E42" s="283"/>
      <c r="F42" s="284"/>
      <c r="G42" s="300" t="s">
        <v>2205</v>
      </c>
    </row>
    <row r="43" ht="13.5" customHeight="1" spans="1:7">
      <c r="A43" s="282" t="s">
        <v>899</v>
      </c>
      <c r="B43" s="260" t="s">
        <v>2177</v>
      </c>
      <c r="C43" s="283" t="e">
        <f ca="1">ROUND(IF('数据-取费表'!B22&lt;=1,C39*F22*'数据-取费表'!B21/2,C39*(POWER((1+F22),'数据-取费表'!B21/2)-1)),0)</f>
        <v>#VALUE!</v>
      </c>
      <c r="D43" s="283"/>
      <c r="E43" s="283"/>
      <c r="F43" s="284"/>
      <c r="G43" s="301"/>
    </row>
    <row r="44" ht="13.5" customHeight="1" spans="1:7">
      <c r="A44" s="282" t="s">
        <v>901</v>
      </c>
      <c r="B44" s="260" t="s">
        <v>2179</v>
      </c>
      <c r="C44" s="283" t="e">
        <f ca="1">ROUND(IF('数据-取费表'!B22&lt;=1,C40*F22*'数据-取费表'!B21/2,C40*(POWER((1+F22),'数据-取费表'!B21/2)-1)),4)</f>
        <v>#VALUE!</v>
      </c>
      <c r="D44" s="283"/>
      <c r="E44" s="283"/>
      <c r="F44" s="284"/>
      <c r="G44" s="302"/>
    </row>
    <row r="45" s="237" customFormat="1" ht="13.5" customHeight="1" spans="1:7">
      <c r="A45" s="274" t="s">
        <v>1631</v>
      </c>
      <c r="B45" s="289" t="s">
        <v>2182</v>
      </c>
      <c r="C45" s="290" t="e">
        <f>C46</f>
        <v>#DIV/0!</v>
      </c>
      <c r="D45" s="278" t="e">
        <f>C47</f>
        <v>#DIV/0!</v>
      </c>
      <c r="E45" s="279" t="s">
        <v>2203</v>
      </c>
      <c r="F45" s="281"/>
      <c r="G45" s="291" t="s">
        <v>2206</v>
      </c>
    </row>
    <row r="46" s="237" customFormat="1" ht="13.5" customHeight="1" spans="1:7">
      <c r="A46" s="282" t="s">
        <v>897</v>
      </c>
      <c r="B46" s="292" t="s">
        <v>2207</v>
      </c>
      <c r="C46" s="293" t="e">
        <f>ROUND((C33+C39)*F27,0)</f>
        <v>#DIV/0!</v>
      </c>
      <c r="D46" s="278"/>
      <c r="E46" s="279"/>
      <c r="F46" s="281"/>
      <c r="G46" s="291"/>
    </row>
    <row r="47" s="237" customFormat="1" ht="13.5" customHeight="1" spans="1:7">
      <c r="A47" s="282" t="s">
        <v>899</v>
      </c>
      <c r="B47" s="292" t="s">
        <v>2208</v>
      </c>
      <c r="C47" s="283" t="e">
        <f>ROUND(C40*F27,4)</f>
        <v>#DIV/0!</v>
      </c>
      <c r="D47" s="278"/>
      <c r="E47" s="279"/>
      <c r="F47" s="281"/>
      <c r="G47" s="291"/>
    </row>
    <row r="48" s="237" customFormat="1" ht="13.5" customHeight="1" spans="1:7">
      <c r="A48" s="274" t="s">
        <v>1640</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1" sqref="$A1:$XFD1048576"/>
    </sheetView>
  </sheetViews>
  <sheetFormatPr defaultColWidth="9" defaultRowHeight="13.8" outlineLevelCol="4"/>
  <cols>
    <col min="1" max="1" width="0.87962962962963" style="3168" customWidth="1"/>
    <col min="2" max="2" width="37.25" style="3168" customWidth="1"/>
    <col min="3" max="3" width="11.3796296296296" style="3168" customWidth="1"/>
    <col min="4" max="4" width="31.75" style="3168" customWidth="1"/>
    <col min="5" max="5" width="0.5" style="3168" customWidth="1"/>
    <col min="6" max="7" width="13" style="3168" customWidth="1"/>
    <col min="8" max="16384" width="9" style="3168"/>
  </cols>
  <sheetData>
    <row r="1" ht="17.4" spans="1:5">
      <c r="A1" s="3169" t="s">
        <v>94</v>
      </c>
      <c r="B1" s="3170"/>
      <c r="C1" s="3170"/>
      <c r="D1" s="3170"/>
      <c r="E1" s="3170"/>
    </row>
    <row r="2" ht="78" customHeight="1" spans="1:5">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ht="17.4" spans="1:5">
      <c r="A3" s="3172" t="str">
        <f>IF(项目基本情况!B9="房地产市场价值","估价结果一览表（市场价值不需“结果表-1”）","估价结果一览表")</f>
        <v>估价结果一览表</v>
      </c>
      <c r="B3" s="3172"/>
      <c r="C3" s="3172"/>
      <c r="D3" s="3172"/>
      <c r="E3" s="3172"/>
    </row>
    <row r="4" ht="18.15" spans="1:5">
      <c r="A4" s="3172"/>
      <c r="B4" s="3173" t="s">
        <v>95</v>
      </c>
      <c r="C4" s="3173"/>
      <c r="D4" s="3173"/>
      <c r="E4" s="3172"/>
    </row>
    <row r="5" ht="16.35" spans="1:5">
      <c r="A5" s="3170"/>
      <c r="B5" s="3174" t="s">
        <v>96</v>
      </c>
      <c r="C5" s="3175" t="s">
        <v>97</v>
      </c>
      <c r="D5" s="3176" t="e">
        <f ca="1">结果表!H101</f>
        <v>#REF!</v>
      </c>
      <c r="E5" s="3170"/>
    </row>
    <row r="6" ht="15.6" spans="1:5">
      <c r="A6" s="3170"/>
      <c r="B6" s="3174"/>
      <c r="C6" s="3175" t="s">
        <v>98</v>
      </c>
      <c r="D6" s="3176" t="e">
        <f ca="1">NUMBERSTRING(INT(D5*10000),2)&amp;"元整"</f>
        <v>#REF!</v>
      </c>
      <c r="E6" s="3170"/>
    </row>
    <row r="7" ht="15.6" spans="1:5">
      <c r="A7" s="3170"/>
      <c r="B7" s="3177"/>
      <c r="C7" s="3178" t="s">
        <v>99</v>
      </c>
      <c r="D7" s="3179" t="e">
        <f ca="1">结果表!H102</f>
        <v>#REF!</v>
      </c>
      <c r="E7" s="3170"/>
    </row>
    <row r="8" ht="15.6" spans="1:5">
      <c r="A8" s="3170"/>
      <c r="B8" s="3180" t="str">
        <f>结果表!E103</f>
        <v>2.估价师知悉的法定优先受偿款</v>
      </c>
      <c r="C8" s="3181" t="s">
        <v>100</v>
      </c>
      <c r="D8" s="3179">
        <f>结果表!H103</f>
        <v>0</v>
      </c>
      <c r="E8" s="3170"/>
    </row>
    <row r="9" ht="15.6" spans="1:5">
      <c r="A9" s="3170"/>
      <c r="B9" s="3182"/>
      <c r="C9" s="3175" t="s">
        <v>98</v>
      </c>
      <c r="D9" s="3176" t="str">
        <f>NUMBERSTRING(INT(D8*10000),2)&amp;"元整"</f>
        <v>零元整</v>
      </c>
      <c r="E9" s="3170"/>
    </row>
    <row r="10" ht="15.6" spans="1:5">
      <c r="A10" s="3170"/>
      <c r="B10" s="3183" t="s">
        <v>101</v>
      </c>
      <c r="C10" s="3184" t="s">
        <v>102</v>
      </c>
      <c r="D10" s="3185">
        <f>结果表!H104</f>
        <v>0</v>
      </c>
      <c r="E10" s="3170"/>
    </row>
    <row r="11" ht="15.6" spans="1:5">
      <c r="A11" s="3170"/>
      <c r="B11" s="3183" t="s">
        <v>103</v>
      </c>
      <c r="C11" s="3184" t="s">
        <v>102</v>
      </c>
      <c r="D11" s="3185">
        <f>结果表!H105</f>
        <v>0</v>
      </c>
      <c r="E11" s="3170"/>
    </row>
    <row r="12" ht="15.6" spans="1:5">
      <c r="A12" s="3170"/>
      <c r="B12" s="3183" t="s">
        <v>104</v>
      </c>
      <c r="C12" s="3184" t="s">
        <v>102</v>
      </c>
      <c r="D12" s="3185">
        <f>结果表!H106</f>
        <v>0</v>
      </c>
      <c r="E12" s="3170"/>
    </row>
    <row r="13" ht="15.6" spans="1:5">
      <c r="A13" s="3170"/>
      <c r="B13" s="3186" t="str">
        <f>结果表!E107</f>
        <v>3.房地产抵押价值</v>
      </c>
      <c r="C13" s="3187" t="s">
        <v>97</v>
      </c>
      <c r="D13" s="3188" t="e">
        <f ca="1">结果表!H107</f>
        <v>#REF!</v>
      </c>
      <c r="E13" s="3170"/>
    </row>
    <row r="14" ht="15.6" spans="1:5">
      <c r="A14" s="3170"/>
      <c r="B14" s="3174"/>
      <c r="C14" s="3175" t="s">
        <v>98</v>
      </c>
      <c r="D14" s="3176" t="e">
        <f ca="1">NUMBERSTRING(INT(D13*10000),2)&amp;"元整"</f>
        <v>#REF!</v>
      </c>
      <c r="E14" s="3170"/>
    </row>
    <row r="15" ht="15.6" spans="1:5">
      <c r="A15" s="3170"/>
      <c r="B15" s="3177"/>
      <c r="C15" s="3178" t="s">
        <v>99</v>
      </c>
      <c r="D15" s="3189" t="e">
        <f ca="1">结果表!H108</f>
        <v>#REF!</v>
      </c>
      <c r="E15" s="3170"/>
    </row>
    <row r="16" ht="15.6" spans="1:5">
      <c r="A16" s="3170"/>
      <c r="B16" s="3180" t="str">
        <f>结果表!E109</f>
        <v>——</v>
      </c>
      <c r="C16" s="3187" t="s">
        <v>97</v>
      </c>
      <c r="D16" s="3190" t="str">
        <f ca="1">结果表!H109</f>
        <v>——</v>
      </c>
      <c r="E16" s="3170"/>
    </row>
    <row r="17" ht="15.6" spans="1:5">
      <c r="A17" s="3170"/>
      <c r="B17" s="3191"/>
      <c r="C17" s="3175" t="s">
        <v>98</v>
      </c>
      <c r="D17" s="3176" t="e">
        <f ca="1">NUMBERSTRING(INT(D16*10000),2)&amp;"元整"</f>
        <v>#VALUE!</v>
      </c>
      <c r="E17" s="3170"/>
    </row>
    <row r="18" ht="15.6" spans="1:5">
      <c r="A18" s="3170"/>
      <c r="B18" s="3182"/>
      <c r="C18" s="3178" t="s">
        <v>99</v>
      </c>
      <c r="D18" s="3189" t="str">
        <f ca="1">结果表!H110</f>
        <v>——</v>
      </c>
      <c r="E18" s="3170"/>
    </row>
    <row r="19" ht="15.6" spans="1:5">
      <c r="A19" s="3170"/>
      <c r="B19" s="3186" t="str">
        <f>结果表!E111</f>
        <v>——</v>
      </c>
      <c r="C19" s="3187" t="s">
        <v>97</v>
      </c>
      <c r="D19" s="3179" t="str">
        <f ca="1">结果表!H111</f>
        <v>——</v>
      </c>
      <c r="E19" s="3170"/>
    </row>
    <row r="20" ht="15.6" spans="1:5">
      <c r="A20" s="3170"/>
      <c r="B20" s="3174"/>
      <c r="C20" s="3175" t="s">
        <v>98</v>
      </c>
      <c r="D20" s="3176" t="e">
        <f ca="1">NUMBERSTRING(INT(D19*10000),2)&amp;"元整"</f>
        <v>#VALUE!</v>
      </c>
      <c r="E20" s="3170"/>
    </row>
    <row r="21" ht="16.35" spans="1:5">
      <c r="A21" s="3170"/>
      <c r="B21" s="3192"/>
      <c r="C21" s="3193" t="s">
        <v>99</v>
      </c>
      <c r="D21" s="3194" t="str">
        <f ca="1">结果表!H112</f>
        <v>——</v>
      </c>
      <c r="E21" s="3170"/>
    </row>
    <row r="22" ht="14.55" spans="1:5">
      <c r="A22" s="3170"/>
      <c r="B22" s="3195" t="s">
        <v>105</v>
      </c>
      <c r="C22" s="3170"/>
      <c r="D22" s="3170"/>
      <c r="E22" s="3170"/>
    </row>
    <row r="23" spans="1:5">
      <c r="A23" s="3170"/>
      <c r="B23" s="3170"/>
      <c r="C23" s="3170"/>
      <c r="D23" s="3170"/>
      <c r="E23" s="3170"/>
    </row>
    <row r="24" ht="17.4" spans="1:5">
      <c r="A24" s="3196"/>
      <c r="B24" s="3197" t="s">
        <v>106</v>
      </c>
      <c r="C24" s="3196"/>
      <c r="D24" s="3196"/>
      <c r="E24" s="3196"/>
    </row>
    <row r="25" spans="1:5">
      <c r="A25" s="3196"/>
      <c r="B25" s="3196"/>
      <c r="C25" s="3196"/>
      <c r="D25" s="3196"/>
      <c r="E25" s="3196"/>
    </row>
    <row r="26" spans="1:5">
      <c r="A26" s="3196"/>
      <c r="B26" s="3196"/>
      <c r="C26" s="3196"/>
      <c r="D26" s="3196"/>
      <c r="E26" s="3196"/>
    </row>
    <row r="27" spans="1:5">
      <c r="A27" s="3196"/>
      <c r="B27" s="3196"/>
      <c r="C27" s="3196"/>
      <c r="D27" s="3196"/>
      <c r="E27" s="3196"/>
    </row>
    <row r="28" spans="1:5">
      <c r="A28" s="3196"/>
      <c r="B28" s="3196"/>
      <c r="C28" s="3196"/>
      <c r="D28" s="3196"/>
      <c r="E28" s="3196"/>
    </row>
    <row r="29" spans="1:5">
      <c r="A29" s="3196"/>
      <c r="B29" s="3196"/>
      <c r="C29" s="3196"/>
      <c r="D29" s="3196"/>
      <c r="E29" s="3196"/>
    </row>
    <row r="30" spans="1:5">
      <c r="A30" s="3196"/>
      <c r="B30" s="3196"/>
      <c r="C30" s="3196"/>
      <c r="D30" s="3196"/>
      <c r="E30" s="3196"/>
    </row>
    <row r="31" spans="1:5">
      <c r="A31" s="3196"/>
      <c r="B31" s="3196"/>
      <c r="C31" s="3196"/>
      <c r="D31" s="3196"/>
      <c r="E31" s="3196"/>
    </row>
    <row r="32" spans="1:5">
      <c r="A32" s="3196"/>
      <c r="B32" s="3196"/>
      <c r="C32" s="3196"/>
      <c r="D32" s="3196"/>
      <c r="E32" s="3196"/>
    </row>
    <row r="33" spans="1:5">
      <c r="A33" s="3196"/>
      <c r="B33" s="3196"/>
      <c r="C33" s="3196"/>
      <c r="D33" s="3196"/>
      <c r="E33" s="3196"/>
    </row>
    <row r="34" spans="1:5">
      <c r="A34" s="3196"/>
      <c r="B34" s="3196"/>
      <c r="C34" s="3196"/>
      <c r="D34" s="3196"/>
      <c r="E34" s="3196"/>
    </row>
    <row r="35" spans="1:5">
      <c r="A35" s="3196"/>
      <c r="B35" s="3196"/>
      <c r="C35" s="3196"/>
      <c r="D35" s="3196"/>
      <c r="E35" s="3196"/>
    </row>
    <row r="36" spans="1:5">
      <c r="A36" s="3196"/>
      <c r="B36" s="3196"/>
      <c r="C36" s="3196"/>
      <c r="D36" s="3196"/>
      <c r="E36" s="3196"/>
    </row>
    <row r="37" spans="1:5">
      <c r="A37" s="3196"/>
      <c r="B37" s="3196"/>
      <c r="C37" s="3196"/>
      <c r="D37" s="3196"/>
      <c r="E37" s="3196"/>
    </row>
    <row r="38" spans="1:5">
      <c r="A38" s="3196"/>
      <c r="B38" s="3196"/>
      <c r="C38" s="3196"/>
      <c r="D38" s="3196"/>
      <c r="E38" s="3196"/>
    </row>
    <row r="39" spans="1:5">
      <c r="A39" s="3196"/>
      <c r="B39" s="3196"/>
      <c r="C39" s="3196"/>
      <c r="D39" s="3196"/>
      <c r="E39" s="3196"/>
    </row>
    <row r="40" spans="1:5">
      <c r="A40" s="3196"/>
      <c r="B40" s="3196"/>
      <c r="C40" s="3196"/>
      <c r="D40" s="3196"/>
      <c r="E40" s="3196"/>
    </row>
    <row r="41" spans="1:5">
      <c r="A41" s="3196"/>
      <c r="B41" s="3196"/>
      <c r="C41" s="3196"/>
      <c r="D41" s="3196"/>
      <c r="E41" s="3196"/>
    </row>
    <row r="42" spans="1:5">
      <c r="A42" s="3196"/>
      <c r="B42" s="3196"/>
      <c r="C42" s="3196"/>
      <c r="D42" s="3196"/>
      <c r="E42" s="3196"/>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8.87962962962963" defaultRowHeight="14.4"/>
  <cols>
    <col min="1" max="7" width="8.87962962962963" style="161"/>
    <col min="8" max="9" width="9" style="161" customWidth="1"/>
    <col min="10" max="10" width="2.87962962962963" style="161" customWidth="1"/>
    <col min="11" max="16" width="8.87962962962963" style="161" customWidth="1"/>
    <col min="17" max="17" width="3" style="161" customWidth="1"/>
    <col min="18" max="18" width="8.87962962962963" style="161" customWidth="1"/>
    <col min="19" max="19" width="10.5" style="161" customWidth="1"/>
    <col min="20" max="22" width="8.87962962962963" style="161" customWidth="1"/>
    <col min="23" max="23" width="11.1296296296296" style="161" customWidth="1"/>
    <col min="24" max="24" width="2.87962962962963" style="161" customWidth="1"/>
    <col min="25" max="16384" width="8.87962962962963" style="161"/>
  </cols>
  <sheetData>
    <row r="1" s="153" customFormat="1" ht="13.2" spans="1:25">
      <c r="A1" s="162">
        <f>基准地价修正!G23</f>
        <v>44771</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1563</v>
      </c>
      <c r="F2" s="168" t="s">
        <v>1763</v>
      </c>
      <c r="G2" s="168" t="s">
        <v>1764</v>
      </c>
      <c r="H2" s="168" t="s">
        <v>1765</v>
      </c>
      <c r="I2" s="168" t="s">
        <v>288</v>
      </c>
      <c r="J2" s="191"/>
      <c r="K2" s="167" t="s">
        <v>2224</v>
      </c>
      <c r="L2" s="168" t="s">
        <v>1563</v>
      </c>
      <c r="M2" s="168" t="s">
        <v>1763</v>
      </c>
      <c r="N2" s="168" t="s">
        <v>1764</v>
      </c>
      <c r="O2" s="168" t="s">
        <v>1765</v>
      </c>
      <c r="P2" s="168" t="s">
        <v>288</v>
      </c>
      <c r="Q2" s="191"/>
      <c r="R2" s="167" t="s">
        <v>2224</v>
      </c>
      <c r="S2" s="168" t="s">
        <v>1563</v>
      </c>
      <c r="T2" s="168" t="s">
        <v>1763</v>
      </c>
      <c r="U2" s="168" t="s">
        <v>1764</v>
      </c>
      <c r="V2" s="168" t="s">
        <v>1765</v>
      </c>
      <c r="W2" s="168" t="s">
        <v>288</v>
      </c>
      <c r="X2" s="191"/>
      <c r="Y2" s="167" t="s">
        <v>2224</v>
      </c>
      <c r="Z2" s="168" t="s">
        <v>1563</v>
      </c>
      <c r="AA2" s="168" t="s">
        <v>1763</v>
      </c>
      <c r="AB2" s="168" t="s">
        <v>1764</v>
      </c>
      <c r="AC2" s="168" t="s">
        <v>1765</v>
      </c>
      <c r="AD2" s="168" t="s">
        <v>288</v>
      </c>
    </row>
    <row r="3" s="155" customFormat="1" ht="13.2"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1343</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1563</v>
      </c>
      <c r="F19" s="168" t="s">
        <v>1763</v>
      </c>
      <c r="G19" s="168" t="s">
        <v>1764</v>
      </c>
      <c r="H19" s="168"/>
      <c r="I19" s="168" t="s">
        <v>288</v>
      </c>
      <c r="J19" s="191"/>
      <c r="K19" s="167" t="s">
        <v>2224</v>
      </c>
      <c r="L19" s="168" t="s">
        <v>1563</v>
      </c>
      <c r="M19" s="168" t="s">
        <v>1763</v>
      </c>
      <c r="N19" s="168" t="s">
        <v>1764</v>
      </c>
      <c r="O19" s="168"/>
      <c r="P19" s="168" t="s">
        <v>288</v>
      </c>
      <c r="Q19" s="191"/>
      <c r="R19" s="167" t="s">
        <v>2224</v>
      </c>
      <c r="S19" s="168" t="s">
        <v>1563</v>
      </c>
      <c r="T19" s="168" t="s">
        <v>1763</v>
      </c>
      <c r="U19" s="168" t="s">
        <v>1764</v>
      </c>
      <c r="V19" s="168"/>
      <c r="W19" s="168" t="s">
        <v>288</v>
      </c>
      <c r="X19" s="191"/>
      <c r="Y19" s="167" t="s">
        <v>2224</v>
      </c>
      <c r="Z19" s="168" t="s">
        <v>1563</v>
      </c>
      <c r="AA19" s="168" t="s">
        <v>1763</v>
      </c>
      <c r="AB19" s="168" t="s">
        <v>1764</v>
      </c>
      <c r="AC19" s="168"/>
      <c r="AD19" s="168" t="s">
        <v>288</v>
      </c>
    </row>
    <row r="20" s="155" customFormat="1" ht="13.2"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8.87962962962963" defaultRowHeight="10.8"/>
  <cols>
    <col min="1" max="1" width="9.62962962962963" style="120" customWidth="1"/>
    <col min="2" max="2" width="18.6296296296296" style="120" customWidth="1"/>
    <col min="3" max="6" width="10.25" style="120" customWidth="1"/>
    <col min="7" max="7" width="10.5" style="120" customWidth="1"/>
    <col min="8" max="8" width="8.87962962962963" style="119"/>
    <col min="9" max="9" width="13.3796296296296" style="119" customWidth="1"/>
    <col min="10" max="13" width="13.3796296296296" style="120" customWidth="1"/>
    <col min="14" max="14" width="18.25" style="120" customWidth="1"/>
    <col min="15" max="17" width="15.1296296296296" style="120" customWidth="1"/>
    <col min="18" max="20" width="11.5" style="120" customWidth="1"/>
    <col min="21" max="16384" width="8.87962962962963"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408</v>
      </c>
      <c r="J2" s="133" t="s">
        <v>2229</v>
      </c>
      <c r="K2" s="133" t="s">
        <v>2230</v>
      </c>
      <c r="L2" s="133" t="s">
        <v>2231</v>
      </c>
      <c r="M2" s="133" t="s">
        <v>2232</v>
      </c>
      <c r="N2" s="133" t="s">
        <v>2233</v>
      </c>
      <c r="O2" s="133" t="s">
        <v>2234</v>
      </c>
      <c r="P2" s="133" t="s">
        <v>2235</v>
      </c>
      <c r="Q2" s="133" t="s">
        <v>2236</v>
      </c>
      <c r="R2" s="133" t="s">
        <v>2237</v>
      </c>
      <c r="S2" s="133" t="s">
        <v>2238</v>
      </c>
      <c r="T2" s="133" t="s">
        <v>2239</v>
      </c>
    </row>
    <row r="3" s="118" customFormat="1" spans="1:20">
      <c r="A3" s="125" t="s">
        <v>2240</v>
      </c>
      <c r="B3" s="126"/>
      <c r="C3" s="127" t="s">
        <v>1563</v>
      </c>
      <c r="D3" s="127" t="s">
        <v>1763</v>
      </c>
      <c r="E3" s="127" t="s">
        <v>1764</v>
      </c>
      <c r="F3" s="127" t="s">
        <v>1765</v>
      </c>
      <c r="G3" s="127" t="s">
        <v>288</v>
      </c>
      <c r="H3" s="128"/>
      <c r="I3" s="134" t="s">
        <v>2241</v>
      </c>
      <c r="J3" s="135" t="s">
        <v>2242</v>
      </c>
      <c r="K3" s="135" t="s">
        <v>2243</v>
      </c>
      <c r="L3" s="134" t="s">
        <v>2244</v>
      </c>
      <c r="M3" s="134" t="s">
        <v>2245</v>
      </c>
      <c r="N3" s="134" t="s">
        <v>2246</v>
      </c>
      <c r="O3" s="134" t="s">
        <v>2247</v>
      </c>
      <c r="P3" s="134" t="s">
        <v>2248</v>
      </c>
      <c r="Q3" s="134" t="s">
        <v>2249</v>
      </c>
      <c r="R3" s="134" t="s">
        <v>2250</v>
      </c>
      <c r="S3" s="134" t="s">
        <v>2251</v>
      </c>
      <c r="T3" s="134" t="s">
        <v>2252</v>
      </c>
    </row>
    <row r="4" s="118" customFormat="1" ht="11.55" spans="1:20">
      <c r="A4" s="129"/>
      <c r="B4" s="130" t="s">
        <v>2253</v>
      </c>
      <c r="C4" s="130" t="s">
        <v>2254</v>
      </c>
      <c r="D4" s="130" t="s">
        <v>2254</v>
      </c>
      <c r="E4" s="130" t="s">
        <v>2254</v>
      </c>
      <c r="F4" s="131" t="s">
        <v>2254</v>
      </c>
      <c r="G4" s="131" t="s">
        <v>2254</v>
      </c>
      <c r="H4" s="128"/>
      <c r="I4" s="135" t="s">
        <v>2255</v>
      </c>
      <c r="J4" s="135" t="s">
        <v>2256</v>
      </c>
      <c r="K4" s="135" t="s">
        <v>2257</v>
      </c>
      <c r="L4" s="134" t="s">
        <v>2258</v>
      </c>
      <c r="M4" s="134" t="s">
        <v>2259</v>
      </c>
      <c r="N4" s="134" t="s">
        <v>2260</v>
      </c>
      <c r="O4" s="134" t="s">
        <v>2261</v>
      </c>
      <c r="P4" s="134" t="s">
        <v>2262</v>
      </c>
      <c r="Q4" s="134" t="s">
        <v>2263</v>
      </c>
      <c r="R4" s="134" t="s">
        <v>2264</v>
      </c>
      <c r="S4" s="134" t="s">
        <v>2265</v>
      </c>
      <c r="T4" s="134" t="s">
        <v>2266</v>
      </c>
    </row>
    <row r="5" spans="1:20">
      <c r="A5" s="132" t="s">
        <v>232</v>
      </c>
      <c r="B5" s="133" t="s">
        <v>408</v>
      </c>
      <c r="C5" s="133">
        <v>34550</v>
      </c>
      <c r="D5" s="133">
        <v>34470</v>
      </c>
      <c r="E5" s="133">
        <v>34470</v>
      </c>
      <c r="F5" s="133">
        <v>13400</v>
      </c>
      <c r="G5" s="133">
        <v>25450</v>
      </c>
      <c r="H5" s="128"/>
      <c r="I5" s="134" t="s">
        <v>2267</v>
      </c>
      <c r="J5" s="135" t="s">
        <v>2268</v>
      </c>
      <c r="K5" s="135" t="s">
        <v>2269</v>
      </c>
      <c r="L5" s="134" t="s">
        <v>2270</v>
      </c>
      <c r="M5" s="134" t="s">
        <v>2271</v>
      </c>
      <c r="N5" s="134" t="s">
        <v>2272</v>
      </c>
      <c r="O5" s="134" t="s">
        <v>2273</v>
      </c>
      <c r="P5" s="134" t="s">
        <v>2274</v>
      </c>
      <c r="Q5" s="134" t="s">
        <v>2275</v>
      </c>
      <c r="R5" s="134" t="s">
        <v>2276</v>
      </c>
      <c r="S5" s="134" t="s">
        <v>2277</v>
      </c>
      <c r="T5" s="134" t="s">
        <v>2278</v>
      </c>
    </row>
    <row r="6" ht="11.55" spans="1:20">
      <c r="A6" s="134" t="s">
        <v>232</v>
      </c>
      <c r="B6" s="134" t="s">
        <v>2241</v>
      </c>
      <c r="C6" s="134">
        <v>36990</v>
      </c>
      <c r="D6" s="134">
        <v>36850</v>
      </c>
      <c r="E6" s="134">
        <v>36850</v>
      </c>
      <c r="F6" s="134">
        <v>14590</v>
      </c>
      <c r="G6" s="134">
        <v>27450</v>
      </c>
      <c r="H6" s="128"/>
      <c r="I6" s="137" t="s">
        <v>2279</v>
      </c>
      <c r="J6" s="135" t="s">
        <v>2280</v>
      </c>
      <c r="K6" s="135" t="s">
        <v>2281</v>
      </c>
      <c r="L6" s="134" t="s">
        <v>2282</v>
      </c>
      <c r="M6" s="134" t="s">
        <v>2283</v>
      </c>
      <c r="N6" s="134" t="s">
        <v>2284</v>
      </c>
      <c r="O6" s="134" t="s">
        <v>2285</v>
      </c>
      <c r="P6" s="134" t="s">
        <v>2286</v>
      </c>
      <c r="Q6" s="134" t="s">
        <v>2287</v>
      </c>
      <c r="R6" s="134" t="s">
        <v>2288</v>
      </c>
      <c r="S6" s="134" t="s">
        <v>2289</v>
      </c>
      <c r="T6" s="134" t="s">
        <v>2290</v>
      </c>
    </row>
    <row r="7" spans="1:20">
      <c r="A7" s="134" t="s">
        <v>232</v>
      </c>
      <c r="B7" s="135" t="s">
        <v>2255</v>
      </c>
      <c r="C7" s="134">
        <v>34850</v>
      </c>
      <c r="D7" s="134">
        <v>34690</v>
      </c>
      <c r="E7" s="134">
        <v>34690</v>
      </c>
      <c r="F7" s="134">
        <v>14360</v>
      </c>
      <c r="G7" s="134">
        <v>25620</v>
      </c>
      <c r="H7" s="128"/>
      <c r="J7" s="135" t="s">
        <v>2291</v>
      </c>
      <c r="K7" s="135" t="s">
        <v>2292</v>
      </c>
      <c r="L7" s="134" t="s">
        <v>2293</v>
      </c>
      <c r="M7" s="134" t="s">
        <v>2294</v>
      </c>
      <c r="N7" s="134" t="s">
        <v>2295</v>
      </c>
      <c r="O7" s="134" t="s">
        <v>2296</v>
      </c>
      <c r="P7" s="134" t="s">
        <v>2297</v>
      </c>
      <c r="Q7" s="134" t="s">
        <v>2298</v>
      </c>
      <c r="R7" s="134" t="s">
        <v>2299</v>
      </c>
      <c r="S7" s="134" t="s">
        <v>2300</v>
      </c>
      <c r="T7" s="134" t="s">
        <v>2301</v>
      </c>
    </row>
    <row r="8" ht="11.55" spans="1:20">
      <c r="A8" s="134" t="s">
        <v>232</v>
      </c>
      <c r="B8" s="134" t="s">
        <v>2267</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1.55" spans="1:19">
      <c r="A9" s="136" t="s">
        <v>232</v>
      </c>
      <c r="B9" s="137" t="s">
        <v>2279</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2229</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2242</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2256</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2268</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2280</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2291</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1.55"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1.55"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1.55"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2230</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2243</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1.55" spans="1:18">
      <c r="A32" s="134" t="s">
        <v>253</v>
      </c>
      <c r="B32" s="135" t="s">
        <v>2257</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1.55" spans="1:17">
      <c r="A33" s="134" t="s">
        <v>253</v>
      </c>
      <c r="B33" s="135" t="s">
        <v>2269</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2281</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2292</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1.55" spans="1:17">
      <c r="A44" s="134" t="s">
        <v>253</v>
      </c>
      <c r="B44" s="135" t="s">
        <v>2384</v>
      </c>
      <c r="C44" s="134">
        <v>22370</v>
      </c>
      <c r="D44" s="134">
        <v>23140</v>
      </c>
      <c r="E44" s="134">
        <v>25090</v>
      </c>
      <c r="F44" s="134"/>
      <c r="G44" s="142">
        <v>16190</v>
      </c>
      <c r="N44" s="134" t="s">
        <v>2579</v>
      </c>
      <c r="O44" s="134" t="s">
        <v>2580</v>
      </c>
      <c r="P44" s="138" t="s">
        <v>2581</v>
      </c>
      <c r="Q44" s="134" t="s">
        <v>2582</v>
      </c>
    </row>
    <row r="45" ht="11.55"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1.55"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1.55" spans="1:14">
      <c r="A54" s="143" t="s">
        <v>253</v>
      </c>
      <c r="B54" s="137" t="s">
        <v>2475</v>
      </c>
      <c r="C54" s="138">
        <v>22460</v>
      </c>
      <c r="D54" s="138"/>
      <c r="E54" s="138"/>
      <c r="F54" s="138"/>
      <c r="G54" s="144"/>
      <c r="N54" s="134" t="s">
        <v>2600</v>
      </c>
    </row>
    <row r="55" spans="1:14">
      <c r="A55" s="132" t="s">
        <v>261</v>
      </c>
      <c r="B55" s="133" t="s">
        <v>2231</v>
      </c>
      <c r="C55" s="134">
        <v>21970</v>
      </c>
      <c r="D55" s="134">
        <v>20370</v>
      </c>
      <c r="E55" s="134">
        <v>20180</v>
      </c>
      <c r="F55" s="134">
        <v>5730</v>
      </c>
      <c r="G55" s="134">
        <v>13820</v>
      </c>
      <c r="N55" s="134" t="s">
        <v>2601</v>
      </c>
    </row>
    <row r="56" spans="1:14">
      <c r="A56" s="134" t="s">
        <v>261</v>
      </c>
      <c r="B56" s="134" t="s">
        <v>2244</v>
      </c>
      <c r="C56" s="134">
        <v>20470</v>
      </c>
      <c r="D56" s="134">
        <v>20700</v>
      </c>
      <c r="E56" s="134">
        <v>20380</v>
      </c>
      <c r="F56" s="134">
        <v>4760</v>
      </c>
      <c r="G56" s="134">
        <v>14050</v>
      </c>
      <c r="N56" s="134" t="s">
        <v>2602</v>
      </c>
    </row>
    <row r="57" spans="1:14">
      <c r="A57" s="134" t="s">
        <v>261</v>
      </c>
      <c r="B57" s="134" t="s">
        <v>2258</v>
      </c>
      <c r="C57" s="134">
        <v>20790</v>
      </c>
      <c r="D57" s="134">
        <v>21370</v>
      </c>
      <c r="E57" s="134">
        <v>20890</v>
      </c>
      <c r="F57" s="134">
        <v>4910</v>
      </c>
      <c r="G57" s="134">
        <v>14510</v>
      </c>
      <c r="N57" s="134" t="s">
        <v>2603</v>
      </c>
    </row>
    <row r="58" spans="1:14">
      <c r="A58" s="134" t="s">
        <v>261</v>
      </c>
      <c r="B58" s="134" t="s">
        <v>2270</v>
      </c>
      <c r="C58" s="134">
        <v>21460</v>
      </c>
      <c r="D58" s="134">
        <v>20920</v>
      </c>
      <c r="E58" s="134">
        <v>23410</v>
      </c>
      <c r="F58" s="134">
        <v>5100</v>
      </c>
      <c r="G58" s="134">
        <v>14200</v>
      </c>
      <c r="N58" s="134" t="s">
        <v>2604</v>
      </c>
    </row>
    <row r="59" spans="1:14">
      <c r="A59" s="134" t="s">
        <v>261</v>
      </c>
      <c r="B59" s="134" t="s">
        <v>2282</v>
      </c>
      <c r="C59" s="134">
        <v>21000</v>
      </c>
      <c r="D59" s="134">
        <v>21550</v>
      </c>
      <c r="E59" s="134">
        <v>21150</v>
      </c>
      <c r="F59" s="134">
        <v>5250</v>
      </c>
      <c r="G59" s="134">
        <v>14630</v>
      </c>
      <c r="N59" s="134" t="s">
        <v>2605</v>
      </c>
    </row>
    <row r="60" spans="1:14">
      <c r="A60" s="134" t="s">
        <v>261</v>
      </c>
      <c r="B60" s="134" t="s">
        <v>2293</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1.55"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1.55" spans="1:7">
      <c r="A86" s="136" t="s">
        <v>261</v>
      </c>
      <c r="B86" s="139" t="s">
        <v>2525</v>
      </c>
      <c r="C86" s="140">
        <v>16610</v>
      </c>
      <c r="D86" s="140">
        <v>16540</v>
      </c>
      <c r="E86" s="140">
        <v>18850</v>
      </c>
      <c r="F86" s="140"/>
      <c r="G86" s="140">
        <v>11220</v>
      </c>
    </row>
    <row r="87" s="119" customFormat="1" spans="1:7">
      <c r="A87" s="132" t="s">
        <v>269</v>
      </c>
      <c r="B87" s="133" t="s">
        <v>2232</v>
      </c>
      <c r="C87" s="133">
        <v>15240</v>
      </c>
      <c r="D87" s="133">
        <v>15170</v>
      </c>
      <c r="E87" s="133">
        <v>18260</v>
      </c>
      <c r="F87" s="133">
        <v>3830</v>
      </c>
      <c r="G87" s="141">
        <v>10020</v>
      </c>
    </row>
    <row r="88" s="119" customFormat="1" spans="1:7">
      <c r="A88" s="134" t="s">
        <v>269</v>
      </c>
      <c r="B88" s="134" t="s">
        <v>2245</v>
      </c>
      <c r="C88" s="134">
        <v>17310</v>
      </c>
      <c r="D88" s="134">
        <v>17220</v>
      </c>
      <c r="E88" s="134">
        <v>18610</v>
      </c>
      <c r="F88" s="134">
        <v>3990</v>
      </c>
      <c r="G88" s="142">
        <v>11380</v>
      </c>
    </row>
    <row r="89" s="119" customFormat="1" spans="1:7">
      <c r="A89" s="134" t="s">
        <v>269</v>
      </c>
      <c r="B89" s="134" t="s">
        <v>2259</v>
      </c>
      <c r="C89" s="134">
        <v>15600</v>
      </c>
      <c r="D89" s="134">
        <v>15550</v>
      </c>
      <c r="E89" s="134">
        <v>19200</v>
      </c>
      <c r="F89" s="134">
        <v>4110</v>
      </c>
      <c r="G89" s="142">
        <v>10270</v>
      </c>
    </row>
    <row r="90" s="119" customFormat="1" spans="1:7">
      <c r="A90" s="134" t="s">
        <v>269</v>
      </c>
      <c r="B90" s="134" t="s">
        <v>2271</v>
      </c>
      <c r="C90" s="134">
        <v>17330</v>
      </c>
      <c r="D90" s="134">
        <v>17240</v>
      </c>
      <c r="E90" s="134">
        <v>18570</v>
      </c>
      <c r="F90" s="134">
        <v>4070</v>
      </c>
      <c r="G90" s="142">
        <v>11390</v>
      </c>
    </row>
    <row r="91" s="119" customFormat="1" spans="1:7">
      <c r="A91" s="134" t="s">
        <v>269</v>
      </c>
      <c r="B91" s="134" t="s">
        <v>2283</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2233</v>
      </c>
      <c r="C127" s="134">
        <v>12280</v>
      </c>
      <c r="D127" s="134">
        <v>12250</v>
      </c>
      <c r="E127" s="134">
        <v>15130</v>
      </c>
      <c r="F127" s="134">
        <v>2710</v>
      </c>
      <c r="G127" s="134">
        <v>7870</v>
      </c>
    </row>
    <row r="128" s="119" customFormat="1" spans="1:7">
      <c r="A128" s="134" t="s">
        <v>275</v>
      </c>
      <c r="B128" s="134" t="s">
        <v>2246</v>
      </c>
      <c r="C128" s="134">
        <v>13180</v>
      </c>
      <c r="D128" s="134">
        <v>13150</v>
      </c>
      <c r="E128" s="134">
        <v>16190</v>
      </c>
      <c r="F128" s="134">
        <v>2820</v>
      </c>
      <c r="G128" s="134">
        <v>8460</v>
      </c>
    </row>
    <row r="129" s="119" customFormat="1" spans="1:7">
      <c r="A129" s="134" t="s">
        <v>275</v>
      </c>
      <c r="B129" s="134" t="s">
        <v>2260</v>
      </c>
      <c r="C129" s="134">
        <v>10950</v>
      </c>
      <c r="D129" s="134">
        <v>10920</v>
      </c>
      <c r="E129" s="134">
        <v>13820</v>
      </c>
      <c r="F129" s="134">
        <v>2500</v>
      </c>
      <c r="G129" s="134">
        <v>7020</v>
      </c>
    </row>
    <row r="130" s="119" customFormat="1" spans="1:7">
      <c r="A130" s="134" t="s">
        <v>275</v>
      </c>
      <c r="B130" s="134" t="s">
        <v>2272</v>
      </c>
      <c r="C130" s="134">
        <v>10910</v>
      </c>
      <c r="D130" s="134">
        <v>10860</v>
      </c>
      <c r="E130" s="134">
        <v>13730</v>
      </c>
      <c r="F130" s="134">
        <v>2760</v>
      </c>
      <c r="G130" s="134">
        <v>6990</v>
      </c>
    </row>
    <row r="131" s="119" customFormat="1" spans="1:7">
      <c r="A131" s="134" t="s">
        <v>275</v>
      </c>
      <c r="B131" s="134" t="s">
        <v>2284</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2234</v>
      </c>
      <c r="C190" s="133">
        <v>8830</v>
      </c>
      <c r="D190" s="133">
        <v>8790</v>
      </c>
      <c r="E190" s="133">
        <v>11630</v>
      </c>
      <c r="F190" s="133">
        <v>1790</v>
      </c>
      <c r="G190" s="141">
        <v>5550</v>
      </c>
    </row>
    <row r="191" s="119" customFormat="1" spans="1:7">
      <c r="A191" s="134" t="s">
        <v>281</v>
      </c>
      <c r="B191" s="134" t="s">
        <v>2247</v>
      </c>
      <c r="C191" s="134">
        <v>9780</v>
      </c>
      <c r="D191" s="134">
        <v>9710</v>
      </c>
      <c r="E191" s="134">
        <v>12550</v>
      </c>
      <c r="F191" s="134">
        <v>1980</v>
      </c>
      <c r="G191" s="142">
        <v>6130</v>
      </c>
    </row>
    <row r="192" s="119" customFormat="1" spans="1:7">
      <c r="A192" s="134" t="s">
        <v>281</v>
      </c>
      <c r="B192" s="134" t="s">
        <v>2261</v>
      </c>
      <c r="C192" s="134">
        <v>8180</v>
      </c>
      <c r="D192" s="134">
        <v>8140</v>
      </c>
      <c r="E192" s="134">
        <v>10870</v>
      </c>
      <c r="F192" s="134">
        <v>1690</v>
      </c>
      <c r="G192" s="142">
        <v>5140</v>
      </c>
    </row>
    <row r="193" s="119" customFormat="1" spans="1:7">
      <c r="A193" s="134" t="s">
        <v>281</v>
      </c>
      <c r="B193" s="134" t="s">
        <v>2273</v>
      </c>
      <c r="C193" s="134">
        <v>8440</v>
      </c>
      <c r="D193" s="134">
        <v>8390</v>
      </c>
      <c r="E193" s="134">
        <v>11210</v>
      </c>
      <c r="F193" s="134">
        <v>1600</v>
      </c>
      <c r="G193" s="142">
        <v>5300</v>
      </c>
    </row>
    <row r="194" s="119" customFormat="1" spans="1:7">
      <c r="A194" s="134" t="s">
        <v>281</v>
      </c>
      <c r="B194" s="134" t="s">
        <v>2285</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2235</v>
      </c>
      <c r="C234" s="134">
        <v>6980</v>
      </c>
      <c r="D234" s="134">
        <v>6970</v>
      </c>
      <c r="E234" s="134">
        <v>8720</v>
      </c>
      <c r="F234" s="134">
        <v>1350</v>
      </c>
      <c r="G234" s="134">
        <v>4280</v>
      </c>
    </row>
    <row r="235" s="119" customFormat="1" spans="1:7">
      <c r="A235" s="134" t="s">
        <v>287</v>
      </c>
      <c r="B235" s="134" t="s">
        <v>2248</v>
      </c>
      <c r="C235" s="134">
        <v>7620</v>
      </c>
      <c r="D235" s="134">
        <v>7580</v>
      </c>
      <c r="E235" s="134">
        <v>9360</v>
      </c>
      <c r="F235" s="134">
        <v>1490</v>
      </c>
      <c r="G235" s="134">
        <v>4650</v>
      </c>
    </row>
    <row r="236" s="119" customFormat="1" spans="1:7">
      <c r="A236" s="134" t="s">
        <v>287</v>
      </c>
      <c r="B236" s="134" t="s">
        <v>2262</v>
      </c>
      <c r="C236" s="134">
        <v>6650</v>
      </c>
      <c r="D236" s="134">
        <v>6630</v>
      </c>
      <c r="E236" s="134">
        <v>8330</v>
      </c>
      <c r="F236" s="134">
        <v>1250</v>
      </c>
      <c r="G236" s="134">
        <v>4070</v>
      </c>
    </row>
    <row r="237" s="119" customFormat="1" spans="1:7">
      <c r="A237" s="134" t="s">
        <v>287</v>
      </c>
      <c r="B237" s="134" t="s">
        <v>2274</v>
      </c>
      <c r="C237" s="134">
        <v>5850</v>
      </c>
      <c r="D237" s="134">
        <v>5820</v>
      </c>
      <c r="E237" s="134">
        <v>7260</v>
      </c>
      <c r="F237" s="134">
        <v>1140</v>
      </c>
      <c r="G237" s="134">
        <v>3570</v>
      </c>
    </row>
    <row r="238" s="119" customFormat="1" spans="1:7">
      <c r="A238" s="134" t="s">
        <v>287</v>
      </c>
      <c r="B238" s="134" t="s">
        <v>2286</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2236</v>
      </c>
      <c r="C277" s="133">
        <v>5790</v>
      </c>
      <c r="D277" s="133">
        <v>5740</v>
      </c>
      <c r="E277" s="133">
        <v>6730</v>
      </c>
      <c r="F277" s="133">
        <v>1110</v>
      </c>
      <c r="G277" s="141">
        <v>3460</v>
      </c>
    </row>
    <row r="278" s="119" customFormat="1" spans="1:7">
      <c r="A278" s="134" t="s">
        <v>291</v>
      </c>
      <c r="B278" s="134" t="s">
        <v>2249</v>
      </c>
      <c r="C278" s="134">
        <v>5740</v>
      </c>
      <c r="D278" s="134">
        <v>5670</v>
      </c>
      <c r="E278" s="134">
        <v>6680</v>
      </c>
      <c r="F278" s="134">
        <v>1070</v>
      </c>
      <c r="G278" s="142">
        <v>3420</v>
      </c>
    </row>
    <row r="279" s="119" customFormat="1" spans="1:7">
      <c r="A279" s="134" t="s">
        <v>291</v>
      </c>
      <c r="B279" s="134" t="s">
        <v>2263</v>
      </c>
      <c r="C279" s="134">
        <v>4760</v>
      </c>
      <c r="D279" s="134">
        <v>4720</v>
      </c>
      <c r="E279" s="134">
        <v>5540</v>
      </c>
      <c r="F279" s="134">
        <v>810</v>
      </c>
      <c r="G279" s="142">
        <v>2850</v>
      </c>
    </row>
    <row r="280" s="119" customFormat="1" spans="1:7">
      <c r="A280" s="134" t="s">
        <v>291</v>
      </c>
      <c r="B280" s="134" t="s">
        <v>2275</v>
      </c>
      <c r="C280" s="134">
        <v>4010</v>
      </c>
      <c r="D280" s="134">
        <v>3950</v>
      </c>
      <c r="E280" s="134">
        <v>4710</v>
      </c>
      <c r="F280" s="134">
        <v>800</v>
      </c>
      <c r="G280" s="142">
        <v>2390</v>
      </c>
    </row>
    <row r="281" s="119" customFormat="1" spans="1:7">
      <c r="A281" s="134" t="s">
        <v>291</v>
      </c>
      <c r="B281" s="134" t="s">
        <v>2287</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2237</v>
      </c>
      <c r="C327" s="134">
        <v>3750</v>
      </c>
      <c r="D327" s="134">
        <v>3710</v>
      </c>
      <c r="E327" s="134">
        <v>4080</v>
      </c>
      <c r="F327" s="134">
        <v>860</v>
      </c>
      <c r="G327" s="134">
        <v>2210</v>
      </c>
    </row>
    <row r="328" s="119" customFormat="1" spans="1:7">
      <c r="A328" s="134" t="s">
        <v>294</v>
      </c>
      <c r="B328" s="134" t="s">
        <v>2250</v>
      </c>
      <c r="C328" s="134">
        <v>3330</v>
      </c>
      <c r="D328" s="134">
        <v>3290</v>
      </c>
      <c r="E328" s="134">
        <v>3610</v>
      </c>
      <c r="F328" s="134">
        <v>850</v>
      </c>
      <c r="G328" s="134">
        <v>1960</v>
      </c>
    </row>
    <row r="329" s="119" customFormat="1" spans="1:7">
      <c r="A329" s="134" t="s">
        <v>294</v>
      </c>
      <c r="B329" s="134" t="s">
        <v>2264</v>
      </c>
      <c r="C329" s="134">
        <v>2730</v>
      </c>
      <c r="D329" s="134">
        <v>2690</v>
      </c>
      <c r="E329" s="134">
        <v>3100</v>
      </c>
      <c r="F329" s="134">
        <v>660</v>
      </c>
      <c r="G329" s="134">
        <v>1610</v>
      </c>
    </row>
    <row r="330" s="119" customFormat="1" spans="1:7">
      <c r="A330" s="134" t="s">
        <v>294</v>
      </c>
      <c r="B330" s="134" t="s">
        <v>2276</v>
      </c>
      <c r="C330" s="134">
        <v>3270</v>
      </c>
      <c r="D330" s="134">
        <v>3240</v>
      </c>
      <c r="E330" s="134">
        <v>3560</v>
      </c>
      <c r="F330" s="134">
        <v>680</v>
      </c>
      <c r="G330" s="134">
        <v>1940</v>
      </c>
    </row>
    <row r="331" s="119" customFormat="1" spans="1:7">
      <c r="A331" s="134" t="s">
        <v>294</v>
      </c>
      <c r="B331" s="134" t="s">
        <v>2288</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1.55" spans="1:7">
      <c r="A357" s="136" t="s">
        <v>294</v>
      </c>
      <c r="B357" s="140" t="s">
        <v>2524</v>
      </c>
      <c r="C357" s="140">
        <v>3690</v>
      </c>
      <c r="D357" s="140">
        <v>3650</v>
      </c>
      <c r="E357" s="140">
        <v>4020</v>
      </c>
      <c r="F357" s="140">
        <v>700</v>
      </c>
      <c r="G357" s="140">
        <v>2190</v>
      </c>
    </row>
    <row r="358" spans="1:7">
      <c r="A358" s="132" t="s">
        <v>297</v>
      </c>
      <c r="B358" s="133" t="s">
        <v>2238</v>
      </c>
      <c r="C358" s="133">
        <v>2080</v>
      </c>
      <c r="D358" s="133">
        <v>2040</v>
      </c>
      <c r="E358" s="133">
        <v>2010</v>
      </c>
      <c r="F358" s="133">
        <v>530</v>
      </c>
      <c r="G358" s="141">
        <v>1230</v>
      </c>
    </row>
    <row r="359" spans="1:7">
      <c r="A359" s="134" t="s">
        <v>297</v>
      </c>
      <c r="B359" s="134" t="s">
        <v>2251</v>
      </c>
      <c r="C359" s="134">
        <v>1850</v>
      </c>
      <c r="D359" s="134">
        <v>1820</v>
      </c>
      <c r="E359" s="134">
        <v>1780</v>
      </c>
      <c r="F359" s="134">
        <v>520</v>
      </c>
      <c r="G359" s="142">
        <v>1100</v>
      </c>
    </row>
    <row r="360" spans="1:7">
      <c r="A360" s="134" t="s">
        <v>297</v>
      </c>
      <c r="B360" s="134" t="s">
        <v>2265</v>
      </c>
      <c r="C360" s="134">
        <v>2020</v>
      </c>
      <c r="D360" s="134">
        <v>1990</v>
      </c>
      <c r="E360" s="134">
        <v>1950</v>
      </c>
      <c r="F360" s="134">
        <v>500</v>
      </c>
      <c r="G360" s="142">
        <v>1200</v>
      </c>
    </row>
    <row r="361" spans="1:7">
      <c r="A361" s="134" t="s">
        <v>297</v>
      </c>
      <c r="B361" s="134" t="s">
        <v>2277</v>
      </c>
      <c r="C361" s="134">
        <v>2260</v>
      </c>
      <c r="D361" s="134">
        <v>2220</v>
      </c>
      <c r="E361" s="134">
        <v>2180</v>
      </c>
      <c r="F361" s="134">
        <v>580</v>
      </c>
      <c r="G361" s="142">
        <v>1340</v>
      </c>
    </row>
    <row r="362" spans="1:7">
      <c r="A362" s="134" t="s">
        <v>297</v>
      </c>
      <c r="B362" s="134" t="s">
        <v>2289</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1.55" spans="1:7">
      <c r="A377" s="136" t="s">
        <v>297</v>
      </c>
      <c r="B377" s="140" t="s">
        <v>2442</v>
      </c>
      <c r="C377" s="140">
        <v>1930</v>
      </c>
      <c r="D377" s="140">
        <v>1890</v>
      </c>
      <c r="E377" s="140">
        <v>1860</v>
      </c>
      <c r="F377" s="140">
        <v>530</v>
      </c>
      <c r="G377" s="149">
        <v>1150</v>
      </c>
    </row>
    <row r="378" spans="1:7">
      <c r="A378" s="150" t="s">
        <v>300</v>
      </c>
      <c r="B378" s="133" t="s">
        <v>2239</v>
      </c>
      <c r="C378" s="133">
        <v>1520</v>
      </c>
      <c r="D378" s="133">
        <v>1490</v>
      </c>
      <c r="E378" s="133">
        <v>1460</v>
      </c>
      <c r="F378" s="133">
        <v>460</v>
      </c>
      <c r="G378" s="141">
        <v>940</v>
      </c>
    </row>
    <row r="379" spans="1:7">
      <c r="A379" s="151" t="s">
        <v>300</v>
      </c>
      <c r="B379" s="134" t="s">
        <v>2252</v>
      </c>
      <c r="C379" s="134">
        <v>1500</v>
      </c>
      <c r="D379" s="134">
        <v>1470</v>
      </c>
      <c r="E379" s="134">
        <v>1430</v>
      </c>
      <c r="F379" s="134">
        <v>460</v>
      </c>
      <c r="G379" s="142">
        <v>920</v>
      </c>
    </row>
    <row r="380" spans="1:7">
      <c r="A380" s="151" t="s">
        <v>300</v>
      </c>
      <c r="B380" s="134" t="s">
        <v>2266</v>
      </c>
      <c r="C380" s="134">
        <v>1620</v>
      </c>
      <c r="D380" s="134">
        <v>1590</v>
      </c>
      <c r="E380" s="134">
        <v>1560</v>
      </c>
      <c r="F380" s="134">
        <v>480</v>
      </c>
      <c r="G380" s="142">
        <v>1000</v>
      </c>
    </row>
    <row r="381" spans="1:7">
      <c r="A381" s="151" t="s">
        <v>300</v>
      </c>
      <c r="B381" s="134" t="s">
        <v>2278</v>
      </c>
      <c r="C381" s="134">
        <v>1460</v>
      </c>
      <c r="D381" s="134">
        <v>1430</v>
      </c>
      <c r="E381" s="134">
        <v>1390</v>
      </c>
      <c r="F381" s="134">
        <v>450</v>
      </c>
      <c r="G381" s="142">
        <v>900</v>
      </c>
    </row>
    <row r="382" spans="1:7">
      <c r="A382" s="151" t="s">
        <v>300</v>
      </c>
      <c r="B382" s="134" t="s">
        <v>2290</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1.55"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962962962963" defaultRowHeight="14.4" outlineLevelCol="6"/>
  <cols>
    <col min="1" max="1" width="12.6296296296296" style="81" customWidth="1"/>
    <col min="2" max="2" width="20" style="81" customWidth="1"/>
    <col min="3" max="7" width="8.87962962962963" style="82"/>
    <col min="8" max="16384" width="8.87962962962963" style="83"/>
  </cols>
  <sheetData>
    <row r="1" spans="1:2">
      <c r="A1" s="84" t="s">
        <v>2611</v>
      </c>
      <c r="B1" s="84"/>
    </row>
    <row r="2" ht="15.15" spans="1:2">
      <c r="A2" s="84"/>
      <c r="B2" s="84"/>
    </row>
    <row r="3" ht="15.15" spans="1:7">
      <c r="A3" s="84"/>
      <c r="B3" s="84"/>
      <c r="C3" s="85" t="s">
        <v>1563</v>
      </c>
      <c r="D3" s="85" t="s">
        <v>1763</v>
      </c>
      <c r="E3" s="85" t="s">
        <v>1764</v>
      </c>
      <c r="F3" s="85" t="s">
        <v>1765</v>
      </c>
      <c r="G3" s="85" t="s">
        <v>288</v>
      </c>
    </row>
    <row r="4" ht="15.15" spans="1:7">
      <c r="A4" s="86" t="s">
        <v>2240</v>
      </c>
      <c r="B4" s="87" t="s">
        <v>2253</v>
      </c>
      <c r="C4" s="85"/>
      <c r="D4" s="85"/>
      <c r="E4" s="85"/>
      <c r="F4" s="85"/>
      <c r="G4" s="85"/>
    </row>
    <row r="5" spans="1:7">
      <c r="A5" s="88" t="s">
        <v>232</v>
      </c>
      <c r="B5" s="89" t="s">
        <v>408</v>
      </c>
      <c r="C5" s="90">
        <v>0.098</v>
      </c>
      <c r="D5" s="90">
        <v>0.087</v>
      </c>
      <c r="E5" s="90">
        <v>0.087</v>
      </c>
      <c r="F5" s="90">
        <v>0.098</v>
      </c>
      <c r="G5" s="91">
        <v>0.095</v>
      </c>
    </row>
    <row r="6" spans="1:7">
      <c r="A6" s="92" t="s">
        <v>232</v>
      </c>
      <c r="B6" s="93" t="s">
        <v>2241</v>
      </c>
      <c r="C6" s="94">
        <v>0.098</v>
      </c>
      <c r="D6" s="94">
        <v>0.098</v>
      </c>
      <c r="E6" s="94">
        <v>0.098</v>
      </c>
      <c r="F6" s="94">
        <v>0.1</v>
      </c>
      <c r="G6" s="95">
        <v>0.099</v>
      </c>
    </row>
    <row r="7" spans="1:7">
      <c r="A7" s="92" t="s">
        <v>232</v>
      </c>
      <c r="B7" s="93" t="s">
        <v>2255</v>
      </c>
      <c r="C7" s="94">
        <v>0.097</v>
      </c>
      <c r="D7" s="94">
        <v>0.097</v>
      </c>
      <c r="E7" s="94">
        <v>0.096</v>
      </c>
      <c r="F7" s="94">
        <v>0.1</v>
      </c>
      <c r="G7" s="95">
        <v>0.098</v>
      </c>
    </row>
    <row r="8" spans="1:7">
      <c r="A8" s="92" t="s">
        <v>232</v>
      </c>
      <c r="B8" s="93" t="s">
        <v>2267</v>
      </c>
      <c r="C8" s="94">
        <v>0.081</v>
      </c>
      <c r="D8" s="94">
        <v>0.082</v>
      </c>
      <c r="E8" s="94">
        <v>0.07</v>
      </c>
      <c r="F8" s="94">
        <v>0.096</v>
      </c>
      <c r="G8" s="95">
        <v>0.089</v>
      </c>
    </row>
    <row r="9" ht="15.15" spans="1:7">
      <c r="A9" s="96" t="s">
        <v>232</v>
      </c>
      <c r="B9" s="97" t="s">
        <v>2279</v>
      </c>
      <c r="C9" s="98">
        <v>0.1</v>
      </c>
      <c r="D9" s="98">
        <v>0.1</v>
      </c>
      <c r="E9" s="98">
        <v>0.1</v>
      </c>
      <c r="F9" s="99"/>
      <c r="G9" s="100">
        <v>0.1</v>
      </c>
    </row>
    <row r="10" spans="1:7">
      <c r="A10" s="88" t="s">
        <v>243</v>
      </c>
      <c r="B10" s="89" t="s">
        <v>2229</v>
      </c>
      <c r="C10" s="90">
        <v>0.067</v>
      </c>
      <c r="D10" s="90">
        <v>0.079</v>
      </c>
      <c r="E10" s="90">
        <v>0.079</v>
      </c>
      <c r="F10" s="90">
        <v>0.1</v>
      </c>
      <c r="G10" s="91">
        <v>0.091</v>
      </c>
    </row>
    <row r="11" spans="1:7">
      <c r="A11" s="92" t="s">
        <v>243</v>
      </c>
      <c r="B11" s="93" t="s">
        <v>2242</v>
      </c>
      <c r="C11" s="94">
        <v>0.05</v>
      </c>
      <c r="D11" s="94">
        <v>0.053</v>
      </c>
      <c r="E11" s="94">
        <v>0.063</v>
      </c>
      <c r="F11" s="94">
        <v>0.1</v>
      </c>
      <c r="G11" s="95">
        <v>0.072</v>
      </c>
    </row>
    <row r="12" spans="1:7">
      <c r="A12" s="92" t="s">
        <v>243</v>
      </c>
      <c r="B12" s="93" t="s">
        <v>2256</v>
      </c>
      <c r="C12" s="94">
        <v>0.053</v>
      </c>
      <c r="D12" s="94">
        <v>0.09</v>
      </c>
      <c r="E12" s="94">
        <v>0.072</v>
      </c>
      <c r="F12" s="94">
        <v>0.1</v>
      </c>
      <c r="G12" s="95">
        <v>0.097</v>
      </c>
    </row>
    <row r="13" spans="1:7">
      <c r="A13" s="92" t="s">
        <v>243</v>
      </c>
      <c r="B13" s="93" t="s">
        <v>2268</v>
      </c>
      <c r="C13" s="94">
        <v>0.097</v>
      </c>
      <c r="D13" s="94">
        <v>0.092</v>
      </c>
      <c r="E13" s="94">
        <v>0.095</v>
      </c>
      <c r="F13" s="94">
        <v>0.1</v>
      </c>
      <c r="G13" s="95">
        <v>0.097</v>
      </c>
    </row>
    <row r="14" spans="1:7">
      <c r="A14" s="92" t="s">
        <v>243</v>
      </c>
      <c r="B14" s="93" t="s">
        <v>2280</v>
      </c>
      <c r="C14" s="94">
        <v>0.097</v>
      </c>
      <c r="D14" s="94">
        <v>0.097</v>
      </c>
      <c r="E14" s="94">
        <v>0.097</v>
      </c>
      <c r="F14" s="94">
        <v>0.1</v>
      </c>
      <c r="G14" s="95">
        <v>0.098</v>
      </c>
    </row>
    <row r="15" spans="1:7">
      <c r="A15" s="92" t="s">
        <v>243</v>
      </c>
      <c r="B15" s="93" t="s">
        <v>2291</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5.15" spans="1:7">
      <c r="A29" s="96" t="s">
        <v>243</v>
      </c>
      <c r="B29" s="97" t="s">
        <v>2433</v>
      </c>
      <c r="C29" s="102"/>
      <c r="D29" s="98">
        <v>0.052</v>
      </c>
      <c r="E29" s="98">
        <v>0.07</v>
      </c>
      <c r="F29" s="102"/>
      <c r="G29" s="100">
        <v>0.071</v>
      </c>
    </row>
    <row r="30" spans="1:7">
      <c r="A30" s="103" t="s">
        <v>253</v>
      </c>
      <c r="B30" s="89" t="s">
        <v>2230</v>
      </c>
      <c r="C30" s="90">
        <v>0.066</v>
      </c>
      <c r="D30" s="90">
        <v>0.066</v>
      </c>
      <c r="E30" s="90">
        <v>0.057</v>
      </c>
      <c r="F30" s="90">
        <v>0.1</v>
      </c>
      <c r="G30" s="91">
        <v>0.068</v>
      </c>
    </row>
    <row r="31" spans="1:7">
      <c r="A31" s="104" t="s">
        <v>253</v>
      </c>
      <c r="B31" s="93" t="s">
        <v>2243</v>
      </c>
      <c r="C31" s="94">
        <v>0.055</v>
      </c>
      <c r="D31" s="94">
        <v>0.082</v>
      </c>
      <c r="E31" s="94">
        <v>0.064</v>
      </c>
      <c r="F31" s="94">
        <v>0.1</v>
      </c>
      <c r="G31" s="95">
        <v>0.095</v>
      </c>
    </row>
    <row r="32" spans="1:7">
      <c r="A32" s="104" t="s">
        <v>253</v>
      </c>
      <c r="B32" s="93" t="s">
        <v>2257</v>
      </c>
      <c r="C32" s="94">
        <v>0.082</v>
      </c>
      <c r="D32" s="94">
        <v>0.087</v>
      </c>
      <c r="E32" s="94">
        <v>0.095</v>
      </c>
      <c r="F32" s="94">
        <v>0.1</v>
      </c>
      <c r="G32" s="95">
        <v>0.096</v>
      </c>
    </row>
    <row r="33" spans="1:7">
      <c r="A33" s="104" t="s">
        <v>253</v>
      </c>
      <c r="B33" s="93" t="s">
        <v>2269</v>
      </c>
      <c r="C33" s="94">
        <v>0.099</v>
      </c>
      <c r="D33" s="94">
        <v>0.092</v>
      </c>
      <c r="E33" s="94">
        <v>0.087</v>
      </c>
      <c r="F33" s="94">
        <v>0.1</v>
      </c>
      <c r="G33" s="95">
        <v>0.097</v>
      </c>
    </row>
    <row r="34" spans="1:7">
      <c r="A34" s="104" t="s">
        <v>253</v>
      </c>
      <c r="B34" s="93" t="s">
        <v>2281</v>
      </c>
      <c r="C34" s="94">
        <v>0.084</v>
      </c>
      <c r="D34" s="94">
        <v>0.097</v>
      </c>
      <c r="E34" s="94">
        <v>0.071</v>
      </c>
      <c r="F34" s="94">
        <v>0.1</v>
      </c>
      <c r="G34" s="95">
        <v>0.098</v>
      </c>
    </row>
    <row r="35" spans="1:7">
      <c r="A35" s="104" t="s">
        <v>253</v>
      </c>
      <c r="B35" s="93" t="s">
        <v>2292</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5.15" spans="1:7">
      <c r="A54" s="107" t="s">
        <v>253</v>
      </c>
      <c r="B54" s="97" t="s">
        <v>2475</v>
      </c>
      <c r="C54" s="98">
        <v>0.096</v>
      </c>
      <c r="D54" s="99"/>
      <c r="E54" s="108"/>
      <c r="F54" s="99"/>
      <c r="G54" s="109"/>
    </row>
    <row r="55" spans="1:7">
      <c r="A55" s="103" t="s">
        <v>261</v>
      </c>
      <c r="B55" s="89" t="s">
        <v>2231</v>
      </c>
      <c r="C55" s="90">
        <v>0.096</v>
      </c>
      <c r="D55" s="90">
        <v>0.084</v>
      </c>
      <c r="E55" s="90">
        <v>0.092</v>
      </c>
      <c r="F55" s="90">
        <v>0.1</v>
      </c>
      <c r="G55" s="91">
        <v>0.095</v>
      </c>
    </row>
    <row r="56" spans="1:7">
      <c r="A56" s="104" t="s">
        <v>261</v>
      </c>
      <c r="B56" s="93" t="s">
        <v>2244</v>
      </c>
      <c r="C56" s="94">
        <v>0.084</v>
      </c>
      <c r="D56" s="94">
        <v>0.092</v>
      </c>
      <c r="E56" s="94">
        <v>0.095</v>
      </c>
      <c r="F56" s="94">
        <v>0.092</v>
      </c>
      <c r="G56" s="95">
        <v>0.096</v>
      </c>
    </row>
    <row r="57" spans="1:7">
      <c r="A57" s="104" t="s">
        <v>261</v>
      </c>
      <c r="B57" s="93" t="s">
        <v>2258</v>
      </c>
      <c r="C57" s="94">
        <v>0.099</v>
      </c>
      <c r="D57" s="94">
        <v>0.096</v>
      </c>
      <c r="E57" s="94">
        <v>0.092</v>
      </c>
      <c r="F57" s="94">
        <v>0.1</v>
      </c>
      <c r="G57" s="95">
        <v>0.098</v>
      </c>
    </row>
    <row r="58" spans="1:7">
      <c r="A58" s="104" t="s">
        <v>261</v>
      </c>
      <c r="B58" s="93" t="s">
        <v>2270</v>
      </c>
      <c r="C58" s="94">
        <v>0.098</v>
      </c>
      <c r="D58" s="94">
        <v>0.095</v>
      </c>
      <c r="E58" s="94">
        <v>0.057</v>
      </c>
      <c r="F58" s="94">
        <v>0.1</v>
      </c>
      <c r="G58" s="95">
        <v>0.096</v>
      </c>
    </row>
    <row r="59" spans="1:7">
      <c r="A59" s="104" t="s">
        <v>261</v>
      </c>
      <c r="B59" s="93" t="s">
        <v>2282</v>
      </c>
      <c r="C59" s="94">
        <v>0.095</v>
      </c>
      <c r="D59" s="94">
        <v>0.1</v>
      </c>
      <c r="E59" s="94">
        <v>0.075</v>
      </c>
      <c r="F59" s="94">
        <v>0.1</v>
      </c>
      <c r="G59" s="95">
        <v>0.1</v>
      </c>
    </row>
    <row r="60" spans="1:7">
      <c r="A60" s="104" t="s">
        <v>261</v>
      </c>
      <c r="B60" s="93" t="s">
        <v>2293</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5.15" spans="1:7">
      <c r="A86" s="107" t="s">
        <v>261</v>
      </c>
      <c r="B86" s="97" t="s">
        <v>2525</v>
      </c>
      <c r="C86" s="98">
        <v>0.098</v>
      </c>
      <c r="D86" s="98">
        <v>0.098</v>
      </c>
      <c r="E86" s="98">
        <v>0.096</v>
      </c>
      <c r="F86" s="108"/>
      <c r="G86" s="100">
        <v>0.1</v>
      </c>
    </row>
    <row r="87" spans="1:7">
      <c r="A87" s="103" t="s">
        <v>269</v>
      </c>
      <c r="B87" s="89" t="s">
        <v>2232</v>
      </c>
      <c r="C87" s="90">
        <v>0.1</v>
      </c>
      <c r="D87" s="90">
        <v>0.1</v>
      </c>
      <c r="E87" s="90">
        <v>0.098</v>
      </c>
      <c r="F87" s="90">
        <v>0.1</v>
      </c>
      <c r="G87" s="91">
        <v>0.1</v>
      </c>
    </row>
    <row r="88" spans="1:7">
      <c r="A88" s="104" t="s">
        <v>269</v>
      </c>
      <c r="B88" s="93" t="s">
        <v>2245</v>
      </c>
      <c r="C88" s="94">
        <v>0.091</v>
      </c>
      <c r="D88" s="94">
        <v>0.092</v>
      </c>
      <c r="E88" s="94">
        <v>0.1</v>
      </c>
      <c r="F88" s="94">
        <v>0.1</v>
      </c>
      <c r="G88" s="95">
        <v>0.096</v>
      </c>
    </row>
    <row r="89" spans="1:7">
      <c r="A89" s="104" t="s">
        <v>269</v>
      </c>
      <c r="B89" s="93" t="s">
        <v>2259</v>
      </c>
      <c r="C89" s="94">
        <v>0.1</v>
      </c>
      <c r="D89" s="94">
        <v>0.1</v>
      </c>
      <c r="E89" s="94">
        <v>0.067</v>
      </c>
      <c r="F89" s="94">
        <v>0.093</v>
      </c>
      <c r="G89" s="95">
        <v>0.1</v>
      </c>
    </row>
    <row r="90" spans="1:7">
      <c r="A90" s="104" t="s">
        <v>269</v>
      </c>
      <c r="B90" s="93" t="s">
        <v>2271</v>
      </c>
      <c r="C90" s="94">
        <v>0.096</v>
      </c>
      <c r="D90" s="94">
        <v>0.096</v>
      </c>
      <c r="E90" s="94">
        <v>0.1</v>
      </c>
      <c r="F90" s="94">
        <v>0.1</v>
      </c>
      <c r="G90" s="95">
        <v>0.098</v>
      </c>
    </row>
    <row r="91" spans="1:7">
      <c r="A91" s="104" t="s">
        <v>269</v>
      </c>
      <c r="B91" s="93" t="s">
        <v>2283</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2233</v>
      </c>
      <c r="C127" s="90">
        <v>0.121</v>
      </c>
      <c r="D127" s="90">
        <v>0.121</v>
      </c>
      <c r="E127" s="90">
        <v>0.107</v>
      </c>
      <c r="F127" s="90">
        <v>0.13</v>
      </c>
      <c r="G127" s="91">
        <v>0.122</v>
      </c>
    </row>
    <row r="128" spans="1:7">
      <c r="A128" s="104" t="s">
        <v>275</v>
      </c>
      <c r="B128" s="93" t="s">
        <v>2246</v>
      </c>
      <c r="C128" s="94">
        <v>0.116</v>
      </c>
      <c r="D128" s="94">
        <v>0.117</v>
      </c>
      <c r="E128" s="94">
        <v>0.104</v>
      </c>
      <c r="F128" s="94">
        <v>0.13</v>
      </c>
      <c r="G128" s="95">
        <v>0.117</v>
      </c>
    </row>
    <row r="129" spans="1:7">
      <c r="A129" s="104" t="s">
        <v>275</v>
      </c>
      <c r="B129" s="93" t="s">
        <v>2260</v>
      </c>
      <c r="C129" s="94">
        <v>0.107</v>
      </c>
      <c r="D129" s="94">
        <v>0.108</v>
      </c>
      <c r="E129" s="94">
        <v>0.1</v>
      </c>
      <c r="F129" s="94">
        <v>0.13</v>
      </c>
      <c r="G129" s="95">
        <v>0.117</v>
      </c>
    </row>
    <row r="130" spans="1:7">
      <c r="A130" s="104" t="s">
        <v>275</v>
      </c>
      <c r="B130" s="93" t="s">
        <v>2272</v>
      </c>
      <c r="C130" s="94">
        <v>0.13</v>
      </c>
      <c r="D130" s="94">
        <v>0.13</v>
      </c>
      <c r="E130" s="94">
        <v>0.126</v>
      </c>
      <c r="F130" s="94">
        <v>0.13</v>
      </c>
      <c r="G130" s="95">
        <v>0.13</v>
      </c>
    </row>
    <row r="131" spans="1:7">
      <c r="A131" s="104" t="s">
        <v>275</v>
      </c>
      <c r="B131" s="93" t="s">
        <v>2284</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2234</v>
      </c>
      <c r="C190" s="90">
        <v>0.124</v>
      </c>
      <c r="D190" s="90">
        <v>0.124</v>
      </c>
      <c r="E190" s="90">
        <v>0.129</v>
      </c>
      <c r="F190" s="90">
        <v>0.13</v>
      </c>
      <c r="G190" s="91">
        <v>0.127</v>
      </c>
    </row>
    <row r="191" spans="1:7">
      <c r="A191" s="104" t="s">
        <v>281</v>
      </c>
      <c r="B191" s="93" t="s">
        <v>2247</v>
      </c>
      <c r="C191" s="94">
        <v>0.13</v>
      </c>
      <c r="D191" s="94">
        <v>0.13</v>
      </c>
      <c r="E191" s="94">
        <v>0.13</v>
      </c>
      <c r="F191" s="94">
        <v>0.13</v>
      </c>
      <c r="G191" s="95">
        <v>0.13</v>
      </c>
    </row>
    <row r="192" spans="1:7">
      <c r="A192" s="104" t="s">
        <v>281</v>
      </c>
      <c r="B192" s="93" t="s">
        <v>2261</v>
      </c>
      <c r="C192" s="94">
        <v>0.13</v>
      </c>
      <c r="D192" s="94">
        <v>0.13</v>
      </c>
      <c r="E192" s="94">
        <v>0.13</v>
      </c>
      <c r="F192" s="94">
        <v>0.13</v>
      </c>
      <c r="G192" s="95">
        <v>0.13</v>
      </c>
    </row>
    <row r="193" spans="1:7">
      <c r="A193" s="104" t="s">
        <v>281</v>
      </c>
      <c r="B193" s="93" t="s">
        <v>2273</v>
      </c>
      <c r="C193" s="94">
        <v>0.13</v>
      </c>
      <c r="D193" s="94">
        <v>0.13</v>
      </c>
      <c r="E193" s="94">
        <v>0.13</v>
      </c>
      <c r="F193" s="94">
        <v>0.13</v>
      </c>
      <c r="G193" s="95">
        <v>0.13</v>
      </c>
    </row>
    <row r="194" spans="1:7">
      <c r="A194" s="104" t="s">
        <v>281</v>
      </c>
      <c r="B194" s="93" t="s">
        <v>2285</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2235</v>
      </c>
      <c r="C234" s="90">
        <v>0.13</v>
      </c>
      <c r="D234" s="90">
        <v>0.128</v>
      </c>
      <c r="E234" s="90">
        <v>0.142</v>
      </c>
      <c r="F234" s="90">
        <v>0.147</v>
      </c>
      <c r="G234" s="91">
        <v>0.14</v>
      </c>
    </row>
    <row r="235" spans="1:7">
      <c r="A235" s="104" t="s">
        <v>287</v>
      </c>
      <c r="B235" s="93" t="s">
        <v>2248</v>
      </c>
      <c r="C235" s="94">
        <v>0.136</v>
      </c>
      <c r="D235" s="94">
        <v>0.138</v>
      </c>
      <c r="E235" s="94">
        <v>0.145</v>
      </c>
      <c r="F235" s="94">
        <v>0.143</v>
      </c>
      <c r="G235" s="95">
        <v>0.141</v>
      </c>
    </row>
    <row r="236" spans="1:7">
      <c r="A236" s="104" t="s">
        <v>287</v>
      </c>
      <c r="B236" s="93" t="s">
        <v>2262</v>
      </c>
      <c r="C236" s="94">
        <v>0.15</v>
      </c>
      <c r="D236" s="94">
        <v>0.15</v>
      </c>
      <c r="E236" s="94">
        <v>0.15</v>
      </c>
      <c r="F236" s="94">
        <v>0.15</v>
      </c>
      <c r="G236" s="95">
        <v>0.15</v>
      </c>
    </row>
    <row r="237" spans="1:7">
      <c r="A237" s="104" t="s">
        <v>287</v>
      </c>
      <c r="B237" s="93" t="s">
        <v>2274</v>
      </c>
      <c r="C237" s="94">
        <v>0.15</v>
      </c>
      <c r="D237" s="94">
        <v>0.15</v>
      </c>
      <c r="E237" s="94">
        <v>0.15</v>
      </c>
      <c r="F237" s="94">
        <v>0.15</v>
      </c>
      <c r="G237" s="95">
        <v>0.15</v>
      </c>
    </row>
    <row r="238" spans="1:7">
      <c r="A238" s="104" t="s">
        <v>287</v>
      </c>
      <c r="B238" s="93" t="s">
        <v>2286</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2236</v>
      </c>
      <c r="C277" s="90">
        <v>0.15</v>
      </c>
      <c r="D277" s="90">
        <v>0.15</v>
      </c>
      <c r="E277" s="90">
        <v>0.15</v>
      </c>
      <c r="F277" s="90">
        <v>0.15</v>
      </c>
      <c r="G277" s="91">
        <v>0.15</v>
      </c>
    </row>
    <row r="278" spans="1:7">
      <c r="A278" s="104" t="s">
        <v>291</v>
      </c>
      <c r="B278" s="93" t="s">
        <v>2249</v>
      </c>
      <c r="C278" s="94">
        <v>0.15</v>
      </c>
      <c r="D278" s="94">
        <v>0.15</v>
      </c>
      <c r="E278" s="94">
        <v>0.15</v>
      </c>
      <c r="F278" s="94">
        <v>0.15</v>
      </c>
      <c r="G278" s="95">
        <v>0.15</v>
      </c>
    </row>
    <row r="279" spans="1:7">
      <c r="A279" s="104" t="s">
        <v>291</v>
      </c>
      <c r="B279" s="93" t="s">
        <v>2263</v>
      </c>
      <c r="C279" s="94">
        <v>0.15</v>
      </c>
      <c r="D279" s="94">
        <v>0.15</v>
      </c>
      <c r="E279" s="94">
        <v>0.15</v>
      </c>
      <c r="F279" s="94">
        <v>0.15</v>
      </c>
      <c r="G279" s="95">
        <v>0.15</v>
      </c>
    </row>
    <row r="280" spans="1:7">
      <c r="A280" s="104" t="s">
        <v>291</v>
      </c>
      <c r="B280" s="93" t="s">
        <v>2275</v>
      </c>
      <c r="C280" s="94">
        <v>0.15</v>
      </c>
      <c r="D280" s="94">
        <v>0.15</v>
      </c>
      <c r="E280" s="94">
        <v>0.15</v>
      </c>
      <c r="F280" s="94">
        <v>0.15</v>
      </c>
      <c r="G280" s="95">
        <v>0.15</v>
      </c>
    </row>
    <row r="281" spans="1:7">
      <c r="A281" s="104" t="s">
        <v>291</v>
      </c>
      <c r="B281" s="93" t="s">
        <v>2287</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2237</v>
      </c>
      <c r="C327" s="90">
        <v>0.15</v>
      </c>
      <c r="D327" s="90">
        <v>0.15</v>
      </c>
      <c r="E327" s="90">
        <v>0.15</v>
      </c>
      <c r="F327" s="90">
        <v>0.15</v>
      </c>
      <c r="G327" s="91">
        <v>0.15</v>
      </c>
    </row>
    <row r="328" spans="1:7">
      <c r="A328" s="104" t="s">
        <v>294</v>
      </c>
      <c r="B328" s="93" t="s">
        <v>2250</v>
      </c>
      <c r="C328" s="94">
        <v>0.15</v>
      </c>
      <c r="D328" s="94">
        <v>0.15</v>
      </c>
      <c r="E328" s="94">
        <v>0.15</v>
      </c>
      <c r="F328" s="94">
        <v>0.126</v>
      </c>
      <c r="G328" s="95">
        <v>0.15</v>
      </c>
    </row>
    <row r="329" spans="1:7">
      <c r="A329" s="104" t="s">
        <v>294</v>
      </c>
      <c r="B329" s="93" t="s">
        <v>2264</v>
      </c>
      <c r="C329" s="94">
        <v>0.15</v>
      </c>
      <c r="D329" s="94">
        <v>0.15</v>
      </c>
      <c r="E329" s="94">
        <v>0.15</v>
      </c>
      <c r="F329" s="94">
        <v>0.15</v>
      </c>
      <c r="G329" s="95">
        <v>0.15</v>
      </c>
    </row>
    <row r="330" spans="1:7">
      <c r="A330" s="104" t="s">
        <v>294</v>
      </c>
      <c r="B330" s="93" t="s">
        <v>2276</v>
      </c>
      <c r="C330" s="94">
        <v>0.15</v>
      </c>
      <c r="D330" s="94">
        <v>0.15</v>
      </c>
      <c r="E330" s="94">
        <v>0.15</v>
      </c>
      <c r="F330" s="94">
        <v>0.15</v>
      </c>
      <c r="G330" s="95">
        <v>0.15</v>
      </c>
    </row>
    <row r="331" spans="1:7">
      <c r="A331" s="104" t="s">
        <v>294</v>
      </c>
      <c r="B331" s="93" t="s">
        <v>2288</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5.15" spans="1:7">
      <c r="A357" s="107" t="s">
        <v>294</v>
      </c>
      <c r="B357" s="97" t="s">
        <v>2524</v>
      </c>
      <c r="C357" s="98">
        <v>0.126</v>
      </c>
      <c r="D357" s="98">
        <v>0.127</v>
      </c>
      <c r="E357" s="98">
        <v>0.143</v>
      </c>
      <c r="F357" s="98">
        <v>0.125</v>
      </c>
      <c r="G357" s="100">
        <v>0.129</v>
      </c>
    </row>
    <row r="358" spans="1:7">
      <c r="A358" s="103" t="s">
        <v>297</v>
      </c>
      <c r="B358" s="89" t="s">
        <v>2238</v>
      </c>
      <c r="C358" s="90">
        <v>0.15</v>
      </c>
      <c r="D358" s="90">
        <v>0.15</v>
      </c>
      <c r="E358" s="90">
        <v>0.15</v>
      </c>
      <c r="F358" s="90">
        <v>0.15</v>
      </c>
      <c r="G358" s="91">
        <v>0.15</v>
      </c>
    </row>
    <row r="359" spans="1:7">
      <c r="A359" s="104" t="s">
        <v>297</v>
      </c>
      <c r="B359" s="93" t="s">
        <v>2251</v>
      </c>
      <c r="C359" s="94">
        <v>0.1</v>
      </c>
      <c r="D359" s="94">
        <v>0.1</v>
      </c>
      <c r="E359" s="94">
        <v>0.1</v>
      </c>
      <c r="F359" s="94">
        <v>0.1</v>
      </c>
      <c r="G359" s="95">
        <v>0.1</v>
      </c>
    </row>
    <row r="360" spans="1:7">
      <c r="A360" s="104" t="s">
        <v>297</v>
      </c>
      <c r="B360" s="93" t="s">
        <v>2265</v>
      </c>
      <c r="C360" s="94">
        <v>0.15</v>
      </c>
      <c r="D360" s="94">
        <v>0.15</v>
      </c>
      <c r="E360" s="94">
        <v>0.15</v>
      </c>
      <c r="F360" s="94">
        <v>0.149</v>
      </c>
      <c r="G360" s="95">
        <v>0.15</v>
      </c>
    </row>
    <row r="361" spans="1:7">
      <c r="A361" s="104" t="s">
        <v>297</v>
      </c>
      <c r="B361" s="93" t="s">
        <v>2277</v>
      </c>
      <c r="C361" s="94">
        <v>0.15</v>
      </c>
      <c r="D361" s="94">
        <v>0.15</v>
      </c>
      <c r="E361" s="94">
        <v>0.15</v>
      </c>
      <c r="F361" s="94">
        <v>0.115</v>
      </c>
      <c r="G361" s="95">
        <v>0.15</v>
      </c>
    </row>
    <row r="362" spans="1:7">
      <c r="A362" s="104" t="s">
        <v>297</v>
      </c>
      <c r="B362" s="93" t="s">
        <v>2289</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5.15" spans="1:7">
      <c r="A377" s="107" t="s">
        <v>297</v>
      </c>
      <c r="B377" s="97" t="s">
        <v>2442</v>
      </c>
      <c r="C377" s="98">
        <v>0.15</v>
      </c>
      <c r="D377" s="98">
        <v>0.15</v>
      </c>
      <c r="E377" s="98">
        <v>0.15</v>
      </c>
      <c r="F377" s="98">
        <v>0.14</v>
      </c>
      <c r="G377" s="100">
        <v>0.15</v>
      </c>
    </row>
    <row r="378" spans="1:7">
      <c r="A378" s="103" t="s">
        <v>300</v>
      </c>
      <c r="B378" s="89" t="s">
        <v>2239</v>
      </c>
      <c r="C378" s="90">
        <v>0.15</v>
      </c>
      <c r="D378" s="90">
        <v>0.15</v>
      </c>
      <c r="E378" s="90">
        <v>0.15</v>
      </c>
      <c r="F378" s="90">
        <v>0.107</v>
      </c>
      <c r="G378" s="91">
        <v>0.15</v>
      </c>
    </row>
    <row r="379" spans="1:7">
      <c r="A379" s="104" t="s">
        <v>300</v>
      </c>
      <c r="B379" s="93" t="s">
        <v>2252</v>
      </c>
      <c r="C379" s="94">
        <v>0.15</v>
      </c>
      <c r="D379" s="94">
        <v>0.15</v>
      </c>
      <c r="E379" s="94">
        <v>0.15</v>
      </c>
      <c r="F379" s="94">
        <v>0.115</v>
      </c>
      <c r="G379" s="95">
        <v>0.149</v>
      </c>
    </row>
    <row r="380" spans="1:7">
      <c r="A380" s="104" t="s">
        <v>300</v>
      </c>
      <c r="B380" s="93" t="s">
        <v>2266</v>
      </c>
      <c r="C380" s="94">
        <v>0.15</v>
      </c>
      <c r="D380" s="94">
        <v>0.15</v>
      </c>
      <c r="E380" s="94">
        <v>0.15</v>
      </c>
      <c r="F380" s="94">
        <v>0.1</v>
      </c>
      <c r="G380" s="95">
        <v>0.148</v>
      </c>
    </row>
    <row r="381" spans="1:7">
      <c r="A381" s="104" t="s">
        <v>300</v>
      </c>
      <c r="B381" s="93" t="s">
        <v>2278</v>
      </c>
      <c r="C381" s="94">
        <v>0.15</v>
      </c>
      <c r="D381" s="94">
        <v>0.15</v>
      </c>
      <c r="E381" s="94">
        <v>0.15</v>
      </c>
      <c r="F381" s="94">
        <v>0.126</v>
      </c>
      <c r="G381" s="95">
        <v>0.15</v>
      </c>
    </row>
    <row r="382" spans="1:7">
      <c r="A382" s="104" t="s">
        <v>300</v>
      </c>
      <c r="B382" s="93" t="s">
        <v>2290</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5.1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7962962962963" style="13" customWidth="1"/>
    <col min="2" max="2" width="13.25" style="14" customWidth="1"/>
    <col min="3" max="3" width="15.6296296296296" style="14" customWidth="1"/>
    <col min="4" max="4" width="9.37962962962963" style="14" customWidth="1"/>
    <col min="5" max="5" width="13.5" style="14" customWidth="1"/>
    <col min="6" max="6" width="9" style="14"/>
    <col min="7" max="7" width="9.37962962962963" style="14" customWidth="1"/>
    <col min="8" max="8" width="12.25" style="14" customWidth="1"/>
    <col min="9" max="9" width="9" style="14"/>
    <col min="10" max="10" width="9.37962962962963" style="14" customWidth="1"/>
    <col min="11" max="11" width="4" style="13" customWidth="1"/>
    <col min="12" max="12" width="5.12962962962963" style="14" customWidth="1"/>
    <col min="13" max="13" width="13.75" style="14" customWidth="1"/>
    <col min="14" max="256" width="9" style="14"/>
    <col min="257" max="257" width="4.87962962962963" style="15" customWidth="1"/>
    <col min="258" max="258" width="13.25" style="15" customWidth="1"/>
    <col min="259" max="259" width="15.6296296296296" style="15" customWidth="1"/>
    <col min="260" max="260" width="9.37962962962963" style="15" customWidth="1"/>
    <col min="261" max="261" width="13.5" style="15" customWidth="1"/>
    <col min="262" max="262" width="9" style="15"/>
    <col min="263" max="263" width="9.37962962962963" style="15" customWidth="1"/>
    <col min="264" max="265" width="9" style="15"/>
    <col min="266" max="266" width="9.37962962962963" style="15" customWidth="1"/>
    <col min="267" max="267" width="4" style="15" customWidth="1"/>
    <col min="268" max="268" width="5.12962962962963" style="15" customWidth="1"/>
    <col min="269" max="269" width="13.75" style="15" customWidth="1"/>
    <col min="270" max="512" width="9" style="15"/>
    <col min="513" max="513" width="4.87962962962963" style="15" customWidth="1"/>
    <col min="514" max="514" width="13.25" style="15" customWidth="1"/>
    <col min="515" max="515" width="15.6296296296296" style="15" customWidth="1"/>
    <col min="516" max="516" width="9.37962962962963" style="15" customWidth="1"/>
    <col min="517" max="517" width="13.5" style="15" customWidth="1"/>
    <col min="518" max="518" width="9" style="15"/>
    <col min="519" max="519" width="9.37962962962963" style="15" customWidth="1"/>
    <col min="520" max="521" width="9" style="15"/>
    <col min="522" max="522" width="9.37962962962963" style="15" customWidth="1"/>
    <col min="523" max="523" width="4" style="15" customWidth="1"/>
    <col min="524" max="524" width="5.12962962962963" style="15" customWidth="1"/>
    <col min="525" max="525" width="13.75" style="15" customWidth="1"/>
    <col min="526" max="768" width="9" style="15"/>
    <col min="769" max="769" width="4.87962962962963" style="15" customWidth="1"/>
    <col min="770" max="770" width="13.25" style="15" customWidth="1"/>
    <col min="771" max="771" width="15.6296296296296" style="15" customWidth="1"/>
    <col min="772" max="772" width="9.37962962962963" style="15" customWidth="1"/>
    <col min="773" max="773" width="13.5" style="15" customWidth="1"/>
    <col min="774" max="774" width="9" style="15"/>
    <col min="775" max="775" width="9.37962962962963" style="15" customWidth="1"/>
    <col min="776" max="777" width="9" style="15"/>
    <col min="778" max="778" width="9.37962962962963" style="15" customWidth="1"/>
    <col min="779" max="779" width="4" style="15" customWidth="1"/>
    <col min="780" max="780" width="5.12962962962963" style="15" customWidth="1"/>
    <col min="781" max="781" width="13.75" style="15" customWidth="1"/>
    <col min="782" max="1024" width="9" style="15"/>
    <col min="1025" max="1025" width="4.87962962962963" style="15" customWidth="1"/>
    <col min="1026" max="1026" width="13.25" style="15" customWidth="1"/>
    <col min="1027" max="1027" width="15.6296296296296" style="15" customWidth="1"/>
    <col min="1028" max="1028" width="9.37962962962963" style="15" customWidth="1"/>
    <col min="1029" max="1029" width="13.5" style="15" customWidth="1"/>
    <col min="1030" max="1030" width="9" style="15"/>
    <col min="1031" max="1031" width="9.37962962962963" style="15" customWidth="1"/>
    <col min="1032" max="1033" width="9" style="15"/>
    <col min="1034" max="1034" width="9.37962962962963" style="15" customWidth="1"/>
    <col min="1035" max="1035" width="4" style="15" customWidth="1"/>
    <col min="1036" max="1036" width="5.12962962962963" style="15" customWidth="1"/>
    <col min="1037" max="1037" width="13.75" style="15" customWidth="1"/>
    <col min="1038" max="1280" width="9" style="15"/>
    <col min="1281" max="1281" width="4.87962962962963" style="15" customWidth="1"/>
    <col min="1282" max="1282" width="13.25" style="15" customWidth="1"/>
    <col min="1283" max="1283" width="15.6296296296296" style="15" customWidth="1"/>
    <col min="1284" max="1284" width="9.37962962962963" style="15" customWidth="1"/>
    <col min="1285" max="1285" width="13.5" style="15" customWidth="1"/>
    <col min="1286" max="1286" width="9" style="15"/>
    <col min="1287" max="1287" width="9.37962962962963" style="15" customWidth="1"/>
    <col min="1288" max="1289" width="9" style="15"/>
    <col min="1290" max="1290" width="9.37962962962963" style="15" customWidth="1"/>
    <col min="1291" max="1291" width="4" style="15" customWidth="1"/>
    <col min="1292" max="1292" width="5.12962962962963" style="15" customWidth="1"/>
    <col min="1293" max="1293" width="13.75" style="15" customWidth="1"/>
    <col min="1294" max="1536" width="9" style="15"/>
    <col min="1537" max="1537" width="4.87962962962963" style="15" customWidth="1"/>
    <col min="1538" max="1538" width="13.25" style="15" customWidth="1"/>
    <col min="1539" max="1539" width="15.6296296296296" style="15" customWidth="1"/>
    <col min="1540" max="1540" width="9.37962962962963" style="15" customWidth="1"/>
    <col min="1541" max="1541" width="13.5" style="15" customWidth="1"/>
    <col min="1542" max="1542" width="9" style="15"/>
    <col min="1543" max="1543" width="9.37962962962963" style="15" customWidth="1"/>
    <col min="1544" max="1545" width="9" style="15"/>
    <col min="1546" max="1546" width="9.37962962962963" style="15" customWidth="1"/>
    <col min="1547" max="1547" width="4" style="15" customWidth="1"/>
    <col min="1548" max="1548" width="5.12962962962963" style="15" customWidth="1"/>
    <col min="1549" max="1549" width="13.75" style="15" customWidth="1"/>
    <col min="1550" max="1792" width="9" style="15"/>
    <col min="1793" max="1793" width="4.87962962962963" style="15" customWidth="1"/>
    <col min="1794" max="1794" width="13.25" style="15" customWidth="1"/>
    <col min="1795" max="1795" width="15.6296296296296" style="15" customWidth="1"/>
    <col min="1796" max="1796" width="9.37962962962963" style="15" customWidth="1"/>
    <col min="1797" max="1797" width="13.5" style="15" customWidth="1"/>
    <col min="1798" max="1798" width="9" style="15"/>
    <col min="1799" max="1799" width="9.37962962962963" style="15" customWidth="1"/>
    <col min="1800" max="1801" width="9" style="15"/>
    <col min="1802" max="1802" width="9.37962962962963" style="15" customWidth="1"/>
    <col min="1803" max="1803" width="4" style="15" customWidth="1"/>
    <col min="1804" max="1804" width="5.12962962962963" style="15" customWidth="1"/>
    <col min="1805" max="1805" width="13.75" style="15" customWidth="1"/>
    <col min="1806" max="2048" width="9" style="15"/>
    <col min="2049" max="2049" width="4.87962962962963" style="15" customWidth="1"/>
    <col min="2050" max="2050" width="13.25" style="15" customWidth="1"/>
    <col min="2051" max="2051" width="15.6296296296296" style="15" customWidth="1"/>
    <col min="2052" max="2052" width="9.37962962962963" style="15" customWidth="1"/>
    <col min="2053" max="2053" width="13.5" style="15" customWidth="1"/>
    <col min="2054" max="2054" width="9" style="15"/>
    <col min="2055" max="2055" width="9.37962962962963" style="15" customWidth="1"/>
    <col min="2056" max="2057" width="9" style="15"/>
    <col min="2058" max="2058" width="9.37962962962963" style="15" customWidth="1"/>
    <col min="2059" max="2059" width="4" style="15" customWidth="1"/>
    <col min="2060" max="2060" width="5.12962962962963" style="15" customWidth="1"/>
    <col min="2061" max="2061" width="13.75" style="15" customWidth="1"/>
    <col min="2062" max="2304" width="9" style="15"/>
    <col min="2305" max="2305" width="4.87962962962963" style="15" customWidth="1"/>
    <col min="2306" max="2306" width="13.25" style="15" customWidth="1"/>
    <col min="2307" max="2307" width="15.6296296296296" style="15" customWidth="1"/>
    <col min="2308" max="2308" width="9.37962962962963" style="15" customWidth="1"/>
    <col min="2309" max="2309" width="13.5" style="15" customWidth="1"/>
    <col min="2310" max="2310" width="9" style="15"/>
    <col min="2311" max="2311" width="9.37962962962963" style="15" customWidth="1"/>
    <col min="2312" max="2313" width="9" style="15"/>
    <col min="2314" max="2314" width="9.37962962962963" style="15" customWidth="1"/>
    <col min="2315" max="2315" width="4" style="15" customWidth="1"/>
    <col min="2316" max="2316" width="5.12962962962963" style="15" customWidth="1"/>
    <col min="2317" max="2317" width="13.75" style="15" customWidth="1"/>
    <col min="2318" max="2560" width="9" style="15"/>
    <col min="2561" max="2561" width="4.87962962962963" style="15" customWidth="1"/>
    <col min="2562" max="2562" width="13.25" style="15" customWidth="1"/>
    <col min="2563" max="2563" width="15.6296296296296" style="15" customWidth="1"/>
    <col min="2564" max="2564" width="9.37962962962963" style="15" customWidth="1"/>
    <col min="2565" max="2565" width="13.5" style="15" customWidth="1"/>
    <col min="2566" max="2566" width="9" style="15"/>
    <col min="2567" max="2567" width="9.37962962962963" style="15" customWidth="1"/>
    <col min="2568" max="2569" width="9" style="15"/>
    <col min="2570" max="2570" width="9.37962962962963" style="15" customWidth="1"/>
    <col min="2571" max="2571" width="4" style="15" customWidth="1"/>
    <col min="2572" max="2572" width="5.12962962962963" style="15" customWidth="1"/>
    <col min="2573" max="2573" width="13.75" style="15" customWidth="1"/>
    <col min="2574" max="2816" width="9" style="15"/>
    <col min="2817" max="2817" width="4.87962962962963" style="15" customWidth="1"/>
    <col min="2818" max="2818" width="13.25" style="15" customWidth="1"/>
    <col min="2819" max="2819" width="15.6296296296296" style="15" customWidth="1"/>
    <col min="2820" max="2820" width="9.37962962962963" style="15" customWidth="1"/>
    <col min="2821" max="2821" width="13.5" style="15" customWidth="1"/>
    <col min="2822" max="2822" width="9" style="15"/>
    <col min="2823" max="2823" width="9.37962962962963" style="15" customWidth="1"/>
    <col min="2824" max="2825" width="9" style="15"/>
    <col min="2826" max="2826" width="9.37962962962963" style="15" customWidth="1"/>
    <col min="2827" max="2827" width="4" style="15" customWidth="1"/>
    <col min="2828" max="2828" width="5.12962962962963" style="15" customWidth="1"/>
    <col min="2829" max="2829" width="13.75" style="15" customWidth="1"/>
    <col min="2830" max="3072" width="9" style="15"/>
    <col min="3073" max="3073" width="4.87962962962963" style="15" customWidth="1"/>
    <col min="3074" max="3074" width="13.25" style="15" customWidth="1"/>
    <col min="3075" max="3075" width="15.6296296296296" style="15" customWidth="1"/>
    <col min="3076" max="3076" width="9.37962962962963" style="15" customWidth="1"/>
    <col min="3077" max="3077" width="13.5" style="15" customWidth="1"/>
    <col min="3078" max="3078" width="9" style="15"/>
    <col min="3079" max="3079" width="9.37962962962963" style="15" customWidth="1"/>
    <col min="3080" max="3081" width="9" style="15"/>
    <col min="3082" max="3082" width="9.37962962962963" style="15" customWidth="1"/>
    <col min="3083" max="3083" width="4" style="15" customWidth="1"/>
    <col min="3084" max="3084" width="5.12962962962963" style="15" customWidth="1"/>
    <col min="3085" max="3085" width="13.75" style="15" customWidth="1"/>
    <col min="3086" max="3328" width="9" style="15"/>
    <col min="3329" max="3329" width="4.87962962962963" style="15" customWidth="1"/>
    <col min="3330" max="3330" width="13.25" style="15" customWidth="1"/>
    <col min="3331" max="3331" width="15.6296296296296" style="15" customWidth="1"/>
    <col min="3332" max="3332" width="9.37962962962963" style="15" customWidth="1"/>
    <col min="3333" max="3333" width="13.5" style="15" customWidth="1"/>
    <col min="3334" max="3334" width="9" style="15"/>
    <col min="3335" max="3335" width="9.37962962962963" style="15" customWidth="1"/>
    <col min="3336" max="3337" width="9" style="15"/>
    <col min="3338" max="3338" width="9.37962962962963" style="15" customWidth="1"/>
    <col min="3339" max="3339" width="4" style="15" customWidth="1"/>
    <col min="3340" max="3340" width="5.12962962962963" style="15" customWidth="1"/>
    <col min="3341" max="3341" width="13.75" style="15" customWidth="1"/>
    <col min="3342" max="3584" width="9" style="15"/>
    <col min="3585" max="3585" width="4.87962962962963" style="15" customWidth="1"/>
    <col min="3586" max="3586" width="13.25" style="15" customWidth="1"/>
    <col min="3587" max="3587" width="15.6296296296296" style="15" customWidth="1"/>
    <col min="3588" max="3588" width="9.37962962962963" style="15" customWidth="1"/>
    <col min="3589" max="3589" width="13.5" style="15" customWidth="1"/>
    <col min="3590" max="3590" width="9" style="15"/>
    <col min="3591" max="3591" width="9.37962962962963" style="15" customWidth="1"/>
    <col min="3592" max="3593" width="9" style="15"/>
    <col min="3594" max="3594" width="9.37962962962963" style="15" customWidth="1"/>
    <col min="3595" max="3595" width="4" style="15" customWidth="1"/>
    <col min="3596" max="3596" width="5.12962962962963" style="15" customWidth="1"/>
    <col min="3597" max="3597" width="13.75" style="15" customWidth="1"/>
    <col min="3598" max="3840" width="9" style="15"/>
    <col min="3841" max="3841" width="4.87962962962963" style="15" customWidth="1"/>
    <col min="3842" max="3842" width="13.25" style="15" customWidth="1"/>
    <col min="3843" max="3843" width="15.6296296296296" style="15" customWidth="1"/>
    <col min="3844" max="3844" width="9.37962962962963" style="15" customWidth="1"/>
    <col min="3845" max="3845" width="13.5" style="15" customWidth="1"/>
    <col min="3846" max="3846" width="9" style="15"/>
    <col min="3847" max="3847" width="9.37962962962963" style="15" customWidth="1"/>
    <col min="3848" max="3849" width="9" style="15"/>
    <col min="3850" max="3850" width="9.37962962962963" style="15" customWidth="1"/>
    <col min="3851" max="3851" width="4" style="15" customWidth="1"/>
    <col min="3852" max="3852" width="5.12962962962963" style="15" customWidth="1"/>
    <col min="3853" max="3853" width="13.75" style="15" customWidth="1"/>
    <col min="3854" max="4096" width="9" style="15"/>
    <col min="4097" max="4097" width="4.87962962962963" style="15" customWidth="1"/>
    <col min="4098" max="4098" width="13.25" style="15" customWidth="1"/>
    <col min="4099" max="4099" width="15.6296296296296" style="15" customWidth="1"/>
    <col min="4100" max="4100" width="9.37962962962963" style="15" customWidth="1"/>
    <col min="4101" max="4101" width="13.5" style="15" customWidth="1"/>
    <col min="4102" max="4102" width="9" style="15"/>
    <col min="4103" max="4103" width="9.37962962962963" style="15" customWidth="1"/>
    <col min="4104" max="4105" width="9" style="15"/>
    <col min="4106" max="4106" width="9.37962962962963" style="15" customWidth="1"/>
    <col min="4107" max="4107" width="4" style="15" customWidth="1"/>
    <col min="4108" max="4108" width="5.12962962962963" style="15" customWidth="1"/>
    <col min="4109" max="4109" width="13.75" style="15" customWidth="1"/>
    <col min="4110" max="4352" width="9" style="15"/>
    <col min="4353" max="4353" width="4.87962962962963" style="15" customWidth="1"/>
    <col min="4354" max="4354" width="13.25" style="15" customWidth="1"/>
    <col min="4355" max="4355" width="15.6296296296296" style="15" customWidth="1"/>
    <col min="4356" max="4356" width="9.37962962962963" style="15" customWidth="1"/>
    <col min="4357" max="4357" width="13.5" style="15" customWidth="1"/>
    <col min="4358" max="4358" width="9" style="15"/>
    <col min="4359" max="4359" width="9.37962962962963" style="15" customWidth="1"/>
    <col min="4360" max="4361" width="9" style="15"/>
    <col min="4362" max="4362" width="9.37962962962963" style="15" customWidth="1"/>
    <col min="4363" max="4363" width="4" style="15" customWidth="1"/>
    <col min="4364" max="4364" width="5.12962962962963" style="15" customWidth="1"/>
    <col min="4365" max="4365" width="13.75" style="15" customWidth="1"/>
    <col min="4366" max="4608" width="9" style="15"/>
    <col min="4609" max="4609" width="4.87962962962963" style="15" customWidth="1"/>
    <col min="4610" max="4610" width="13.25" style="15" customWidth="1"/>
    <col min="4611" max="4611" width="15.6296296296296" style="15" customWidth="1"/>
    <col min="4612" max="4612" width="9.37962962962963" style="15" customWidth="1"/>
    <col min="4613" max="4613" width="13.5" style="15" customWidth="1"/>
    <col min="4614" max="4614" width="9" style="15"/>
    <col min="4615" max="4615" width="9.37962962962963" style="15" customWidth="1"/>
    <col min="4616" max="4617" width="9" style="15"/>
    <col min="4618" max="4618" width="9.37962962962963" style="15" customWidth="1"/>
    <col min="4619" max="4619" width="4" style="15" customWidth="1"/>
    <col min="4620" max="4620" width="5.12962962962963" style="15" customWidth="1"/>
    <col min="4621" max="4621" width="13.75" style="15" customWidth="1"/>
    <col min="4622" max="4864" width="9" style="15"/>
    <col min="4865" max="4865" width="4.87962962962963" style="15" customWidth="1"/>
    <col min="4866" max="4866" width="13.25" style="15" customWidth="1"/>
    <col min="4867" max="4867" width="15.6296296296296" style="15" customWidth="1"/>
    <col min="4868" max="4868" width="9.37962962962963" style="15" customWidth="1"/>
    <col min="4869" max="4869" width="13.5" style="15" customWidth="1"/>
    <col min="4870" max="4870" width="9" style="15"/>
    <col min="4871" max="4871" width="9.37962962962963" style="15" customWidth="1"/>
    <col min="4872" max="4873" width="9" style="15"/>
    <col min="4874" max="4874" width="9.37962962962963" style="15" customWidth="1"/>
    <col min="4875" max="4875" width="4" style="15" customWidth="1"/>
    <col min="4876" max="4876" width="5.12962962962963" style="15" customWidth="1"/>
    <col min="4877" max="4877" width="13.75" style="15" customWidth="1"/>
    <col min="4878" max="5120" width="9" style="15"/>
    <col min="5121" max="5121" width="4.87962962962963" style="15" customWidth="1"/>
    <col min="5122" max="5122" width="13.25" style="15" customWidth="1"/>
    <col min="5123" max="5123" width="15.6296296296296" style="15" customWidth="1"/>
    <col min="5124" max="5124" width="9.37962962962963" style="15" customWidth="1"/>
    <col min="5125" max="5125" width="13.5" style="15" customWidth="1"/>
    <col min="5126" max="5126" width="9" style="15"/>
    <col min="5127" max="5127" width="9.37962962962963" style="15" customWidth="1"/>
    <col min="5128" max="5129" width="9" style="15"/>
    <col min="5130" max="5130" width="9.37962962962963" style="15" customWidth="1"/>
    <col min="5131" max="5131" width="4" style="15" customWidth="1"/>
    <col min="5132" max="5132" width="5.12962962962963" style="15" customWidth="1"/>
    <col min="5133" max="5133" width="13.75" style="15" customWidth="1"/>
    <col min="5134" max="5376" width="9" style="15"/>
    <col min="5377" max="5377" width="4.87962962962963" style="15" customWidth="1"/>
    <col min="5378" max="5378" width="13.25" style="15" customWidth="1"/>
    <col min="5379" max="5379" width="15.6296296296296" style="15" customWidth="1"/>
    <col min="5380" max="5380" width="9.37962962962963" style="15" customWidth="1"/>
    <col min="5381" max="5381" width="13.5" style="15" customWidth="1"/>
    <col min="5382" max="5382" width="9" style="15"/>
    <col min="5383" max="5383" width="9.37962962962963" style="15" customWidth="1"/>
    <col min="5384" max="5385" width="9" style="15"/>
    <col min="5386" max="5386" width="9.37962962962963" style="15" customWidth="1"/>
    <col min="5387" max="5387" width="4" style="15" customWidth="1"/>
    <col min="5388" max="5388" width="5.12962962962963" style="15" customWidth="1"/>
    <col min="5389" max="5389" width="13.75" style="15" customWidth="1"/>
    <col min="5390" max="5632" width="9" style="15"/>
    <col min="5633" max="5633" width="4.87962962962963" style="15" customWidth="1"/>
    <col min="5634" max="5634" width="13.25" style="15" customWidth="1"/>
    <col min="5635" max="5635" width="15.6296296296296" style="15" customWidth="1"/>
    <col min="5636" max="5636" width="9.37962962962963" style="15" customWidth="1"/>
    <col min="5637" max="5637" width="13.5" style="15" customWidth="1"/>
    <col min="5638" max="5638" width="9" style="15"/>
    <col min="5639" max="5639" width="9.37962962962963" style="15" customWidth="1"/>
    <col min="5640" max="5641" width="9" style="15"/>
    <col min="5642" max="5642" width="9.37962962962963" style="15" customWidth="1"/>
    <col min="5643" max="5643" width="4" style="15" customWidth="1"/>
    <col min="5644" max="5644" width="5.12962962962963" style="15" customWidth="1"/>
    <col min="5645" max="5645" width="13.75" style="15" customWidth="1"/>
    <col min="5646" max="5888" width="9" style="15"/>
    <col min="5889" max="5889" width="4.87962962962963" style="15" customWidth="1"/>
    <col min="5890" max="5890" width="13.25" style="15" customWidth="1"/>
    <col min="5891" max="5891" width="15.6296296296296" style="15" customWidth="1"/>
    <col min="5892" max="5892" width="9.37962962962963" style="15" customWidth="1"/>
    <col min="5893" max="5893" width="13.5" style="15" customWidth="1"/>
    <col min="5894" max="5894" width="9" style="15"/>
    <col min="5895" max="5895" width="9.37962962962963" style="15" customWidth="1"/>
    <col min="5896" max="5897" width="9" style="15"/>
    <col min="5898" max="5898" width="9.37962962962963" style="15" customWidth="1"/>
    <col min="5899" max="5899" width="4" style="15" customWidth="1"/>
    <col min="5900" max="5900" width="5.12962962962963" style="15" customWidth="1"/>
    <col min="5901" max="5901" width="13.75" style="15" customWidth="1"/>
    <col min="5902" max="6144" width="9" style="15"/>
    <col min="6145" max="6145" width="4.87962962962963" style="15" customWidth="1"/>
    <col min="6146" max="6146" width="13.25" style="15" customWidth="1"/>
    <col min="6147" max="6147" width="15.6296296296296" style="15" customWidth="1"/>
    <col min="6148" max="6148" width="9.37962962962963" style="15" customWidth="1"/>
    <col min="6149" max="6149" width="13.5" style="15" customWidth="1"/>
    <col min="6150" max="6150" width="9" style="15"/>
    <col min="6151" max="6151" width="9.37962962962963" style="15" customWidth="1"/>
    <col min="6152" max="6153" width="9" style="15"/>
    <col min="6154" max="6154" width="9.37962962962963" style="15" customWidth="1"/>
    <col min="6155" max="6155" width="4" style="15" customWidth="1"/>
    <col min="6156" max="6156" width="5.12962962962963" style="15" customWidth="1"/>
    <col min="6157" max="6157" width="13.75" style="15" customWidth="1"/>
    <col min="6158" max="6400" width="9" style="15"/>
    <col min="6401" max="6401" width="4.87962962962963" style="15" customWidth="1"/>
    <col min="6402" max="6402" width="13.25" style="15" customWidth="1"/>
    <col min="6403" max="6403" width="15.6296296296296" style="15" customWidth="1"/>
    <col min="6404" max="6404" width="9.37962962962963" style="15" customWidth="1"/>
    <col min="6405" max="6405" width="13.5" style="15" customWidth="1"/>
    <col min="6406" max="6406" width="9" style="15"/>
    <col min="6407" max="6407" width="9.37962962962963" style="15" customWidth="1"/>
    <col min="6408" max="6409" width="9" style="15"/>
    <col min="6410" max="6410" width="9.37962962962963" style="15" customWidth="1"/>
    <col min="6411" max="6411" width="4" style="15" customWidth="1"/>
    <col min="6412" max="6412" width="5.12962962962963" style="15" customWidth="1"/>
    <col min="6413" max="6413" width="13.75" style="15" customWidth="1"/>
    <col min="6414" max="6656" width="9" style="15"/>
    <col min="6657" max="6657" width="4.87962962962963" style="15" customWidth="1"/>
    <col min="6658" max="6658" width="13.25" style="15" customWidth="1"/>
    <col min="6659" max="6659" width="15.6296296296296" style="15" customWidth="1"/>
    <col min="6660" max="6660" width="9.37962962962963" style="15" customWidth="1"/>
    <col min="6661" max="6661" width="13.5" style="15" customWidth="1"/>
    <col min="6662" max="6662" width="9" style="15"/>
    <col min="6663" max="6663" width="9.37962962962963" style="15" customWidth="1"/>
    <col min="6664" max="6665" width="9" style="15"/>
    <col min="6666" max="6666" width="9.37962962962963" style="15" customWidth="1"/>
    <col min="6667" max="6667" width="4" style="15" customWidth="1"/>
    <col min="6668" max="6668" width="5.12962962962963" style="15" customWidth="1"/>
    <col min="6669" max="6669" width="13.75" style="15" customWidth="1"/>
    <col min="6670" max="6912" width="9" style="15"/>
    <col min="6913" max="6913" width="4.87962962962963" style="15" customWidth="1"/>
    <col min="6914" max="6914" width="13.25" style="15" customWidth="1"/>
    <col min="6915" max="6915" width="15.6296296296296" style="15" customWidth="1"/>
    <col min="6916" max="6916" width="9.37962962962963" style="15" customWidth="1"/>
    <col min="6917" max="6917" width="13.5" style="15" customWidth="1"/>
    <col min="6918" max="6918" width="9" style="15"/>
    <col min="6919" max="6919" width="9.37962962962963" style="15" customWidth="1"/>
    <col min="6920" max="6921" width="9" style="15"/>
    <col min="6922" max="6922" width="9.37962962962963" style="15" customWidth="1"/>
    <col min="6923" max="6923" width="4" style="15" customWidth="1"/>
    <col min="6924" max="6924" width="5.12962962962963" style="15" customWidth="1"/>
    <col min="6925" max="6925" width="13.75" style="15" customWidth="1"/>
    <col min="6926" max="7168" width="9" style="15"/>
    <col min="7169" max="7169" width="4.87962962962963" style="15" customWidth="1"/>
    <col min="7170" max="7170" width="13.25" style="15" customWidth="1"/>
    <col min="7171" max="7171" width="15.6296296296296" style="15" customWidth="1"/>
    <col min="7172" max="7172" width="9.37962962962963" style="15" customWidth="1"/>
    <col min="7173" max="7173" width="13.5" style="15" customWidth="1"/>
    <col min="7174" max="7174" width="9" style="15"/>
    <col min="7175" max="7175" width="9.37962962962963" style="15" customWidth="1"/>
    <col min="7176" max="7177" width="9" style="15"/>
    <col min="7178" max="7178" width="9.37962962962963" style="15" customWidth="1"/>
    <col min="7179" max="7179" width="4" style="15" customWidth="1"/>
    <col min="7180" max="7180" width="5.12962962962963" style="15" customWidth="1"/>
    <col min="7181" max="7181" width="13.75" style="15" customWidth="1"/>
    <col min="7182" max="7424" width="9" style="15"/>
    <col min="7425" max="7425" width="4.87962962962963" style="15" customWidth="1"/>
    <col min="7426" max="7426" width="13.25" style="15" customWidth="1"/>
    <col min="7427" max="7427" width="15.6296296296296" style="15" customWidth="1"/>
    <col min="7428" max="7428" width="9.37962962962963" style="15" customWidth="1"/>
    <col min="7429" max="7429" width="13.5" style="15" customWidth="1"/>
    <col min="7430" max="7430" width="9" style="15"/>
    <col min="7431" max="7431" width="9.37962962962963" style="15" customWidth="1"/>
    <col min="7432" max="7433" width="9" style="15"/>
    <col min="7434" max="7434" width="9.37962962962963" style="15" customWidth="1"/>
    <col min="7435" max="7435" width="4" style="15" customWidth="1"/>
    <col min="7436" max="7436" width="5.12962962962963" style="15" customWidth="1"/>
    <col min="7437" max="7437" width="13.75" style="15" customWidth="1"/>
    <col min="7438" max="7680" width="9" style="15"/>
    <col min="7681" max="7681" width="4.87962962962963" style="15" customWidth="1"/>
    <col min="7682" max="7682" width="13.25" style="15" customWidth="1"/>
    <col min="7683" max="7683" width="15.6296296296296" style="15" customWidth="1"/>
    <col min="7684" max="7684" width="9.37962962962963" style="15" customWidth="1"/>
    <col min="7685" max="7685" width="13.5" style="15" customWidth="1"/>
    <col min="7686" max="7686" width="9" style="15"/>
    <col min="7687" max="7687" width="9.37962962962963" style="15" customWidth="1"/>
    <col min="7688" max="7689" width="9" style="15"/>
    <col min="7690" max="7690" width="9.37962962962963" style="15" customWidth="1"/>
    <col min="7691" max="7691" width="4" style="15" customWidth="1"/>
    <col min="7692" max="7692" width="5.12962962962963" style="15" customWidth="1"/>
    <col min="7693" max="7693" width="13.75" style="15" customWidth="1"/>
    <col min="7694" max="7936" width="9" style="15"/>
    <col min="7937" max="7937" width="4.87962962962963" style="15" customWidth="1"/>
    <col min="7938" max="7938" width="13.25" style="15" customWidth="1"/>
    <col min="7939" max="7939" width="15.6296296296296" style="15" customWidth="1"/>
    <col min="7940" max="7940" width="9.37962962962963" style="15" customWidth="1"/>
    <col min="7941" max="7941" width="13.5" style="15" customWidth="1"/>
    <col min="7942" max="7942" width="9" style="15"/>
    <col min="7943" max="7943" width="9.37962962962963" style="15" customWidth="1"/>
    <col min="7944" max="7945" width="9" style="15"/>
    <col min="7946" max="7946" width="9.37962962962963" style="15" customWidth="1"/>
    <col min="7947" max="7947" width="4" style="15" customWidth="1"/>
    <col min="7948" max="7948" width="5.12962962962963" style="15" customWidth="1"/>
    <col min="7949" max="7949" width="13.75" style="15" customWidth="1"/>
    <col min="7950" max="8192" width="9" style="15"/>
    <col min="8193" max="8193" width="4.87962962962963" style="15" customWidth="1"/>
    <col min="8194" max="8194" width="13.25" style="15" customWidth="1"/>
    <col min="8195" max="8195" width="15.6296296296296" style="15" customWidth="1"/>
    <col min="8196" max="8196" width="9.37962962962963" style="15" customWidth="1"/>
    <col min="8197" max="8197" width="13.5" style="15" customWidth="1"/>
    <col min="8198" max="8198" width="9" style="15"/>
    <col min="8199" max="8199" width="9.37962962962963" style="15" customWidth="1"/>
    <col min="8200" max="8201" width="9" style="15"/>
    <col min="8202" max="8202" width="9.37962962962963" style="15" customWidth="1"/>
    <col min="8203" max="8203" width="4" style="15" customWidth="1"/>
    <col min="8204" max="8204" width="5.12962962962963" style="15" customWidth="1"/>
    <col min="8205" max="8205" width="13.75" style="15" customWidth="1"/>
    <col min="8206" max="8448" width="9" style="15"/>
    <col min="8449" max="8449" width="4.87962962962963" style="15" customWidth="1"/>
    <col min="8450" max="8450" width="13.25" style="15" customWidth="1"/>
    <col min="8451" max="8451" width="15.6296296296296" style="15" customWidth="1"/>
    <col min="8452" max="8452" width="9.37962962962963" style="15" customWidth="1"/>
    <col min="8453" max="8453" width="13.5" style="15" customWidth="1"/>
    <col min="8454" max="8454" width="9" style="15"/>
    <col min="8455" max="8455" width="9.37962962962963" style="15" customWidth="1"/>
    <col min="8456" max="8457" width="9" style="15"/>
    <col min="8458" max="8458" width="9.37962962962963" style="15" customWidth="1"/>
    <col min="8459" max="8459" width="4" style="15" customWidth="1"/>
    <col min="8460" max="8460" width="5.12962962962963" style="15" customWidth="1"/>
    <col min="8461" max="8461" width="13.75" style="15" customWidth="1"/>
    <col min="8462" max="8704" width="9" style="15"/>
    <col min="8705" max="8705" width="4.87962962962963" style="15" customWidth="1"/>
    <col min="8706" max="8706" width="13.25" style="15" customWidth="1"/>
    <col min="8707" max="8707" width="15.6296296296296" style="15" customWidth="1"/>
    <col min="8708" max="8708" width="9.37962962962963" style="15" customWidth="1"/>
    <col min="8709" max="8709" width="13.5" style="15" customWidth="1"/>
    <col min="8710" max="8710" width="9" style="15"/>
    <col min="8711" max="8711" width="9.37962962962963" style="15" customWidth="1"/>
    <col min="8712" max="8713" width="9" style="15"/>
    <col min="8714" max="8714" width="9.37962962962963" style="15" customWidth="1"/>
    <col min="8715" max="8715" width="4" style="15" customWidth="1"/>
    <col min="8716" max="8716" width="5.12962962962963" style="15" customWidth="1"/>
    <col min="8717" max="8717" width="13.75" style="15" customWidth="1"/>
    <col min="8718" max="8960" width="9" style="15"/>
    <col min="8961" max="8961" width="4.87962962962963" style="15" customWidth="1"/>
    <col min="8962" max="8962" width="13.25" style="15" customWidth="1"/>
    <col min="8963" max="8963" width="15.6296296296296" style="15" customWidth="1"/>
    <col min="8964" max="8964" width="9.37962962962963" style="15" customWidth="1"/>
    <col min="8965" max="8965" width="13.5" style="15" customWidth="1"/>
    <col min="8966" max="8966" width="9" style="15"/>
    <col min="8967" max="8967" width="9.37962962962963" style="15" customWidth="1"/>
    <col min="8968" max="8969" width="9" style="15"/>
    <col min="8970" max="8970" width="9.37962962962963" style="15" customWidth="1"/>
    <col min="8971" max="8971" width="4" style="15" customWidth="1"/>
    <col min="8972" max="8972" width="5.12962962962963" style="15" customWidth="1"/>
    <col min="8973" max="8973" width="13.75" style="15" customWidth="1"/>
    <col min="8974" max="9216" width="9" style="15"/>
    <col min="9217" max="9217" width="4.87962962962963" style="15" customWidth="1"/>
    <col min="9218" max="9218" width="13.25" style="15" customWidth="1"/>
    <col min="9219" max="9219" width="15.6296296296296" style="15" customWidth="1"/>
    <col min="9220" max="9220" width="9.37962962962963" style="15" customWidth="1"/>
    <col min="9221" max="9221" width="13.5" style="15" customWidth="1"/>
    <col min="9222" max="9222" width="9" style="15"/>
    <col min="9223" max="9223" width="9.37962962962963" style="15" customWidth="1"/>
    <col min="9224" max="9225" width="9" style="15"/>
    <col min="9226" max="9226" width="9.37962962962963" style="15" customWidth="1"/>
    <col min="9227" max="9227" width="4" style="15" customWidth="1"/>
    <col min="9228" max="9228" width="5.12962962962963" style="15" customWidth="1"/>
    <col min="9229" max="9229" width="13.75" style="15" customWidth="1"/>
    <col min="9230" max="9472" width="9" style="15"/>
    <col min="9473" max="9473" width="4.87962962962963" style="15" customWidth="1"/>
    <col min="9474" max="9474" width="13.25" style="15" customWidth="1"/>
    <col min="9475" max="9475" width="15.6296296296296" style="15" customWidth="1"/>
    <col min="9476" max="9476" width="9.37962962962963" style="15" customWidth="1"/>
    <col min="9477" max="9477" width="13.5" style="15" customWidth="1"/>
    <col min="9478" max="9478" width="9" style="15"/>
    <col min="9479" max="9479" width="9.37962962962963" style="15" customWidth="1"/>
    <col min="9480" max="9481" width="9" style="15"/>
    <col min="9482" max="9482" width="9.37962962962963" style="15" customWidth="1"/>
    <col min="9483" max="9483" width="4" style="15" customWidth="1"/>
    <col min="9484" max="9484" width="5.12962962962963" style="15" customWidth="1"/>
    <col min="9485" max="9485" width="13.75" style="15" customWidth="1"/>
    <col min="9486" max="9728" width="9" style="15"/>
    <col min="9729" max="9729" width="4.87962962962963" style="15" customWidth="1"/>
    <col min="9730" max="9730" width="13.25" style="15" customWidth="1"/>
    <col min="9731" max="9731" width="15.6296296296296" style="15" customWidth="1"/>
    <col min="9732" max="9732" width="9.37962962962963" style="15" customWidth="1"/>
    <col min="9733" max="9733" width="13.5" style="15" customWidth="1"/>
    <col min="9734" max="9734" width="9" style="15"/>
    <col min="9735" max="9735" width="9.37962962962963" style="15" customWidth="1"/>
    <col min="9736" max="9737" width="9" style="15"/>
    <col min="9738" max="9738" width="9.37962962962963" style="15" customWidth="1"/>
    <col min="9739" max="9739" width="4" style="15" customWidth="1"/>
    <col min="9740" max="9740" width="5.12962962962963" style="15" customWidth="1"/>
    <col min="9741" max="9741" width="13.75" style="15" customWidth="1"/>
    <col min="9742" max="9984" width="9" style="15"/>
    <col min="9985" max="9985" width="4.87962962962963" style="15" customWidth="1"/>
    <col min="9986" max="9986" width="13.25" style="15" customWidth="1"/>
    <col min="9987" max="9987" width="15.6296296296296" style="15" customWidth="1"/>
    <col min="9988" max="9988" width="9.37962962962963" style="15" customWidth="1"/>
    <col min="9989" max="9989" width="13.5" style="15" customWidth="1"/>
    <col min="9990" max="9990" width="9" style="15"/>
    <col min="9991" max="9991" width="9.37962962962963" style="15" customWidth="1"/>
    <col min="9992" max="9993" width="9" style="15"/>
    <col min="9994" max="9994" width="9.37962962962963" style="15" customWidth="1"/>
    <col min="9995" max="9995" width="4" style="15" customWidth="1"/>
    <col min="9996" max="9996" width="5.12962962962963" style="15" customWidth="1"/>
    <col min="9997" max="9997" width="13.75" style="15" customWidth="1"/>
    <col min="9998" max="10240" width="9" style="15"/>
    <col min="10241" max="10241" width="4.87962962962963" style="15" customWidth="1"/>
    <col min="10242" max="10242" width="13.25" style="15" customWidth="1"/>
    <col min="10243" max="10243" width="15.6296296296296" style="15" customWidth="1"/>
    <col min="10244" max="10244" width="9.37962962962963" style="15" customWidth="1"/>
    <col min="10245" max="10245" width="13.5" style="15" customWidth="1"/>
    <col min="10246" max="10246" width="9" style="15"/>
    <col min="10247" max="10247" width="9.37962962962963" style="15" customWidth="1"/>
    <col min="10248" max="10249" width="9" style="15"/>
    <col min="10250" max="10250" width="9.37962962962963" style="15" customWidth="1"/>
    <col min="10251" max="10251" width="4" style="15" customWidth="1"/>
    <col min="10252" max="10252" width="5.12962962962963" style="15" customWidth="1"/>
    <col min="10253" max="10253" width="13.75" style="15" customWidth="1"/>
    <col min="10254" max="10496" width="9" style="15"/>
    <col min="10497" max="10497" width="4.87962962962963" style="15" customWidth="1"/>
    <col min="10498" max="10498" width="13.25" style="15" customWidth="1"/>
    <col min="10499" max="10499" width="15.6296296296296" style="15" customWidth="1"/>
    <col min="10500" max="10500" width="9.37962962962963" style="15" customWidth="1"/>
    <col min="10501" max="10501" width="13.5" style="15" customWidth="1"/>
    <col min="10502" max="10502" width="9" style="15"/>
    <col min="10503" max="10503" width="9.37962962962963" style="15" customWidth="1"/>
    <col min="10504" max="10505" width="9" style="15"/>
    <col min="10506" max="10506" width="9.37962962962963" style="15" customWidth="1"/>
    <col min="10507" max="10507" width="4" style="15" customWidth="1"/>
    <col min="10508" max="10508" width="5.12962962962963" style="15" customWidth="1"/>
    <col min="10509" max="10509" width="13.75" style="15" customWidth="1"/>
    <col min="10510" max="10752" width="9" style="15"/>
    <col min="10753" max="10753" width="4.87962962962963" style="15" customWidth="1"/>
    <col min="10754" max="10754" width="13.25" style="15" customWidth="1"/>
    <col min="10755" max="10755" width="15.6296296296296" style="15" customWidth="1"/>
    <col min="10756" max="10756" width="9.37962962962963" style="15" customWidth="1"/>
    <col min="10757" max="10757" width="13.5" style="15" customWidth="1"/>
    <col min="10758" max="10758" width="9" style="15"/>
    <col min="10759" max="10759" width="9.37962962962963" style="15" customWidth="1"/>
    <col min="10760" max="10761" width="9" style="15"/>
    <col min="10762" max="10762" width="9.37962962962963" style="15" customWidth="1"/>
    <col min="10763" max="10763" width="4" style="15" customWidth="1"/>
    <col min="10764" max="10764" width="5.12962962962963" style="15" customWidth="1"/>
    <col min="10765" max="10765" width="13.75" style="15" customWidth="1"/>
    <col min="10766" max="11008" width="9" style="15"/>
    <col min="11009" max="11009" width="4.87962962962963" style="15" customWidth="1"/>
    <col min="11010" max="11010" width="13.25" style="15" customWidth="1"/>
    <col min="11011" max="11011" width="15.6296296296296" style="15" customWidth="1"/>
    <col min="11012" max="11012" width="9.37962962962963" style="15" customWidth="1"/>
    <col min="11013" max="11013" width="13.5" style="15" customWidth="1"/>
    <col min="11014" max="11014" width="9" style="15"/>
    <col min="11015" max="11015" width="9.37962962962963" style="15" customWidth="1"/>
    <col min="11016" max="11017" width="9" style="15"/>
    <col min="11018" max="11018" width="9.37962962962963" style="15" customWidth="1"/>
    <col min="11019" max="11019" width="4" style="15" customWidth="1"/>
    <col min="11020" max="11020" width="5.12962962962963" style="15" customWidth="1"/>
    <col min="11021" max="11021" width="13.75" style="15" customWidth="1"/>
    <col min="11022" max="11264" width="9" style="15"/>
    <col min="11265" max="11265" width="4.87962962962963" style="15" customWidth="1"/>
    <col min="11266" max="11266" width="13.25" style="15" customWidth="1"/>
    <col min="11267" max="11267" width="15.6296296296296" style="15" customWidth="1"/>
    <col min="11268" max="11268" width="9.37962962962963" style="15" customWidth="1"/>
    <col min="11269" max="11269" width="13.5" style="15" customWidth="1"/>
    <col min="11270" max="11270" width="9" style="15"/>
    <col min="11271" max="11271" width="9.37962962962963" style="15" customWidth="1"/>
    <col min="11272" max="11273" width="9" style="15"/>
    <col min="11274" max="11274" width="9.37962962962963" style="15" customWidth="1"/>
    <col min="11275" max="11275" width="4" style="15" customWidth="1"/>
    <col min="11276" max="11276" width="5.12962962962963" style="15" customWidth="1"/>
    <col min="11277" max="11277" width="13.75" style="15" customWidth="1"/>
    <col min="11278" max="11520" width="9" style="15"/>
    <col min="11521" max="11521" width="4.87962962962963" style="15" customWidth="1"/>
    <col min="11522" max="11522" width="13.25" style="15" customWidth="1"/>
    <col min="11523" max="11523" width="15.6296296296296" style="15" customWidth="1"/>
    <col min="11524" max="11524" width="9.37962962962963" style="15" customWidth="1"/>
    <col min="11525" max="11525" width="13.5" style="15" customWidth="1"/>
    <col min="11526" max="11526" width="9" style="15"/>
    <col min="11527" max="11527" width="9.37962962962963" style="15" customWidth="1"/>
    <col min="11528" max="11529" width="9" style="15"/>
    <col min="11530" max="11530" width="9.37962962962963" style="15" customWidth="1"/>
    <col min="11531" max="11531" width="4" style="15" customWidth="1"/>
    <col min="11532" max="11532" width="5.12962962962963" style="15" customWidth="1"/>
    <col min="11533" max="11533" width="13.75" style="15" customWidth="1"/>
    <col min="11534" max="11776" width="9" style="15"/>
    <col min="11777" max="11777" width="4.87962962962963" style="15" customWidth="1"/>
    <col min="11778" max="11778" width="13.25" style="15" customWidth="1"/>
    <col min="11779" max="11779" width="15.6296296296296" style="15" customWidth="1"/>
    <col min="11780" max="11780" width="9.37962962962963" style="15" customWidth="1"/>
    <col min="11781" max="11781" width="13.5" style="15" customWidth="1"/>
    <col min="11782" max="11782" width="9" style="15"/>
    <col min="11783" max="11783" width="9.37962962962963" style="15" customWidth="1"/>
    <col min="11784" max="11785" width="9" style="15"/>
    <col min="11786" max="11786" width="9.37962962962963" style="15" customWidth="1"/>
    <col min="11787" max="11787" width="4" style="15" customWidth="1"/>
    <col min="11788" max="11788" width="5.12962962962963" style="15" customWidth="1"/>
    <col min="11789" max="11789" width="13.75" style="15" customWidth="1"/>
    <col min="11790" max="12032" width="9" style="15"/>
    <col min="12033" max="12033" width="4.87962962962963" style="15" customWidth="1"/>
    <col min="12034" max="12034" width="13.25" style="15" customWidth="1"/>
    <col min="12035" max="12035" width="15.6296296296296" style="15" customWidth="1"/>
    <col min="12036" max="12036" width="9.37962962962963" style="15" customWidth="1"/>
    <col min="12037" max="12037" width="13.5" style="15" customWidth="1"/>
    <col min="12038" max="12038" width="9" style="15"/>
    <col min="12039" max="12039" width="9.37962962962963" style="15" customWidth="1"/>
    <col min="12040" max="12041" width="9" style="15"/>
    <col min="12042" max="12042" width="9.37962962962963" style="15" customWidth="1"/>
    <col min="12043" max="12043" width="4" style="15" customWidth="1"/>
    <col min="12044" max="12044" width="5.12962962962963" style="15" customWidth="1"/>
    <col min="12045" max="12045" width="13.75" style="15" customWidth="1"/>
    <col min="12046" max="12288" width="9" style="15"/>
    <col min="12289" max="12289" width="4.87962962962963" style="15" customWidth="1"/>
    <col min="12290" max="12290" width="13.25" style="15" customWidth="1"/>
    <col min="12291" max="12291" width="15.6296296296296" style="15" customWidth="1"/>
    <col min="12292" max="12292" width="9.37962962962963" style="15" customWidth="1"/>
    <col min="12293" max="12293" width="13.5" style="15" customWidth="1"/>
    <col min="12294" max="12294" width="9" style="15"/>
    <col min="12295" max="12295" width="9.37962962962963" style="15" customWidth="1"/>
    <col min="12296" max="12297" width="9" style="15"/>
    <col min="12298" max="12298" width="9.37962962962963" style="15" customWidth="1"/>
    <col min="12299" max="12299" width="4" style="15" customWidth="1"/>
    <col min="12300" max="12300" width="5.12962962962963" style="15" customWidth="1"/>
    <col min="12301" max="12301" width="13.75" style="15" customWidth="1"/>
    <col min="12302" max="12544" width="9" style="15"/>
    <col min="12545" max="12545" width="4.87962962962963" style="15" customWidth="1"/>
    <col min="12546" max="12546" width="13.25" style="15" customWidth="1"/>
    <col min="12547" max="12547" width="15.6296296296296" style="15" customWidth="1"/>
    <col min="12548" max="12548" width="9.37962962962963" style="15" customWidth="1"/>
    <col min="12549" max="12549" width="13.5" style="15" customWidth="1"/>
    <col min="12550" max="12550" width="9" style="15"/>
    <col min="12551" max="12551" width="9.37962962962963" style="15" customWidth="1"/>
    <col min="12552" max="12553" width="9" style="15"/>
    <col min="12554" max="12554" width="9.37962962962963" style="15" customWidth="1"/>
    <col min="12555" max="12555" width="4" style="15" customWidth="1"/>
    <col min="12556" max="12556" width="5.12962962962963" style="15" customWidth="1"/>
    <col min="12557" max="12557" width="13.75" style="15" customWidth="1"/>
    <col min="12558" max="12800" width="9" style="15"/>
    <col min="12801" max="12801" width="4.87962962962963" style="15" customWidth="1"/>
    <col min="12802" max="12802" width="13.25" style="15" customWidth="1"/>
    <col min="12803" max="12803" width="15.6296296296296" style="15" customWidth="1"/>
    <col min="12804" max="12804" width="9.37962962962963" style="15" customWidth="1"/>
    <col min="12805" max="12805" width="13.5" style="15" customWidth="1"/>
    <col min="12806" max="12806" width="9" style="15"/>
    <col min="12807" max="12807" width="9.37962962962963" style="15" customWidth="1"/>
    <col min="12808" max="12809" width="9" style="15"/>
    <col min="12810" max="12810" width="9.37962962962963" style="15" customWidth="1"/>
    <col min="12811" max="12811" width="4" style="15" customWidth="1"/>
    <col min="12812" max="12812" width="5.12962962962963" style="15" customWidth="1"/>
    <col min="12813" max="12813" width="13.75" style="15" customWidth="1"/>
    <col min="12814" max="13056" width="9" style="15"/>
    <col min="13057" max="13057" width="4.87962962962963" style="15" customWidth="1"/>
    <col min="13058" max="13058" width="13.25" style="15" customWidth="1"/>
    <col min="13059" max="13059" width="15.6296296296296" style="15" customWidth="1"/>
    <col min="13060" max="13060" width="9.37962962962963" style="15" customWidth="1"/>
    <col min="13061" max="13061" width="13.5" style="15" customWidth="1"/>
    <col min="13062" max="13062" width="9" style="15"/>
    <col min="13063" max="13063" width="9.37962962962963" style="15" customWidth="1"/>
    <col min="13064" max="13065" width="9" style="15"/>
    <col min="13066" max="13066" width="9.37962962962963" style="15" customWidth="1"/>
    <col min="13067" max="13067" width="4" style="15" customWidth="1"/>
    <col min="13068" max="13068" width="5.12962962962963" style="15" customWidth="1"/>
    <col min="13069" max="13069" width="13.75" style="15" customWidth="1"/>
    <col min="13070" max="13312" width="9" style="15"/>
    <col min="13313" max="13313" width="4.87962962962963" style="15" customWidth="1"/>
    <col min="13314" max="13314" width="13.25" style="15" customWidth="1"/>
    <col min="13315" max="13315" width="15.6296296296296" style="15" customWidth="1"/>
    <col min="13316" max="13316" width="9.37962962962963" style="15" customWidth="1"/>
    <col min="13317" max="13317" width="13.5" style="15" customWidth="1"/>
    <col min="13318" max="13318" width="9" style="15"/>
    <col min="13319" max="13319" width="9.37962962962963" style="15" customWidth="1"/>
    <col min="13320" max="13321" width="9" style="15"/>
    <col min="13322" max="13322" width="9.37962962962963" style="15" customWidth="1"/>
    <col min="13323" max="13323" width="4" style="15" customWidth="1"/>
    <col min="13324" max="13324" width="5.12962962962963" style="15" customWidth="1"/>
    <col min="13325" max="13325" width="13.75" style="15" customWidth="1"/>
    <col min="13326" max="13568" width="9" style="15"/>
    <col min="13569" max="13569" width="4.87962962962963" style="15" customWidth="1"/>
    <col min="13570" max="13570" width="13.25" style="15" customWidth="1"/>
    <col min="13571" max="13571" width="15.6296296296296" style="15" customWidth="1"/>
    <col min="13572" max="13572" width="9.37962962962963" style="15" customWidth="1"/>
    <col min="13573" max="13573" width="13.5" style="15" customWidth="1"/>
    <col min="13574" max="13574" width="9" style="15"/>
    <col min="13575" max="13575" width="9.37962962962963" style="15" customWidth="1"/>
    <col min="13576" max="13577" width="9" style="15"/>
    <col min="13578" max="13578" width="9.37962962962963" style="15" customWidth="1"/>
    <col min="13579" max="13579" width="4" style="15" customWidth="1"/>
    <col min="13580" max="13580" width="5.12962962962963" style="15" customWidth="1"/>
    <col min="13581" max="13581" width="13.75" style="15" customWidth="1"/>
    <col min="13582" max="13824" width="9" style="15"/>
    <col min="13825" max="13825" width="4.87962962962963" style="15" customWidth="1"/>
    <col min="13826" max="13826" width="13.25" style="15" customWidth="1"/>
    <col min="13827" max="13827" width="15.6296296296296" style="15" customWidth="1"/>
    <col min="13828" max="13828" width="9.37962962962963" style="15" customWidth="1"/>
    <col min="13829" max="13829" width="13.5" style="15" customWidth="1"/>
    <col min="13830" max="13830" width="9" style="15"/>
    <col min="13831" max="13831" width="9.37962962962963" style="15" customWidth="1"/>
    <col min="13832" max="13833" width="9" style="15"/>
    <col min="13834" max="13834" width="9.37962962962963" style="15" customWidth="1"/>
    <col min="13835" max="13835" width="4" style="15" customWidth="1"/>
    <col min="13836" max="13836" width="5.12962962962963" style="15" customWidth="1"/>
    <col min="13837" max="13837" width="13.75" style="15" customWidth="1"/>
    <col min="13838" max="14080" width="9" style="15"/>
    <col min="14081" max="14081" width="4.87962962962963" style="15" customWidth="1"/>
    <col min="14082" max="14082" width="13.25" style="15" customWidth="1"/>
    <col min="14083" max="14083" width="15.6296296296296" style="15" customWidth="1"/>
    <col min="14084" max="14084" width="9.37962962962963" style="15" customWidth="1"/>
    <col min="14085" max="14085" width="13.5" style="15" customWidth="1"/>
    <col min="14086" max="14086" width="9" style="15"/>
    <col min="14087" max="14087" width="9.37962962962963" style="15" customWidth="1"/>
    <col min="14088" max="14089" width="9" style="15"/>
    <col min="14090" max="14090" width="9.37962962962963" style="15" customWidth="1"/>
    <col min="14091" max="14091" width="4" style="15" customWidth="1"/>
    <col min="14092" max="14092" width="5.12962962962963" style="15" customWidth="1"/>
    <col min="14093" max="14093" width="13.75" style="15" customWidth="1"/>
    <col min="14094" max="14336" width="9" style="15"/>
    <col min="14337" max="14337" width="4.87962962962963" style="15" customWidth="1"/>
    <col min="14338" max="14338" width="13.25" style="15" customWidth="1"/>
    <col min="14339" max="14339" width="15.6296296296296" style="15" customWidth="1"/>
    <col min="14340" max="14340" width="9.37962962962963" style="15" customWidth="1"/>
    <col min="14341" max="14341" width="13.5" style="15" customWidth="1"/>
    <col min="14342" max="14342" width="9" style="15"/>
    <col min="14343" max="14343" width="9.37962962962963" style="15" customWidth="1"/>
    <col min="14344" max="14345" width="9" style="15"/>
    <col min="14346" max="14346" width="9.37962962962963" style="15" customWidth="1"/>
    <col min="14347" max="14347" width="4" style="15" customWidth="1"/>
    <col min="14348" max="14348" width="5.12962962962963" style="15" customWidth="1"/>
    <col min="14349" max="14349" width="13.75" style="15" customWidth="1"/>
    <col min="14350" max="14592" width="9" style="15"/>
    <col min="14593" max="14593" width="4.87962962962963" style="15" customWidth="1"/>
    <col min="14594" max="14594" width="13.25" style="15" customWidth="1"/>
    <col min="14595" max="14595" width="15.6296296296296" style="15" customWidth="1"/>
    <col min="14596" max="14596" width="9.37962962962963" style="15" customWidth="1"/>
    <col min="14597" max="14597" width="13.5" style="15" customWidth="1"/>
    <col min="14598" max="14598" width="9" style="15"/>
    <col min="14599" max="14599" width="9.37962962962963" style="15" customWidth="1"/>
    <col min="14600" max="14601" width="9" style="15"/>
    <col min="14602" max="14602" width="9.37962962962963" style="15" customWidth="1"/>
    <col min="14603" max="14603" width="4" style="15" customWidth="1"/>
    <col min="14604" max="14604" width="5.12962962962963" style="15" customWidth="1"/>
    <col min="14605" max="14605" width="13.75" style="15" customWidth="1"/>
    <col min="14606" max="14848" width="9" style="15"/>
    <col min="14849" max="14849" width="4.87962962962963" style="15" customWidth="1"/>
    <col min="14850" max="14850" width="13.25" style="15" customWidth="1"/>
    <col min="14851" max="14851" width="15.6296296296296" style="15" customWidth="1"/>
    <col min="14852" max="14852" width="9.37962962962963" style="15" customWidth="1"/>
    <col min="14853" max="14853" width="13.5" style="15" customWidth="1"/>
    <col min="14854" max="14854" width="9" style="15"/>
    <col min="14855" max="14855" width="9.37962962962963" style="15" customWidth="1"/>
    <col min="14856" max="14857" width="9" style="15"/>
    <col min="14858" max="14858" width="9.37962962962963" style="15" customWidth="1"/>
    <col min="14859" max="14859" width="4" style="15" customWidth="1"/>
    <col min="14860" max="14860" width="5.12962962962963" style="15" customWidth="1"/>
    <col min="14861" max="14861" width="13.75" style="15" customWidth="1"/>
    <col min="14862" max="15104" width="9" style="15"/>
    <col min="15105" max="15105" width="4.87962962962963" style="15" customWidth="1"/>
    <col min="15106" max="15106" width="13.25" style="15" customWidth="1"/>
    <col min="15107" max="15107" width="15.6296296296296" style="15" customWidth="1"/>
    <col min="15108" max="15108" width="9.37962962962963" style="15" customWidth="1"/>
    <col min="15109" max="15109" width="13.5" style="15" customWidth="1"/>
    <col min="15110" max="15110" width="9" style="15"/>
    <col min="15111" max="15111" width="9.37962962962963" style="15" customWidth="1"/>
    <col min="15112" max="15113" width="9" style="15"/>
    <col min="15114" max="15114" width="9.37962962962963" style="15" customWidth="1"/>
    <col min="15115" max="15115" width="4" style="15" customWidth="1"/>
    <col min="15116" max="15116" width="5.12962962962963" style="15" customWidth="1"/>
    <col min="15117" max="15117" width="13.75" style="15" customWidth="1"/>
    <col min="15118" max="15360" width="9" style="15"/>
    <col min="15361" max="15361" width="4.87962962962963" style="15" customWidth="1"/>
    <col min="15362" max="15362" width="13.25" style="15" customWidth="1"/>
    <col min="15363" max="15363" width="15.6296296296296" style="15" customWidth="1"/>
    <col min="15364" max="15364" width="9.37962962962963" style="15" customWidth="1"/>
    <col min="15365" max="15365" width="13.5" style="15" customWidth="1"/>
    <col min="15366" max="15366" width="9" style="15"/>
    <col min="15367" max="15367" width="9.37962962962963" style="15" customWidth="1"/>
    <col min="15368" max="15369" width="9" style="15"/>
    <col min="15370" max="15370" width="9.37962962962963" style="15" customWidth="1"/>
    <col min="15371" max="15371" width="4" style="15" customWidth="1"/>
    <col min="15372" max="15372" width="5.12962962962963" style="15" customWidth="1"/>
    <col min="15373" max="15373" width="13.75" style="15" customWidth="1"/>
    <col min="15374" max="15616" width="9" style="15"/>
    <col min="15617" max="15617" width="4.87962962962963" style="15" customWidth="1"/>
    <col min="15618" max="15618" width="13.25" style="15" customWidth="1"/>
    <col min="15619" max="15619" width="15.6296296296296" style="15" customWidth="1"/>
    <col min="15620" max="15620" width="9.37962962962963" style="15" customWidth="1"/>
    <col min="15621" max="15621" width="13.5" style="15" customWidth="1"/>
    <col min="15622" max="15622" width="9" style="15"/>
    <col min="15623" max="15623" width="9.37962962962963" style="15" customWidth="1"/>
    <col min="15624" max="15625" width="9" style="15"/>
    <col min="15626" max="15626" width="9.37962962962963" style="15" customWidth="1"/>
    <col min="15627" max="15627" width="4" style="15" customWidth="1"/>
    <col min="15628" max="15628" width="5.12962962962963" style="15" customWidth="1"/>
    <col min="15629" max="15629" width="13.75" style="15" customWidth="1"/>
    <col min="15630" max="15872" width="9" style="15"/>
    <col min="15873" max="15873" width="4.87962962962963" style="15" customWidth="1"/>
    <col min="15874" max="15874" width="13.25" style="15" customWidth="1"/>
    <col min="15875" max="15875" width="15.6296296296296" style="15" customWidth="1"/>
    <col min="15876" max="15876" width="9.37962962962963" style="15" customWidth="1"/>
    <col min="15877" max="15877" width="13.5" style="15" customWidth="1"/>
    <col min="15878" max="15878" width="9" style="15"/>
    <col min="15879" max="15879" width="9.37962962962963" style="15" customWidth="1"/>
    <col min="15880" max="15881" width="9" style="15"/>
    <col min="15882" max="15882" width="9.37962962962963" style="15" customWidth="1"/>
    <col min="15883" max="15883" width="4" style="15" customWidth="1"/>
    <col min="15884" max="15884" width="5.12962962962963" style="15" customWidth="1"/>
    <col min="15885" max="15885" width="13.75" style="15" customWidth="1"/>
    <col min="15886" max="16128" width="9" style="15"/>
    <col min="16129" max="16129" width="4.87962962962963" style="15" customWidth="1"/>
    <col min="16130" max="16130" width="13.25" style="15" customWidth="1"/>
    <col min="16131" max="16131" width="15.6296296296296" style="15" customWidth="1"/>
    <col min="16132" max="16132" width="9.37962962962963" style="15" customWidth="1"/>
    <col min="16133" max="16133" width="13.5" style="15" customWidth="1"/>
    <col min="16134" max="16134" width="9" style="15"/>
    <col min="16135" max="16135" width="9.37962962962963" style="15" customWidth="1"/>
    <col min="16136" max="16137" width="9" style="15"/>
    <col min="16138" max="16138" width="9.37962962962963" style="15" customWidth="1"/>
    <col min="16139" max="16139" width="4" style="15" customWidth="1"/>
    <col min="16140" max="16140" width="5.12962962962963" style="15" customWidth="1"/>
    <col min="16141" max="16141" width="13.75" style="15" customWidth="1"/>
    <col min="16142" max="16384" width="9" style="15"/>
  </cols>
  <sheetData>
    <row r="1" s="11" customFormat="1" ht="15.15" spans="1:257">
      <c r="A1" s="16"/>
      <c r="B1" s="17" t="s">
        <v>2616</v>
      </c>
      <c r="C1" s="18">
        <f>项目基本情况!D3</f>
        <v>44771</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5" defaultRowHeight="14.4" outlineLevelCol="5"/>
  <cols>
    <col min="1" max="16384" width="13.25"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1563</v>
      </c>
      <c r="C4" s="7" t="s">
        <v>1763</v>
      </c>
      <c r="D4" s="7" t="s">
        <v>2651</v>
      </c>
      <c r="E4" s="7" t="s">
        <v>1765</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46" customWidth="1"/>
    <col min="2" max="9" width="12.1296296296296" style="546" customWidth="1"/>
    <col min="10" max="16384" width="9" style="546"/>
  </cols>
  <sheetData>
    <row r="1" ht="18.15" spans="1:9">
      <c r="A1" s="3157" t="str">
        <f>IF(项目基本情况!B9="房地产市场价值","估价结果一览表","结果表-2")</f>
        <v>结果表-2</v>
      </c>
      <c r="B1" s="3157"/>
      <c r="C1" s="3157"/>
      <c r="D1" s="3157"/>
      <c r="E1" s="3157"/>
      <c r="F1" s="3157"/>
      <c r="G1" s="3157"/>
      <c r="H1" s="3157"/>
      <c r="I1" s="3157"/>
    </row>
    <row r="2" ht="30" customHeight="1" spans="1:9">
      <c r="A2" s="3158" t="s">
        <v>107</v>
      </c>
      <c r="B2" s="3158" t="s">
        <v>108</v>
      </c>
      <c r="C2" s="3158" t="s">
        <v>109</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ht="15.6" spans="1:9">
      <c r="A3" s="3159"/>
      <c r="B3" s="3159"/>
      <c r="C3" s="3159"/>
      <c r="D3" s="3159" t="s">
        <v>110</v>
      </c>
      <c r="E3" s="3159" t="s">
        <v>111</v>
      </c>
      <c r="F3" s="3159" t="s">
        <v>110</v>
      </c>
      <c r="G3" s="3159" t="s">
        <v>111</v>
      </c>
      <c r="H3" s="3159" t="s">
        <v>110</v>
      </c>
      <c r="I3" s="3159" t="s">
        <v>111</v>
      </c>
    </row>
    <row r="4" ht="15.6" spans="1:9">
      <c r="A4" s="3160" t="str">
        <f>项目基本情况!S2</f>
        <v>北京市房地产</v>
      </c>
      <c r="B4" s="3159">
        <f>项目基本情况!C17</f>
        <v>0</v>
      </c>
      <c r="C4" s="3159" t="e">
        <f>项目基本情况!C18</f>
        <v>#DIV/0!</v>
      </c>
      <c r="D4" s="3159" t="e">
        <f ca="1">结果表!D118</f>
        <v>#REF!</v>
      </c>
      <c r="E4" s="3159" t="e">
        <f ca="1">结果表!E118</f>
        <v>#REF!</v>
      </c>
      <c r="F4" s="3159" t="e">
        <f ca="1">结果表!F118</f>
        <v>#REF!</v>
      </c>
      <c r="G4" s="3159" t="e">
        <f ca="1">结果表!G118</f>
        <v>#REF!</v>
      </c>
      <c r="H4" s="3159" t="e">
        <f ca="1">结果表!H118</f>
        <v>#REF!</v>
      </c>
      <c r="I4" s="3159" t="e">
        <f ca="1">结果表!I118</f>
        <v>#REF!</v>
      </c>
    </row>
    <row r="5" ht="30" customHeight="1" spans="1:9">
      <c r="A5" s="3159" t="s">
        <v>112</v>
      </c>
      <c r="B5" s="3159"/>
      <c r="C5" s="3159"/>
      <c r="D5" s="3159" t="e">
        <f ca="1">结果表!D119</f>
        <v>#REF!</v>
      </c>
      <c r="E5" s="3159"/>
      <c r="F5" s="3159" t="e">
        <f ca="1">结果表!F119</f>
        <v>#REF!</v>
      </c>
      <c r="G5" s="3159"/>
      <c r="H5" s="3159" t="e">
        <f ca="1">结果表!H119</f>
        <v>#REF!</v>
      </c>
      <c r="I5" s="3159"/>
    </row>
    <row r="6" ht="15.6" spans="1:9">
      <c r="A6" s="3161" t="str">
        <f>结果表!A120</f>
        <v>估价师知悉的法定优先受偿款</v>
      </c>
      <c r="B6" s="3161"/>
      <c r="C6" s="3161"/>
      <c r="D6" s="3161">
        <f>结果表!D120</f>
        <v>0</v>
      </c>
      <c r="E6" s="3161"/>
      <c r="F6" s="3161"/>
      <c r="G6" s="3161"/>
      <c r="H6" s="3161"/>
      <c r="I6" s="3161"/>
    </row>
    <row r="7" ht="15" spans="1:9">
      <c r="A7" s="3159" t="s">
        <v>112</v>
      </c>
      <c r="B7" s="3159"/>
      <c r="C7" s="3159"/>
      <c r="D7" s="3162" t="str">
        <f>结果表!D121</f>
        <v>零元整</v>
      </c>
      <c r="E7" s="3163"/>
      <c r="F7" s="3163"/>
      <c r="G7" s="3163"/>
      <c r="H7" s="3163"/>
      <c r="I7" s="3167"/>
    </row>
    <row r="8" ht="15.6" spans="1:9">
      <c r="A8" s="3161" t="str">
        <f>结果表!A122</f>
        <v>房地产抵押价值</v>
      </c>
      <c r="B8" s="3161"/>
      <c r="C8" s="3161"/>
      <c r="D8" s="3161" t="e">
        <f ca="1">结果表!D122</f>
        <v>#REF!</v>
      </c>
      <c r="E8" s="3161"/>
      <c r="F8" s="3161"/>
      <c r="G8" s="3161"/>
      <c r="H8" s="3161"/>
      <c r="I8" s="3161"/>
    </row>
    <row r="9" ht="15" spans="1:9">
      <c r="A9" s="3159" t="s">
        <v>112</v>
      </c>
      <c r="B9" s="3159"/>
      <c r="C9" s="3159"/>
      <c r="D9" s="3159" t="e">
        <f ca="1">结果表!D123</f>
        <v>#REF!</v>
      </c>
      <c r="E9" s="3159"/>
      <c r="F9" s="3159"/>
      <c r="G9" s="3159"/>
      <c r="H9" s="3159"/>
      <c r="I9" s="3159"/>
    </row>
    <row r="10" ht="15.6" spans="1:9">
      <c r="A10" s="3161" t="str">
        <f>结果表!A124</f>
        <v/>
      </c>
      <c r="B10" s="3161"/>
      <c r="C10" s="3161"/>
      <c r="D10" s="3161" t="str">
        <f ca="1">结果表!D124</f>
        <v>——</v>
      </c>
      <c r="E10" s="3161"/>
      <c r="F10" s="3161"/>
      <c r="G10" s="3161"/>
      <c r="H10" s="3161"/>
      <c r="I10" s="3161"/>
    </row>
    <row r="11" ht="15" spans="1:9">
      <c r="A11" s="3159" t="s">
        <v>112</v>
      </c>
      <c r="B11" s="3159"/>
      <c r="C11" s="3159"/>
      <c r="D11" s="3159" t="e">
        <f ca="1">结果表!D125</f>
        <v>#VALUE!</v>
      </c>
      <c r="E11" s="3159"/>
      <c r="F11" s="3159"/>
      <c r="G11" s="3159"/>
      <c r="H11" s="3159"/>
      <c r="I11" s="3159"/>
    </row>
    <row r="12" ht="15.6" spans="1:9">
      <c r="A12" s="3161" t="str">
        <f>结果表!A126</f>
        <v/>
      </c>
      <c r="B12" s="3161"/>
      <c r="C12" s="3161"/>
      <c r="D12" s="3161" t="str">
        <f ca="1">结果表!D126</f>
        <v>——</v>
      </c>
      <c r="E12" s="3161"/>
      <c r="F12" s="3161"/>
      <c r="G12" s="3161"/>
      <c r="H12" s="3161"/>
      <c r="I12" s="3161"/>
    </row>
    <row r="13" ht="15.75" spans="1:9">
      <c r="A13" s="3164" t="s">
        <v>112</v>
      </c>
      <c r="B13" s="3164"/>
      <c r="C13" s="3164"/>
      <c r="D13" s="3164" t="e">
        <f ca="1">结果表!D127</f>
        <v>#VALUE!</v>
      </c>
      <c r="E13" s="3164"/>
      <c r="F13" s="3164"/>
      <c r="G13" s="3164"/>
      <c r="H13" s="3164"/>
      <c r="I13" s="3164"/>
    </row>
    <row r="14" ht="14.55" spans="1:9">
      <c r="A14" s="3165" t="s">
        <v>113</v>
      </c>
      <c r="B14" s="3165"/>
      <c r="C14" s="3165"/>
      <c r="D14" s="3165"/>
      <c r="E14" s="3165"/>
      <c r="F14" s="3165"/>
      <c r="G14" s="3165"/>
      <c r="H14" s="3165"/>
      <c r="I14" s="3165"/>
    </row>
    <row r="16" ht="17.4" spans="1:9">
      <c r="A16" s="3166"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workbookViewId="0">
      <selection activeCell="A1" sqref="$A1:$XFD1048576"/>
    </sheetView>
  </sheetViews>
  <sheetFormatPr defaultColWidth="9" defaultRowHeight="13.8" outlineLevelCol="3"/>
  <cols>
    <col min="1" max="1" width="16.6296296296296" style="546" customWidth="1"/>
    <col min="2" max="3" width="22.3796296296296" style="546" customWidth="1"/>
    <col min="4" max="4" width="23" style="546" customWidth="1"/>
    <col min="5" max="16384" width="9" style="546"/>
  </cols>
  <sheetData>
    <row r="1" ht="17.4" spans="1:4">
      <c r="A1" s="3137" t="s">
        <v>114</v>
      </c>
      <c r="B1" s="3137"/>
      <c r="C1" s="3137"/>
      <c r="D1" s="3137"/>
    </row>
    <row r="2" ht="17.4" spans="1:4">
      <c r="A2" s="3138" t="s">
        <v>115</v>
      </c>
      <c r="B2" s="3138"/>
      <c r="C2" s="3138"/>
      <c r="D2" s="3138"/>
    </row>
    <row r="3" ht="17.4" spans="1:4">
      <c r="A3" s="3139" t="s">
        <v>116</v>
      </c>
      <c r="B3" s="3139" t="s">
        <v>117</v>
      </c>
      <c r="C3" s="3139" t="s">
        <v>118</v>
      </c>
      <c r="D3" s="3139" t="s">
        <v>119</v>
      </c>
    </row>
    <row r="4" ht="56.25" customHeight="1" spans="1:4">
      <c r="A4" s="3140">
        <f>项目基本情况!B4</f>
        <v>0</v>
      </c>
      <c r="B4" s="3141">
        <f ca="1">项目基本情况!C4</f>
        <v>0</v>
      </c>
      <c r="C4" s="3142"/>
      <c r="D4" s="3143" t="s">
        <v>120</v>
      </c>
    </row>
    <row r="5" ht="56.25" customHeight="1" spans="1:4">
      <c r="A5" s="3140">
        <f>项目基本情况!D4</f>
        <v>0</v>
      </c>
      <c r="B5" s="3141">
        <f ca="1">项目基本情况!E4</f>
        <v>0</v>
      </c>
      <c r="C5" s="3144"/>
      <c r="D5" s="3143" t="s">
        <v>120</v>
      </c>
    </row>
    <row r="6" ht="17.4" spans="1:4">
      <c r="A6" s="3138" t="s">
        <v>121</v>
      </c>
      <c r="B6" s="3138"/>
      <c r="C6" s="3138"/>
      <c r="D6" s="3138"/>
    </row>
    <row r="7" ht="17.4" spans="1:4">
      <c r="A7" s="3139" t="s">
        <v>116</v>
      </c>
      <c r="B7" s="3141" t="s">
        <v>122</v>
      </c>
      <c r="C7" s="3139" t="s">
        <v>118</v>
      </c>
      <c r="D7" s="3139" t="s">
        <v>119</v>
      </c>
    </row>
    <row r="8" ht="56.25" customHeight="1" spans="1:4">
      <c r="A8" s="3145" t="s">
        <v>123</v>
      </c>
      <c r="B8" s="3145" t="s">
        <v>124</v>
      </c>
      <c r="C8" s="3142"/>
      <c r="D8" s="3143" t="s">
        <v>120</v>
      </c>
    </row>
    <row r="9" spans="1:4">
      <c r="A9" s="3146"/>
      <c r="B9" s="3146"/>
      <c r="C9" s="3146"/>
      <c r="D9" s="3146"/>
    </row>
    <row r="10" ht="17.4" spans="1:4">
      <c r="A10" s="3137" t="s">
        <v>125</v>
      </c>
      <c r="B10" s="3146"/>
      <c r="C10" s="3146"/>
      <c r="D10" s="3146"/>
    </row>
    <row r="11" ht="30" customHeight="1" spans="1:4">
      <c r="A11" s="3147" t="s">
        <v>126</v>
      </c>
      <c r="B11" s="3148"/>
      <c r="C11" s="3148"/>
      <c r="D11" s="3148"/>
    </row>
    <row r="12" ht="15" spans="1:4">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9"/>
      <c r="C12" s="3149"/>
      <c r="D12" s="3149"/>
    </row>
    <row r="13" ht="30" customHeight="1" spans="1:4">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9"/>
      <c r="C13" s="3149"/>
      <c r="D13" s="3149"/>
    </row>
    <row r="14" ht="15.75" customHeight="1" spans="1:4">
      <c r="A14" s="3148" t="str">
        <f>IF(项目基本情况!B8="抵押","4.本次评估估价师所知悉的法定优先受偿款情况说明如下：","——")</f>
        <v>4.本次评估估价师所知悉的法定优先受偿款情况说明如下：</v>
      </c>
      <c r="B14" s="3149"/>
      <c r="C14" s="3149"/>
      <c r="D14" s="3149"/>
    </row>
    <row r="15" ht="42" customHeight="1" spans="1:4">
      <c r="A15" s="3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ht="30" customHeight="1" spans="1:4">
      <c r="A16" s="3150" t="s">
        <v>127</v>
      </c>
      <c r="B16" s="3150"/>
      <c r="C16" s="3150"/>
      <c r="D16" s="3150"/>
    </row>
    <row r="17" ht="144" customHeight="1" spans="1:4">
      <c r="A17" s="3150" t="s">
        <v>128</v>
      </c>
      <c r="B17" s="3150"/>
      <c r="C17" s="3150"/>
      <c r="D17" s="3150"/>
    </row>
    <row r="18" ht="15.75" customHeight="1" spans="1:4">
      <c r="A18" s="3148" t="str">
        <f>IF(项目基本情况!B8="抵押",结果表!K120,"——")</f>
        <v>故，本次评估不存在估价师知悉的法定优先受偿款</v>
      </c>
      <c r="B18" s="3148"/>
      <c r="C18" s="3148"/>
      <c r="D18" s="3148"/>
    </row>
    <row r="19" ht="46.5" customHeight="1" spans="1:4">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ht="57.75" customHeight="1" spans="1:4">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ht="57.75" customHeight="1" spans="1:4">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ht="18.75" customHeight="1" spans="1:4">
      <c r="A22" s="3152" t="s">
        <v>129</v>
      </c>
      <c r="B22" s="3152"/>
      <c r="C22" s="3152"/>
      <c r="D22" s="3152"/>
    </row>
    <row r="23" spans="1:4">
      <c r="A23" s="3153"/>
      <c r="B23" s="1559"/>
      <c r="C23" s="1559"/>
      <c r="D23" s="1559"/>
    </row>
    <row r="24" spans="1:4">
      <c r="A24" s="3153"/>
      <c r="B24" s="1559"/>
      <c r="C24" s="1559"/>
      <c r="D24" s="1559"/>
    </row>
    <row r="25" ht="17.4" spans="1:1">
      <c r="A25" s="3154" t="s">
        <v>130</v>
      </c>
    </row>
    <row r="26" ht="17.4" spans="1:1">
      <c r="A26" s="3155"/>
    </row>
    <row r="27" ht="17.4" spans="1:1">
      <c r="A27" s="3155" t="s">
        <v>131</v>
      </c>
    </row>
    <row r="30" ht="17.4" spans="4:4">
      <c r="D30" s="3154" t="s">
        <v>132</v>
      </c>
    </row>
    <row r="31" ht="13.5" customHeight="1" spans="3:4">
      <c r="C31" s="3156">
        <v>42551</v>
      </c>
      <c r="D31" s="3156"/>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33" customWidth="1"/>
    <col min="3" max="10" width="12.5" style="3133" customWidth="1"/>
    <col min="11" max="16384" width="9" style="3133"/>
  </cols>
  <sheetData>
    <row r="1" ht="17.4" spans="1:10">
      <c r="A1" s="3134" t="s">
        <v>133</v>
      </c>
      <c r="B1" s="3135"/>
      <c r="C1" s="3135"/>
      <c r="D1" s="3135"/>
      <c r="E1" s="3135"/>
      <c r="F1" s="3135"/>
      <c r="G1" s="3135"/>
      <c r="H1" s="3135"/>
      <c r="I1" s="3135"/>
      <c r="J1" s="3135"/>
    </row>
    <row r="2" ht="17.4" spans="1:10">
      <c r="A2" s="3136"/>
      <c r="B2" s="3135"/>
      <c r="C2" s="3135"/>
      <c r="D2" s="3135"/>
      <c r="E2" s="3135"/>
      <c r="F2" s="3135"/>
      <c r="G2" s="3135"/>
      <c r="H2" s="3135"/>
      <c r="I2" s="3135"/>
      <c r="J2" s="3135"/>
    </row>
    <row r="3" spans="1:10">
      <c r="A3" s="3135"/>
      <c r="B3" s="3135"/>
      <c r="C3" s="3135"/>
      <c r="D3" s="3135"/>
      <c r="E3" s="3135"/>
      <c r="F3" s="3135"/>
      <c r="G3" s="3135"/>
      <c r="H3" s="3135"/>
      <c r="I3" s="3135"/>
      <c r="J3" s="3135"/>
    </row>
    <row r="4" spans="1:10">
      <c r="A4" s="3135"/>
      <c r="B4" s="3135"/>
      <c r="C4" s="3135"/>
      <c r="D4" s="3135"/>
      <c r="E4" s="3135"/>
      <c r="F4" s="3135"/>
      <c r="G4" s="3135"/>
      <c r="H4" s="3135"/>
      <c r="I4" s="3135"/>
      <c r="J4" s="3135"/>
    </row>
    <row r="5" spans="1:10">
      <c r="A5" s="3135"/>
      <c r="B5" s="3135"/>
      <c r="C5" s="3135"/>
      <c r="D5" s="3135"/>
      <c r="E5" s="3135"/>
      <c r="F5" s="3135"/>
      <c r="G5" s="3135"/>
      <c r="H5" s="3135"/>
      <c r="I5" s="3135"/>
      <c r="J5" s="3135"/>
    </row>
    <row r="6" spans="1:10">
      <c r="A6" s="3135"/>
      <c r="B6" s="3135"/>
      <c r="C6" s="3135"/>
      <c r="D6" s="3135"/>
      <c r="E6" s="3135"/>
      <c r="F6" s="3135"/>
      <c r="G6" s="3135"/>
      <c r="H6" s="3135"/>
      <c r="I6" s="3135"/>
      <c r="J6" s="3135"/>
    </row>
    <row r="7" spans="1:10">
      <c r="A7" s="3135"/>
      <c r="B7" s="3135"/>
      <c r="C7" s="3135"/>
      <c r="D7" s="3135"/>
      <c r="E7" s="3135"/>
      <c r="F7" s="3135"/>
      <c r="G7" s="3135"/>
      <c r="H7" s="3135"/>
      <c r="I7" s="3135"/>
      <c r="J7" s="3135"/>
    </row>
    <row r="8" spans="1:10">
      <c r="A8" s="3135"/>
      <c r="B8" s="3135"/>
      <c r="C8" s="3135"/>
      <c r="D8" s="3135"/>
      <c r="E8" s="3135"/>
      <c r="F8" s="3135"/>
      <c r="G8" s="3135"/>
      <c r="H8" s="3135"/>
      <c r="I8" s="3135"/>
      <c r="J8" s="3135"/>
    </row>
    <row r="9" spans="1:10">
      <c r="A9" s="3135"/>
      <c r="B9" s="3135"/>
      <c r="C9" s="3135"/>
      <c r="D9" s="3135"/>
      <c r="E9" s="3135"/>
      <c r="F9" s="3135"/>
      <c r="G9" s="3135"/>
      <c r="H9" s="3135"/>
      <c r="I9" s="3135"/>
      <c r="J9" s="3135"/>
    </row>
    <row r="10" spans="1:10">
      <c r="A10" s="3135"/>
      <c r="B10" s="3135"/>
      <c r="C10" s="3135"/>
      <c r="D10" s="3135"/>
      <c r="E10" s="3135"/>
      <c r="F10" s="3135"/>
      <c r="G10" s="3135"/>
      <c r="H10" s="3135"/>
      <c r="I10" s="3135"/>
      <c r="J10" s="3135"/>
    </row>
    <row r="11" spans="1:10">
      <c r="A11" s="3135"/>
      <c r="B11" s="3135"/>
      <c r="C11" s="3135"/>
      <c r="D11" s="3135"/>
      <c r="E11" s="3135"/>
      <c r="F11" s="3135"/>
      <c r="G11" s="3135"/>
      <c r="H11" s="3135"/>
      <c r="I11" s="3135"/>
      <c r="J11" s="3135"/>
    </row>
    <row r="12" spans="1:10">
      <c r="A12" s="3135"/>
      <c r="B12" s="3135"/>
      <c r="C12" s="3135"/>
      <c r="D12" s="3135"/>
      <c r="E12" s="3135"/>
      <c r="F12" s="3135"/>
      <c r="G12" s="3135"/>
      <c r="H12" s="3135"/>
      <c r="I12" s="3135"/>
      <c r="J12" s="3135"/>
    </row>
    <row r="13" spans="1:10">
      <c r="A13" s="3135"/>
      <c r="B13" s="3135"/>
      <c r="C13" s="3135"/>
      <c r="D13" s="3135"/>
      <c r="E13" s="3135"/>
      <c r="F13" s="3135"/>
      <c r="G13" s="3135"/>
      <c r="H13" s="3135"/>
      <c r="I13" s="3135"/>
      <c r="J13" s="3135"/>
    </row>
    <row r="14" spans="1:10">
      <c r="A14" s="3135"/>
      <c r="B14" s="3135"/>
      <c r="C14" s="3135"/>
      <c r="D14" s="3135"/>
      <c r="E14" s="3135"/>
      <c r="F14" s="3135"/>
      <c r="G14" s="3135"/>
      <c r="H14" s="3135"/>
      <c r="I14" s="3135"/>
      <c r="J14" s="3135"/>
    </row>
    <row r="15" spans="1:10">
      <c r="A15" s="3135"/>
      <c r="B15" s="3135"/>
      <c r="C15" s="3135"/>
      <c r="D15" s="3135"/>
      <c r="E15" s="3135"/>
      <c r="F15" s="3135"/>
      <c r="G15" s="3135"/>
      <c r="H15" s="3135"/>
      <c r="I15" s="3135"/>
      <c r="J15" s="3135"/>
    </row>
    <row r="16" spans="1:10">
      <c r="A16" s="3135"/>
      <c r="B16" s="3135"/>
      <c r="C16" s="3135"/>
      <c r="D16" s="3135"/>
      <c r="E16" s="3135"/>
      <c r="F16" s="3135"/>
      <c r="G16" s="3135"/>
      <c r="H16" s="3135"/>
      <c r="I16" s="3135"/>
      <c r="J16" s="3135"/>
    </row>
    <row r="17" spans="1:10">
      <c r="A17" s="3135"/>
      <c r="B17" s="3135"/>
      <c r="C17" s="3135"/>
      <c r="D17" s="3135"/>
      <c r="E17" s="3135"/>
      <c r="F17" s="3135"/>
      <c r="G17" s="3135"/>
      <c r="H17" s="3135"/>
      <c r="I17" s="3135"/>
      <c r="J17" s="3135"/>
    </row>
    <row r="18" spans="1:10">
      <c r="A18" s="3135"/>
      <c r="B18" s="3135"/>
      <c r="C18" s="3135"/>
      <c r="D18" s="3135"/>
      <c r="E18" s="3135"/>
      <c r="F18" s="3135"/>
      <c r="G18" s="3135"/>
      <c r="H18" s="3135"/>
      <c r="I18" s="3135"/>
      <c r="J18" s="3135"/>
    </row>
    <row r="19" spans="1:10">
      <c r="A19" s="3135"/>
      <c r="B19" s="3135"/>
      <c r="C19" s="3135"/>
      <c r="D19" s="3135"/>
      <c r="E19" s="3135"/>
      <c r="F19" s="3135"/>
      <c r="G19" s="3135"/>
      <c r="H19" s="3135"/>
      <c r="I19" s="3135"/>
      <c r="J19" s="3135"/>
    </row>
    <row r="20" spans="1:10">
      <c r="A20" s="3135"/>
      <c r="B20" s="3135"/>
      <c r="C20" s="3135"/>
      <c r="D20" s="3135"/>
      <c r="E20" s="3135"/>
      <c r="F20" s="3135"/>
      <c r="G20" s="3135"/>
      <c r="H20" s="3135"/>
      <c r="I20" s="3135"/>
      <c r="J20" s="3135"/>
    </row>
    <row r="21" spans="1:10">
      <c r="A21" s="3135"/>
      <c r="B21" s="3135"/>
      <c r="C21" s="3135"/>
      <c r="D21" s="3135"/>
      <c r="E21" s="3135"/>
      <c r="F21" s="3135"/>
      <c r="G21" s="3135"/>
      <c r="H21" s="3135"/>
      <c r="I21" s="3135"/>
      <c r="J21" s="3135"/>
    </row>
    <row r="22" spans="1:10">
      <c r="A22" s="3135"/>
      <c r="B22" s="3135"/>
      <c r="C22" s="3135"/>
      <c r="D22" s="3135"/>
      <c r="E22" s="3135"/>
      <c r="F22" s="3135"/>
      <c r="G22" s="3135"/>
      <c r="H22" s="3135"/>
      <c r="I22" s="3135"/>
      <c r="J22" s="3135"/>
    </row>
    <row r="23" spans="1:10">
      <c r="A23" s="3135"/>
      <c r="B23" s="3135"/>
      <c r="C23" s="3135"/>
      <c r="D23" s="3135"/>
      <c r="E23" s="3135"/>
      <c r="F23" s="3135"/>
      <c r="G23" s="3135"/>
      <c r="H23" s="3135"/>
      <c r="I23" s="3135"/>
      <c r="J23" s="3135"/>
    </row>
    <row r="24" spans="1:10">
      <c r="A24" s="3135"/>
      <c r="B24" s="3135"/>
      <c r="C24" s="3135"/>
      <c r="D24" s="3135"/>
      <c r="E24" s="3135"/>
      <c r="F24" s="3135"/>
      <c r="G24" s="3135"/>
      <c r="H24" s="3135"/>
      <c r="I24" s="3135"/>
      <c r="J24" s="3135"/>
    </row>
    <row r="25" spans="1:10">
      <c r="A25" s="3135"/>
      <c r="B25" s="3135"/>
      <c r="C25" s="3135"/>
      <c r="D25" s="3135"/>
      <c r="E25" s="3135"/>
      <c r="F25" s="3135"/>
      <c r="G25" s="3135"/>
      <c r="H25" s="3135"/>
      <c r="I25" s="3135"/>
      <c r="J25" s="3135"/>
    </row>
    <row r="26" spans="1:10">
      <c r="A26" s="3135"/>
      <c r="B26" s="3135"/>
      <c r="C26" s="3135"/>
      <c r="D26" s="3135"/>
      <c r="E26" s="3135"/>
      <c r="F26" s="3135"/>
      <c r="G26" s="3135"/>
      <c r="H26" s="3135"/>
      <c r="I26" s="3135"/>
      <c r="J26" s="3135"/>
    </row>
    <row r="27" spans="1:10">
      <c r="A27" s="3135"/>
      <c r="B27" s="3135"/>
      <c r="C27" s="3135"/>
      <c r="D27" s="3135"/>
      <c r="E27" s="3135"/>
      <c r="F27" s="3135"/>
      <c r="G27" s="3135"/>
      <c r="H27" s="3135"/>
      <c r="I27" s="3135"/>
      <c r="J27" s="3135"/>
    </row>
    <row r="28" spans="1:10">
      <c r="A28" s="3135"/>
      <c r="B28" s="3135"/>
      <c r="C28" s="3135"/>
      <c r="D28" s="3135"/>
      <c r="E28" s="3135"/>
      <c r="F28" s="3135"/>
      <c r="G28" s="3135"/>
      <c r="H28" s="3135"/>
      <c r="I28" s="3135"/>
      <c r="J28" s="3135"/>
    </row>
    <row r="29" spans="1:10">
      <c r="A29" s="3135"/>
      <c r="B29" s="3135"/>
      <c r="C29" s="3135"/>
      <c r="D29" s="3135"/>
      <c r="E29" s="3135"/>
      <c r="F29" s="3135"/>
      <c r="G29" s="3135"/>
      <c r="H29" s="3135"/>
      <c r="I29" s="3135"/>
      <c r="J29" s="3135"/>
    </row>
    <row r="30" spans="1:10">
      <c r="A30" s="3135"/>
      <c r="B30" s="3135"/>
      <c r="C30" s="3135"/>
      <c r="D30" s="3135"/>
      <c r="E30" s="3135"/>
      <c r="F30" s="3135"/>
      <c r="G30" s="3135"/>
      <c r="H30" s="3135"/>
      <c r="I30" s="3135"/>
      <c r="J30" s="3135"/>
    </row>
    <row r="31" spans="1:10">
      <c r="A31" s="3135"/>
      <c r="B31" s="3135"/>
      <c r="C31" s="3135"/>
      <c r="D31" s="3135"/>
      <c r="E31" s="3135"/>
      <c r="F31" s="3135"/>
      <c r="G31" s="3135"/>
      <c r="H31" s="3135"/>
      <c r="I31" s="3135"/>
      <c r="J31" s="3135"/>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108" customWidth="1"/>
    <col min="2" max="16384" width="14.5" style="3109"/>
  </cols>
  <sheetData>
    <row r="1" s="3107" customFormat="1" ht="17.4" spans="1:1">
      <c r="A1" s="3110" t="s">
        <v>134</v>
      </c>
    </row>
    <row r="3" spans="1:7">
      <c r="A3" s="3111" t="s">
        <v>135</v>
      </c>
      <c r="B3" s="3109" t="s">
        <v>136</v>
      </c>
      <c r="G3" s="3112"/>
    </row>
    <row r="4" spans="7:7">
      <c r="G4" s="3112"/>
    </row>
    <row r="5" spans="1:7">
      <c r="A5" s="3113" t="s">
        <v>137</v>
      </c>
      <c r="B5" s="3109" t="s">
        <v>138</v>
      </c>
      <c r="G5" s="3112"/>
    </row>
    <row r="6" spans="7:7">
      <c r="G6" s="3112"/>
    </row>
    <row r="7" spans="1:7">
      <c r="A7" s="3114" t="s">
        <v>139</v>
      </c>
      <c r="B7" s="3109" t="s">
        <v>140</v>
      </c>
      <c r="G7" s="3112"/>
    </row>
    <row r="8" spans="7:7">
      <c r="G8" s="3112"/>
    </row>
    <row r="9" spans="1:2">
      <c r="A9" s="3115" t="s">
        <v>141</v>
      </c>
      <c r="B9" s="3109" t="s">
        <v>142</v>
      </c>
    </row>
    <row r="11" spans="1:2">
      <c r="A11" s="3116" t="s">
        <v>143</v>
      </c>
      <c r="B11" s="3117" t="s">
        <v>144</v>
      </c>
    </row>
    <row r="13" spans="1:1">
      <c r="A13" s="3118" t="s">
        <v>145</v>
      </c>
    </row>
    <row r="15" ht="14.4" spans="1:3">
      <c r="A15" s="3119" t="s">
        <v>146</v>
      </c>
      <c r="B15" s="3120" t="s">
        <v>147</v>
      </c>
      <c r="C15" s="3121"/>
    </row>
    <row r="16" ht="14.4" spans="1:3">
      <c r="A16" s="3122"/>
      <c r="B16" s="3120" t="s">
        <v>148</v>
      </c>
      <c r="C16" s="3121"/>
    </row>
    <row r="17" ht="14.4" spans="1:3">
      <c r="A17" s="3122"/>
      <c r="B17" s="3123" t="s">
        <v>149</v>
      </c>
      <c r="C17" s="3123" t="s">
        <v>146</v>
      </c>
    </row>
    <row r="18" ht="14.4" spans="1:3">
      <c r="A18" s="3122"/>
      <c r="B18" s="3123"/>
      <c r="C18" s="3123" t="s">
        <v>150</v>
      </c>
    </row>
    <row r="19" ht="14.4" spans="1:3">
      <c r="A19" s="3122"/>
      <c r="B19" s="3123"/>
      <c r="C19" s="3123" t="s">
        <v>151</v>
      </c>
    </row>
    <row r="20" ht="14.4" spans="1:3">
      <c r="A20" s="3124"/>
      <c r="B20" s="3125" t="s">
        <v>152</v>
      </c>
      <c r="C20" s="3121"/>
    </row>
    <row r="21" ht="14.4" spans="1:3">
      <c r="A21" s="3126" t="s">
        <v>153</v>
      </c>
      <c r="B21" s="3127"/>
      <c r="C21" s="3128"/>
    </row>
    <row r="22" ht="14.4" spans="1:3">
      <c r="A22" s="3129" t="s">
        <v>154</v>
      </c>
      <c r="B22" s="3125" t="s">
        <v>155</v>
      </c>
      <c r="C22" s="3121"/>
    </row>
    <row r="23" ht="14.4" spans="1:3">
      <c r="A23" s="3129"/>
      <c r="B23" s="3125" t="s">
        <v>156</v>
      </c>
      <c r="C23" s="3121"/>
    </row>
    <row r="24" ht="14.4" spans="1:3">
      <c r="A24" s="3129"/>
      <c r="B24" s="3125" t="s">
        <v>157</v>
      </c>
      <c r="C24" s="3121"/>
    </row>
    <row r="25" ht="14.4" spans="1:3">
      <c r="A25" s="3129"/>
      <c r="B25" s="3123" t="s">
        <v>158</v>
      </c>
      <c r="C25" s="3123" t="s">
        <v>159</v>
      </c>
    </row>
    <row r="26" ht="14.4" spans="1:3">
      <c r="A26" s="3129"/>
      <c r="B26" s="3123"/>
      <c r="C26" s="3123" t="s">
        <v>160</v>
      </c>
    </row>
    <row r="27" ht="14.4" spans="1:3">
      <c r="A27" s="3129"/>
      <c r="B27" s="3123"/>
      <c r="C27" s="3123" t="s">
        <v>161</v>
      </c>
    </row>
    <row r="28" ht="14.4" spans="1:3">
      <c r="A28" s="3129"/>
      <c r="B28" s="3123"/>
      <c r="C28" s="3123" t="s">
        <v>162</v>
      </c>
    </row>
    <row r="29" ht="14.4" spans="1:3">
      <c r="A29" s="3129"/>
      <c r="B29" s="3123"/>
      <c r="C29" s="3123" t="s">
        <v>163</v>
      </c>
    </row>
    <row r="30" ht="14.4" spans="1:3">
      <c r="A30" s="3129"/>
      <c r="B30" s="3123"/>
      <c r="C30" s="3123" t="s">
        <v>164</v>
      </c>
    </row>
    <row r="31" ht="14.4" spans="1:3">
      <c r="A31" s="3129"/>
      <c r="B31" s="3123"/>
      <c r="C31" s="3123" t="s">
        <v>165</v>
      </c>
    </row>
    <row r="32" ht="14.4" spans="1:3">
      <c r="A32" s="3129"/>
      <c r="B32" s="3123"/>
      <c r="C32" s="3123" t="s">
        <v>166</v>
      </c>
    </row>
    <row r="33" ht="14.4" spans="1:3">
      <c r="A33" s="3129"/>
      <c r="B33" s="3123"/>
      <c r="C33" s="3123" t="s">
        <v>167</v>
      </c>
    </row>
    <row r="34" spans="1:1">
      <c r="A34" s="3130" t="s">
        <v>168</v>
      </c>
    </row>
    <row r="37" spans="1:1">
      <c r="A37" s="3130" t="s">
        <v>169</v>
      </c>
    </row>
    <row r="38" ht="14.4" spans="1:1">
      <c r="A38" s="3131" t="s">
        <v>170</v>
      </c>
    </row>
    <row r="39" ht="14.4" spans="1:1">
      <c r="A39" s="3131" t="s">
        <v>171</v>
      </c>
    </row>
    <row r="40" ht="14.4" spans="1:1">
      <c r="A40" s="3131" t="s">
        <v>172</v>
      </c>
    </row>
    <row r="41" ht="14.4" spans="1:1">
      <c r="A41" s="3132" t="s">
        <v>173</v>
      </c>
    </row>
    <row r="42" ht="14.4" spans="1:1">
      <c r="A42" s="3131"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296296296296" defaultRowHeight="24" customHeight="1" outlineLevelCol="7"/>
  <cols>
    <col min="1" max="1" width="24.6296296296296" style="3078" customWidth="1"/>
    <col min="2" max="2" width="38.6296296296296" style="3078" customWidth="1"/>
    <col min="3" max="3" width="26" style="3078" customWidth="1"/>
    <col min="4" max="4" width="35" style="3078" hidden="1" customWidth="1"/>
    <col min="5" max="5" width="30.1296296296296" style="3078" customWidth="1"/>
    <col min="6" max="6" width="35.5" style="3078" customWidth="1"/>
    <col min="7" max="7" width="31" style="3078" customWidth="1"/>
    <col min="8" max="8" width="37.5" style="3078" hidden="1" customWidth="1"/>
    <col min="9" max="16384" width="22.6296296296296" style="3078"/>
  </cols>
  <sheetData>
    <row r="1" customHeight="1" spans="1:8">
      <c r="A1" s="3079"/>
      <c r="B1" s="3079"/>
      <c r="C1" s="3079"/>
      <c r="D1" s="3079"/>
      <c r="E1" s="3079"/>
      <c r="F1" s="3079"/>
      <c r="G1" s="3079"/>
      <c r="H1" s="3079"/>
    </row>
    <row r="2" customHeight="1" spans="1:8">
      <c r="A2" s="3080" t="s">
        <v>175</v>
      </c>
      <c r="B2" s="3080">
        <f ca="1">TODAY()</f>
        <v>44780</v>
      </c>
      <c r="C2" s="3081" t="s">
        <v>176</v>
      </c>
      <c r="D2" s="3081"/>
      <c r="E2" s="3081"/>
      <c r="F2" s="3079"/>
      <c r="G2" s="3079"/>
      <c r="H2" s="3079"/>
    </row>
    <row r="3" customHeight="1" spans="1:8">
      <c r="A3" s="3082" t="s">
        <v>177</v>
      </c>
      <c r="B3" s="3083" t="s">
        <v>178</v>
      </c>
      <c r="C3" s="3083" t="s">
        <v>179</v>
      </c>
      <c r="D3" s="3084" t="s">
        <v>180</v>
      </c>
      <c r="E3" s="3085" t="s">
        <v>181</v>
      </c>
      <c r="F3" s="3086" t="s">
        <v>182</v>
      </c>
      <c r="G3" s="3083" t="s">
        <v>179</v>
      </c>
      <c r="H3" s="3084" t="s">
        <v>183</v>
      </c>
    </row>
    <row r="4" customHeight="1" spans="1:8">
      <c r="A4" s="3086" t="s">
        <v>184</v>
      </c>
      <c r="B4" s="3086">
        <f ca="1">IF(C4&lt;B2,"已过期",1119970066)</f>
        <v>1119970066</v>
      </c>
      <c r="C4" s="3087">
        <v>44876</v>
      </c>
      <c r="D4" s="3088" t="str">
        <f ca="1">A4&amp;"（注册号："&amp;B4&amp;"）"</f>
        <v>梁津（注册号：1119970066）</v>
      </c>
      <c r="E4" s="3089" t="s">
        <v>184</v>
      </c>
      <c r="F4" s="3086">
        <f ca="1">IF(G4&lt;B2,"已过期",96010014)</f>
        <v>96010014</v>
      </c>
      <c r="G4" s="3087">
        <v>47118</v>
      </c>
      <c r="H4" s="3090" t="str">
        <f ca="1">E4&amp;"（注册号："&amp;F4&amp;"）"</f>
        <v>梁津（注册号：96010014）</v>
      </c>
    </row>
    <row r="5" customHeight="1" spans="1:8">
      <c r="A5" s="3086" t="s">
        <v>185</v>
      </c>
      <c r="B5" s="3086">
        <f ca="1">IF(C5&lt;B2,"已过期",1119970111)</f>
        <v>1119970111</v>
      </c>
      <c r="C5" s="3087">
        <v>44876</v>
      </c>
      <c r="D5" s="3088" t="str">
        <f ca="1" t="shared" ref="D5:D16" si="0">A5&amp;"（注册号："&amp;B5&amp;"）"</f>
        <v>叶凌（注册号：1119970111）</v>
      </c>
      <c r="E5" s="3089" t="s">
        <v>185</v>
      </c>
      <c r="F5" s="3086">
        <f ca="1">IF(G5&lt;B2,"已过期",94010078)</f>
        <v>94010078</v>
      </c>
      <c r="G5" s="3087">
        <v>46387</v>
      </c>
      <c r="H5" s="3090" t="str">
        <f ca="1" t="shared" ref="H5:H16" si="1">E5&amp;"（注册号："&amp;F5&amp;"）"</f>
        <v>叶凌（注册号：94010078）</v>
      </c>
    </row>
    <row r="6" customHeight="1" spans="1:8">
      <c r="A6" s="3086" t="s">
        <v>186</v>
      </c>
      <c r="B6" s="3086" t="str">
        <f ca="1">IF(C6&lt;B2,"已过期",1120050019)</f>
        <v>已过期</v>
      </c>
      <c r="C6" s="3087">
        <v>44395</v>
      </c>
      <c r="D6" s="3088" t="str">
        <f ca="1" t="shared" si="0"/>
        <v>王鹏（注册号：已过期）</v>
      </c>
      <c r="E6" s="3089" t="s">
        <v>186</v>
      </c>
      <c r="F6" s="3086">
        <f ca="1">IF(G6&lt;B2,"已过期",2002110030)</f>
        <v>2002110030</v>
      </c>
      <c r="G6" s="3087">
        <v>46387</v>
      </c>
      <c r="H6" s="3090" t="str">
        <f ca="1" t="shared" si="1"/>
        <v>王鹏（注册号：2002110030）</v>
      </c>
    </row>
    <row r="7" customHeight="1" spans="1:8">
      <c r="A7" s="3086" t="s">
        <v>187</v>
      </c>
      <c r="B7" s="3086">
        <f ca="1">IF(C7&lt;B2,"已过期",1120000080)</f>
        <v>1120000080</v>
      </c>
      <c r="C7" s="3087">
        <v>44876</v>
      </c>
      <c r="D7" s="3088" t="str">
        <f ca="1" t="shared" si="0"/>
        <v>欧红伟（注册号：1120000080）</v>
      </c>
      <c r="E7" s="3089" t="s">
        <v>187</v>
      </c>
      <c r="F7" s="3086">
        <f ca="1">IF(G7&lt;B2,"已过期",2000110082)</f>
        <v>2000110082</v>
      </c>
      <c r="G7" s="3087">
        <v>46387</v>
      </c>
      <c r="H7" s="3090" t="str">
        <f ca="1" t="shared" si="1"/>
        <v>欧红伟（注册号：2000110082）</v>
      </c>
    </row>
    <row r="8" customHeight="1" spans="1:8">
      <c r="A8" s="3086" t="s">
        <v>188</v>
      </c>
      <c r="B8" s="3086">
        <f ca="1">IF(C8&lt;B2,"已过期",1419970001)</f>
        <v>1419970001</v>
      </c>
      <c r="C8" s="3087">
        <v>44899</v>
      </c>
      <c r="D8" s="3088" t="str">
        <f ca="1" t="shared" si="0"/>
        <v>吴薇（注册号：1419970001）</v>
      </c>
      <c r="E8" s="3089" t="s">
        <v>188</v>
      </c>
      <c r="F8" s="3086">
        <f ca="1">IF(G8&lt;B2,"已过期",2002110125)</f>
        <v>2002110125</v>
      </c>
      <c r="G8" s="3087">
        <v>47118</v>
      </c>
      <c r="H8" s="3090" t="str">
        <f ca="1" t="shared" si="1"/>
        <v>吴薇（注册号：2002110125）</v>
      </c>
    </row>
    <row r="9" customHeight="1" spans="1:8">
      <c r="A9" s="3086" t="s">
        <v>189</v>
      </c>
      <c r="B9" s="3086" t="str">
        <f ca="1">IF(C9&lt;B2,"已过期",1120060040)</f>
        <v>已过期</v>
      </c>
      <c r="C9" s="3091">
        <v>44554</v>
      </c>
      <c r="D9" s="3088" t="str">
        <f ca="1" t="shared" si="0"/>
        <v>陈颖（注册号：已过期）</v>
      </c>
      <c r="E9" s="3089" t="s">
        <v>189</v>
      </c>
      <c r="F9" s="3086">
        <f ca="1">IF(G9&lt;B2,"已过期",2004110096)</f>
        <v>2004110096</v>
      </c>
      <c r="G9" s="3087">
        <v>47118</v>
      </c>
      <c r="H9" s="3090" t="str">
        <f ca="1" t="shared" si="1"/>
        <v>陈颖（注册号：2004110096）</v>
      </c>
    </row>
    <row r="10" customHeight="1" spans="1:8">
      <c r="A10" s="3086" t="s">
        <v>190</v>
      </c>
      <c r="B10" s="3086" t="str">
        <f ca="1">IF(C10&lt;B2,"已过期",1120100036)</f>
        <v>已过期</v>
      </c>
      <c r="C10" s="3091">
        <v>44675</v>
      </c>
      <c r="D10" s="3088" t="str">
        <f ca="1" t="shared" si="0"/>
        <v>崔锴（注册号：已过期）</v>
      </c>
      <c r="E10" s="3089" t="s">
        <v>190</v>
      </c>
      <c r="F10" s="3086">
        <f ca="1">IF(G10&lt;B2,"已过期",2010110070)</f>
        <v>2010110070</v>
      </c>
      <c r="G10" s="3087">
        <v>47907</v>
      </c>
      <c r="H10" s="3090" t="str">
        <f ca="1" t="shared" si="1"/>
        <v>崔锴（注册号：2010110070）</v>
      </c>
    </row>
    <row r="11" customHeight="1" spans="1:8">
      <c r="A11" s="3086" t="s">
        <v>191</v>
      </c>
      <c r="B11" s="3086">
        <f ca="1">IF(C11&lt;B2,"已过期",1120070131)</f>
        <v>1120070131</v>
      </c>
      <c r="C11" s="3087">
        <v>44849</v>
      </c>
      <c r="D11" s="3088" t="str">
        <f ca="1" t="shared" si="0"/>
        <v>郑燚（注册号：1120070131）</v>
      </c>
      <c r="E11" s="3089" t="s">
        <v>191</v>
      </c>
      <c r="F11" s="3086">
        <f ca="1">IF(G11&lt;B2,"已过期",2014110011)</f>
        <v>2014110011</v>
      </c>
      <c r="G11" s="3087">
        <v>49302</v>
      </c>
      <c r="H11" s="3090" t="str">
        <f ca="1" t="shared" si="1"/>
        <v>郑燚（注册号：2014110011）</v>
      </c>
    </row>
    <row r="12" customHeight="1" spans="1:8">
      <c r="A12" s="3086" t="s">
        <v>192</v>
      </c>
      <c r="B12" s="3086">
        <f ca="1">IF(C12&lt;B2,"已过期",1120040230)</f>
        <v>1120040230</v>
      </c>
      <c r="C12" s="3091">
        <v>44864</v>
      </c>
      <c r="D12" s="3088" t="str">
        <f ca="1" t="shared" si="0"/>
        <v>苏海（注册号：1120040230）</v>
      </c>
      <c r="E12" s="3089" t="s">
        <v>192</v>
      </c>
      <c r="F12" s="3086">
        <f ca="1">IF(G12&lt;B2,"已过期",98030020)</f>
        <v>98030020</v>
      </c>
      <c r="G12" s="3087">
        <v>47118</v>
      </c>
      <c r="H12" s="3090" t="str">
        <f ca="1" t="shared" si="1"/>
        <v>苏海（注册号：98030020）</v>
      </c>
    </row>
    <row r="13" customHeight="1" spans="1:8">
      <c r="A13" s="3086" t="s">
        <v>193</v>
      </c>
      <c r="B13" s="3086" t="str">
        <f ca="1">IF(C13&lt;B2,"已过期",1120020033)</f>
        <v>已过期</v>
      </c>
      <c r="C13" s="3087">
        <v>44339</v>
      </c>
      <c r="D13" s="3088" t="str">
        <f ca="1" t="shared" si="0"/>
        <v>刘敬东（注册号：已过期）</v>
      </c>
      <c r="E13" s="3089" t="s">
        <v>193</v>
      </c>
      <c r="F13" s="3086">
        <f ca="1">IF(G13&lt;B2,"已过期",2000110137)</f>
        <v>2000110137</v>
      </c>
      <c r="G13" s="3087">
        <v>46387</v>
      </c>
      <c r="H13" s="3090" t="str">
        <f ca="1" t="shared" si="1"/>
        <v>刘敬东（注册号：2000110137）</v>
      </c>
    </row>
    <row r="14" customHeight="1" spans="1:8">
      <c r="A14" s="3086" t="s">
        <v>194</v>
      </c>
      <c r="B14" s="3086">
        <f ca="1">IF(C14&lt;B2,"已过期",1119980106)</f>
        <v>1119980106</v>
      </c>
      <c r="C14" s="3091">
        <v>44969</v>
      </c>
      <c r="D14" s="3088" t="str">
        <f ca="1" t="shared" si="0"/>
        <v>刘俊财（注册号：1119980106）</v>
      </c>
      <c r="E14" s="3089" t="s">
        <v>194</v>
      </c>
      <c r="F14" s="3086">
        <f ca="1">IF(G14&lt;B2,"已过期",96010063)</f>
        <v>96010063</v>
      </c>
      <c r="G14" s="3087">
        <v>47483</v>
      </c>
      <c r="H14" s="3090" t="str">
        <f ca="1" t="shared" si="1"/>
        <v>刘俊财（注册号：96010063）</v>
      </c>
    </row>
    <row r="15" customHeight="1" spans="1:8">
      <c r="A15" s="3086"/>
      <c r="B15" s="3086"/>
      <c r="C15" s="3091"/>
      <c r="D15" s="3088" t="str">
        <f t="shared" si="0"/>
        <v>（注册号：）</v>
      </c>
      <c r="E15" s="3089" t="s">
        <v>195</v>
      </c>
      <c r="F15" s="3086">
        <f ca="1">IF(G15&lt;B2,"已过期",2011110090)</f>
        <v>2011110090</v>
      </c>
      <c r="G15" s="3087">
        <v>48302</v>
      </c>
      <c r="H15" s="3090" t="str">
        <f ca="1" t="shared" si="1"/>
        <v>赵雯（注册号：2011110090）</v>
      </c>
    </row>
    <row r="16" s="3076" customFormat="1" customHeight="1" spans="1:8">
      <c r="A16" s="3086"/>
      <c r="B16" s="3086"/>
      <c r="C16" s="3087"/>
      <c r="D16" s="3088" t="str">
        <f t="shared" si="0"/>
        <v>（注册号：）</v>
      </c>
      <c r="E16" s="3089"/>
      <c r="F16" s="3086"/>
      <c r="G16" s="3087"/>
      <c r="H16" s="3092" t="str">
        <f t="shared" si="1"/>
        <v>（注册号：）</v>
      </c>
    </row>
    <row r="17" customHeight="1" spans="1:8">
      <c r="A17" s="3093" t="s">
        <v>196</v>
      </c>
      <c r="B17" s="3093"/>
      <c r="C17" s="3093"/>
      <c r="D17" s="3093"/>
      <c r="E17" s="3093"/>
      <c r="F17" s="3093"/>
      <c r="G17" s="3093"/>
      <c r="H17" s="3093"/>
    </row>
    <row r="18" customHeight="1" spans="1:7">
      <c r="A18" s="3083" t="s">
        <v>197</v>
      </c>
      <c r="B18" s="3083"/>
      <c r="C18" s="3083"/>
      <c r="D18" s="3084"/>
      <c r="E18" s="3094" t="s">
        <v>198</v>
      </c>
      <c r="F18" s="3083"/>
      <c r="G18" s="3083"/>
    </row>
    <row r="19" s="3077" customFormat="1" customHeight="1" spans="1:7">
      <c r="A19" s="3095" t="s">
        <v>199</v>
      </c>
      <c r="B19" s="3083" t="s">
        <v>200</v>
      </c>
      <c r="C19" s="3083" t="s">
        <v>179</v>
      </c>
      <c r="D19" s="3084"/>
      <c r="E19" s="3089" t="s">
        <v>199</v>
      </c>
      <c r="F19" s="3083" t="s">
        <v>200</v>
      </c>
      <c r="G19" s="3083" t="s">
        <v>179</v>
      </c>
    </row>
    <row r="20" s="3077" customFormat="1" customHeight="1" spans="1:7">
      <c r="A20" s="3096" t="s">
        <v>201</v>
      </c>
      <c r="B20" s="3096" t="s">
        <v>202</v>
      </c>
      <c r="C20" s="3087">
        <v>44820</v>
      </c>
      <c r="D20" s="3097"/>
      <c r="E20" s="3098" t="s">
        <v>203</v>
      </c>
      <c r="F20" s="3096" t="s">
        <v>204</v>
      </c>
      <c r="G20" s="3099">
        <v>44377</v>
      </c>
    </row>
    <row r="21" s="3077" customFormat="1" customHeight="1" spans="1:7">
      <c r="A21" s="3096"/>
      <c r="B21" s="3096"/>
      <c r="C21" s="3100"/>
      <c r="D21" s="3101"/>
      <c r="E21" s="3098" t="s">
        <v>205</v>
      </c>
      <c r="F21" s="3102" t="s">
        <v>206</v>
      </c>
      <c r="G21" s="3103">
        <v>44012</v>
      </c>
    </row>
    <row r="22" customHeight="1" spans="5:7">
      <c r="E22" s="3104"/>
      <c r="F22" s="3105"/>
      <c r="G22" s="3106"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2022-03-25T05:42:00Z</cp:lastPrinted>
  <dcterms:modified xsi:type="dcterms:W3CDTF">2022-08-07T07:42:08Z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EFFD067BD14B4B3FABF5D59FA951CDB1</vt:lpwstr>
  </property>
</Properties>
</file>