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收益法地上商业"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r:id="rId46"/>
    <sheet name="收益法车库" sheetId="79" r:id="rId47"/>
    <sheet name="收益法仓储" sheetId="80" r:id="rId48"/>
  </sheets>
  <externalReferences>
    <externalReference r:id="rId49"/>
    <externalReference r:id="rId50"/>
    <externalReference r:id="rId51"/>
    <externalReference r:id="rId52"/>
    <externalReference r:id="rId53"/>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7">收益法仓储!$A$1:$AK$69</definedName>
    <definedName name="_xlnm.Print_Area" localSheetId="46">收益法车库!$A$1:$AK$69</definedName>
    <definedName name="_xlnm.Print_Area" localSheetId="24">收益法地上商业!$A$1:$AK$69</definedName>
    <definedName name="_xlnm.Print_Area" localSheetId="45">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9" i="77" l="1"/>
  <c r="G54" i="77" s="1"/>
  <c r="I54" i="77"/>
  <c r="J54" i="77"/>
  <c r="K54" i="77"/>
  <c r="L54" i="77"/>
  <c r="M54" i="77"/>
  <c r="N54" i="77"/>
  <c r="O54" i="77"/>
  <c r="P54" i="77"/>
  <c r="Q54" i="77"/>
  <c r="R54" i="77"/>
  <c r="R49" i="77"/>
  <c r="N53" i="77"/>
  <c r="M53" i="77"/>
  <c r="L53" i="77"/>
  <c r="G53" i="77"/>
  <c r="R52" i="77"/>
  <c r="Q52" i="77" s="1"/>
  <c r="P52" i="77"/>
  <c r="O52" i="77"/>
  <c r="M52" i="77"/>
  <c r="L52" i="77"/>
  <c r="K52" i="77"/>
  <c r="J52" i="77"/>
  <c r="G52" i="77"/>
  <c r="L51" i="77"/>
  <c r="N51" i="77"/>
  <c r="G51" i="77"/>
  <c r="L50" i="77"/>
  <c r="I50" i="77" s="1"/>
  <c r="H50" i="77" s="1"/>
  <c r="G50" i="77"/>
  <c r="P49" i="77"/>
  <c r="O49" i="77"/>
  <c r="M49" i="77"/>
  <c r="L49" i="77"/>
  <c r="K49" i="77"/>
  <c r="J49" i="77"/>
  <c r="Q49" i="77"/>
  <c r="Q50" i="77"/>
  <c r="Q51" i="77"/>
  <c r="Q53" i="77"/>
  <c r="Q48" i="77"/>
  <c r="R48" i="77"/>
  <c r="I48" i="77"/>
  <c r="P48" i="77"/>
  <c r="O48" i="77"/>
  <c r="M48" i="77"/>
  <c r="L48" i="77"/>
  <c r="K48" i="77"/>
  <c r="G48" i="77"/>
  <c r="J48" i="77"/>
  <c r="E41" i="77"/>
  <c r="F41" i="77"/>
  <c r="F42" i="77" s="1"/>
  <c r="H41" i="77"/>
  <c r="H42" i="77" s="1"/>
  <c r="J41" i="77"/>
  <c r="J42" i="77" s="1"/>
  <c r="D41" i="77"/>
  <c r="I53" i="77" l="1"/>
  <c r="H53" i="77" s="1"/>
  <c r="I52" i="77"/>
  <c r="H52" i="77" s="1"/>
  <c r="I51" i="77"/>
  <c r="H51" i="77" s="1"/>
  <c r="I49" i="77"/>
  <c r="H49" i="77" s="1"/>
  <c r="H54" i="77" s="1"/>
  <c r="H48" i="77"/>
  <c r="C15" i="74" l="1"/>
  <c r="B15" i="74"/>
  <c r="B16" i="74"/>
  <c r="C16" i="74"/>
  <c r="C19" i="74" l="1"/>
  <c r="B19" i="74"/>
  <c r="C18" i="74" l="1"/>
  <c r="B18" i="74"/>
  <c r="C17" i="74" l="1"/>
  <c r="B17" i="74"/>
  <c r="T28" i="1" l="1"/>
  <c r="U8" i="1"/>
  <c r="W23" i="1"/>
  <c r="W24" i="1"/>
  <c r="W22" i="1"/>
  <c r="U21" i="1"/>
  <c r="U22" i="1" s="1"/>
  <c r="U23" i="1" s="1"/>
  <c r="U24" i="1" s="1"/>
  <c r="U25" i="1" l="1"/>
  <c r="W25" i="1" s="1"/>
  <c r="D14" i="9" l="1"/>
  <c r="Y11" i="1"/>
  <c r="W11" i="1"/>
  <c r="V11" i="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C30" i="77"/>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L10" i="1"/>
  <c r="AL11" i="1" s="1"/>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AM9" i="1"/>
  <c r="AM10" i="1" s="1"/>
  <c r="AM11" i="1" s="1"/>
  <c r="AL9" i="1"/>
  <c r="AK9" i="1"/>
  <c r="AK10" i="1" s="1"/>
  <c r="AK11" i="1" s="1"/>
  <c r="Y9" i="1"/>
  <c r="W9" i="1"/>
  <c r="V9" i="1"/>
  <c r="U9" i="1"/>
  <c r="F25" i="77"/>
  <c r="F26" i="77"/>
  <c r="F24" i="77"/>
  <c r="D23" i="77"/>
  <c r="D24" i="77" s="1"/>
  <c r="D25" i="77" s="1"/>
  <c r="D26" i="77" s="1"/>
  <c r="F8" i="80"/>
  <c r="F9" i="80"/>
  <c r="C76" i="80"/>
  <c r="F37" i="78"/>
  <c r="C76" i="79"/>
  <c r="F7" i="80"/>
  <c r="D27" i="77" l="1"/>
  <c r="F27" i="77" s="1"/>
  <c r="Q71" i="80"/>
  <c r="F50" i="80"/>
  <c r="M7" i="80"/>
  <c r="F51" i="80"/>
  <c r="Q71" i="79"/>
  <c r="D24" i="79"/>
  <c r="P61" i="79"/>
  <c r="D22" i="79"/>
  <c r="F65" i="78"/>
  <c r="D23" i="78"/>
  <c r="D22" i="78"/>
  <c r="D24" i="78"/>
  <c r="P61" i="78"/>
  <c r="K11" i="34"/>
  <c r="E11" i="34"/>
  <c r="C11" i="34"/>
  <c r="C34" i="34"/>
  <c r="C25" i="34"/>
  <c r="F36" i="79"/>
  <c r="F40" i="79"/>
  <c r="F6" i="80"/>
  <c r="F6" i="79"/>
  <c r="L48" i="80"/>
  <c r="L48" i="78"/>
  <c r="F37" i="79"/>
  <c r="M27" i="80"/>
  <c r="M26" i="80"/>
  <c r="M26" i="78"/>
  <c r="L47" i="79"/>
  <c r="M29" i="79"/>
  <c r="J15" i="79"/>
  <c r="F38" i="78"/>
  <c r="F43" i="78"/>
  <c r="F36" i="78"/>
  <c r="F13" i="79"/>
  <c r="F26" i="79"/>
  <c r="M22" i="78"/>
  <c r="M29" i="78"/>
  <c r="F42" i="78"/>
  <c r="M9" i="79"/>
  <c r="F40" i="80"/>
  <c r="F9" i="78"/>
  <c r="F13" i="78"/>
  <c r="M8" i="79"/>
  <c r="F42" i="79"/>
  <c r="M6" i="78"/>
  <c r="M24" i="80"/>
  <c r="M22" i="80"/>
  <c r="M8" i="80"/>
  <c r="M27" i="79"/>
  <c r="M23" i="79"/>
  <c r="L48" i="79"/>
  <c r="F43" i="79"/>
  <c r="F8" i="79"/>
  <c r="M6" i="79"/>
  <c r="M23" i="80"/>
  <c r="F16" i="79"/>
  <c r="J15" i="78"/>
  <c r="M28" i="79"/>
  <c r="M27" i="78"/>
  <c r="F6" i="78"/>
  <c r="F16" i="78"/>
  <c r="F36" i="80"/>
  <c r="F43" i="80"/>
  <c r="M9" i="78"/>
  <c r="M29" i="80"/>
  <c r="J15" i="80"/>
  <c r="F38" i="80"/>
  <c r="M23" i="78"/>
  <c r="F38" i="79"/>
  <c r="C14" i="80"/>
  <c r="F26" i="80"/>
  <c r="F7" i="78"/>
  <c r="L47" i="78"/>
  <c r="M9" i="80"/>
  <c r="M28" i="78"/>
  <c r="F7" i="79"/>
  <c r="F16" i="80"/>
  <c r="M24" i="79"/>
  <c r="M28" i="80"/>
  <c r="M24" i="78"/>
  <c r="F42" i="80"/>
  <c r="C14" i="79"/>
  <c r="C76" i="78"/>
  <c r="F9" i="79"/>
  <c r="F13" i="80"/>
  <c r="F40" i="78"/>
  <c r="L47" i="80"/>
  <c r="F8" i="78"/>
  <c r="M22" i="79"/>
  <c r="M6" i="80"/>
  <c r="F37" i="80"/>
  <c r="M8" i="78"/>
  <c r="M26" i="79"/>
  <c r="C49" i="80" l="1"/>
  <c r="L57" i="80"/>
  <c r="L56" i="80"/>
  <c r="J60" i="80"/>
  <c r="Q48" i="80" s="1"/>
  <c r="I54" i="80"/>
  <c r="L60" i="80"/>
  <c r="J59" i="80"/>
  <c r="J57" i="80"/>
  <c r="J55" i="80" s="1"/>
  <c r="J58" i="80" s="1"/>
  <c r="Q50" i="80" s="1"/>
  <c r="J53" i="80"/>
  <c r="F65" i="80"/>
  <c r="C18" i="80"/>
  <c r="C15" i="80"/>
  <c r="J6" i="80"/>
  <c r="F71" i="80"/>
  <c r="F68" i="80"/>
  <c r="N59" i="80"/>
  <c r="L58" i="80"/>
  <c r="M59" i="80"/>
  <c r="L59" i="80" s="1"/>
  <c r="F66" i="80"/>
  <c r="F64" i="80"/>
  <c r="C27" i="80"/>
  <c r="C6" i="80"/>
  <c r="L57" i="79"/>
  <c r="L56" i="79"/>
  <c r="I54" i="79"/>
  <c r="L60" i="79"/>
  <c r="J59" i="79"/>
  <c r="J60" i="79"/>
  <c r="Q48" i="79" s="1"/>
  <c r="J53" i="79"/>
  <c r="J57" i="79"/>
  <c r="J55" i="79" s="1"/>
  <c r="J58" i="79" s="1"/>
  <c r="Q50" i="79" s="1"/>
  <c r="F71" i="79"/>
  <c r="F68" i="79"/>
  <c r="F51" i="79"/>
  <c r="F65" i="79"/>
  <c r="C27" i="79"/>
  <c r="C18" i="79"/>
  <c r="C15" i="79"/>
  <c r="N59" i="79"/>
  <c r="L58" i="79"/>
  <c r="M59" i="79"/>
  <c r="L59" i="79" s="1"/>
  <c r="F50" i="79"/>
  <c r="M7" i="79"/>
  <c r="J6" i="79" s="1"/>
  <c r="F66" i="79"/>
  <c r="F64" i="79"/>
  <c r="C6" i="79"/>
  <c r="N59" i="78"/>
  <c r="L58" i="78"/>
  <c r="Q71" i="78"/>
  <c r="C6" i="78"/>
  <c r="F64" i="78"/>
  <c r="F51" i="78"/>
  <c r="F68" i="78"/>
  <c r="F71" i="78"/>
  <c r="L57" i="78"/>
  <c r="L56" i="78"/>
  <c r="J57" i="78"/>
  <c r="J55" i="78" s="1"/>
  <c r="J58" i="78" s="1"/>
  <c r="Q50" i="78" s="1"/>
  <c r="J60" i="78"/>
  <c r="Q48" i="78" s="1"/>
  <c r="I54" i="78"/>
  <c r="L60" i="78"/>
  <c r="J59" i="78"/>
  <c r="F66" i="78"/>
  <c r="F50" i="78"/>
  <c r="M7" i="78"/>
  <c r="J6" i="78" s="1"/>
  <c r="C16" i="79"/>
  <c r="C17" i="80"/>
  <c r="C16" i="80"/>
  <c r="C17" i="79"/>
  <c r="C17" i="78"/>
  <c r="C19" i="80" l="1"/>
  <c r="Q60" i="80"/>
  <c r="Q73" i="80"/>
  <c r="F1" i="80"/>
  <c r="Q52" i="80"/>
  <c r="Q61" i="80"/>
  <c r="Q74" i="80"/>
  <c r="Q66" i="80"/>
  <c r="Q57" i="80"/>
  <c r="L46" i="80"/>
  <c r="L46" i="79"/>
  <c r="C19" i="79"/>
  <c r="Q60" i="79"/>
  <c r="Q73" i="79"/>
  <c r="C49" i="79"/>
  <c r="Q66" i="79"/>
  <c r="Q57" i="79"/>
  <c r="Q61" i="79"/>
  <c r="Q74" i="79"/>
  <c r="F1" i="79"/>
  <c r="Q52" i="79"/>
  <c r="L46" i="78"/>
  <c r="C49" i="78"/>
  <c r="Q60" i="78"/>
  <c r="Q73" i="78"/>
  <c r="Q66" i="78"/>
  <c r="Q57" i="78"/>
  <c r="C20" i="80" l="1"/>
  <c r="C26" i="80" s="1"/>
  <c r="C20" i="79"/>
  <c r="C26" i="79" s="1"/>
  <c r="E57" i="39" l="1"/>
  <c r="I46" i="39"/>
  <c r="G46" i="39"/>
  <c r="E46" i="39"/>
  <c r="I38" i="39"/>
  <c r="G38" i="39"/>
  <c r="E38" i="39"/>
  <c r="C38" i="39"/>
  <c r="C32" i="39"/>
  <c r="C11" i="39"/>
  <c r="I11" i="39"/>
  <c r="G11" i="39"/>
  <c r="E11" i="39"/>
  <c r="I7" i="39" l="1"/>
  <c r="G7" i="39"/>
  <c r="E7" i="39"/>
  <c r="I5" i="39"/>
  <c r="G5" i="39"/>
  <c r="E5" i="39"/>
  <c r="Q9" i="1" l="1"/>
  <c r="Q7" i="1"/>
  <c r="N7" i="1"/>
  <c r="N8" i="1" s="1"/>
  <c r="N9" i="1" s="1"/>
  <c r="N10" i="1" s="1"/>
  <c r="N11" i="1" s="1"/>
  <c r="N14" i="1" s="1"/>
  <c r="L14" i="1"/>
  <c r="L11" i="1"/>
  <c r="L7" i="1"/>
  <c r="L8" i="1" s="1"/>
  <c r="F26" i="78"/>
  <c r="L9" i="1" l="1"/>
  <c r="C27" i="78"/>
  <c r="H7" i="1"/>
  <c r="H8" i="1"/>
  <c r="H9" i="1"/>
  <c r="H10" i="1"/>
  <c r="H11" i="1"/>
  <c r="H6" i="1"/>
  <c r="I9" i="1"/>
  <c r="I7" i="1"/>
  <c r="J9" i="1"/>
  <c r="J10" i="1" s="1"/>
  <c r="J11" i="1" s="1"/>
  <c r="J8" i="1"/>
  <c r="J7" i="1"/>
  <c r="I7" i="6"/>
  <c r="G24" i="6"/>
  <c r="G23" i="6"/>
  <c r="G22" i="6"/>
  <c r="F21" i="6"/>
  <c r="G20" i="6"/>
  <c r="F19" i="6"/>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7" i="76"/>
  <c r="B10" i="76"/>
  <c r="B8" i="76"/>
  <c r="E11" i="76"/>
  <c r="B11" i="76"/>
  <c r="B12" i="76"/>
  <c r="B9" i="76"/>
  <c r="E9" i="76"/>
  <c r="E10" i="76"/>
  <c r="E13" i="76"/>
  <c r="B13" i="76"/>
  <c r="E12" i="76"/>
  <c r="B7" i="76"/>
  <c r="E8" i="76"/>
  <c r="D19" i="74" l="1"/>
  <c r="G19" i="74" s="1"/>
  <c r="D16" i="74"/>
  <c r="G16" i="74"/>
  <c r="C76" i="9"/>
  <c r="D18" i="74" l="1"/>
  <c r="G18" i="74" s="1"/>
  <c r="D15" i="74"/>
  <c r="I107" i="40"/>
  <c r="K6" i="4" l="1"/>
  <c r="B22" i="31" l="1"/>
  <c r="N56" i="9" l="1"/>
  <c r="M56" i="9"/>
  <c r="K56" i="9"/>
  <c r="E16" i="74" l="1"/>
  <c r="F16"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D6" i="73"/>
  <c r="D5" i="73"/>
  <c r="F4" i="73"/>
  <c r="F5" i="73"/>
  <c r="F3" i="73"/>
  <c r="F6" i="73"/>
  <c r="I1" i="73" l="1"/>
  <c r="B39" i="1" s="1"/>
  <c r="D7" i="73"/>
  <c r="D4" i="73"/>
  <c r="F11" i="80" l="1"/>
  <c r="M11" i="80"/>
  <c r="J10" i="80" s="1"/>
  <c r="J5" i="80" s="1"/>
  <c r="F11" i="79"/>
  <c r="M11" i="79"/>
  <c r="J10" i="79" s="1"/>
  <c r="J5" i="79" s="1"/>
  <c r="F11" i="78"/>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48" i="80" s="1"/>
  <c r="C10" i="80"/>
  <c r="C5" i="80" s="1"/>
  <c r="J26" i="80"/>
  <c r="J24" i="80"/>
  <c r="J18" i="80"/>
  <c r="J26" i="79"/>
  <c r="J24" i="79"/>
  <c r="J18" i="79"/>
  <c r="C53" i="79"/>
  <c r="C48" i="79" s="1"/>
  <c r="C10" i="79"/>
  <c r="C5" i="79" s="1"/>
  <c r="J26" i="78"/>
  <c r="J24" i="78"/>
  <c r="J18" i="78"/>
  <c r="C53" i="78"/>
  <c r="C48" i="78" s="1"/>
  <c r="C10" i="78"/>
  <c r="C5" i="78" s="1"/>
  <c r="AA10" i="43"/>
  <c r="AC10" i="43"/>
  <c r="AE10" i="43"/>
  <c r="AG10" i="43"/>
  <c r="AI10" i="43"/>
  <c r="Z10" i="43"/>
  <c r="AB10" i="43"/>
  <c r="AD10" i="43"/>
  <c r="AF10" i="43"/>
  <c r="AH10" i="43"/>
  <c r="AJ10" i="43"/>
  <c r="C38" i="80" l="1"/>
  <c r="C32" i="80"/>
  <c r="C66" i="80"/>
  <c r="C60" i="80"/>
  <c r="C38" i="79"/>
  <c r="C32" i="79"/>
  <c r="C66" i="79"/>
  <c r="C60" i="79"/>
  <c r="C38" i="78"/>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J15" i="34"/>
  <c r="W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N7" i="43"/>
  <c r="F70" i="43"/>
  <c r="H73" i="43" s="1"/>
  <c r="M6" i="43"/>
  <c r="E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C16" i="78"/>
  <c r="AE10" i="1"/>
  <c r="AE11" i="1"/>
  <c r="C14" i="78"/>
  <c r="C18" i="78" l="1"/>
  <c r="C15" i="78"/>
  <c r="O9" i="1"/>
  <c r="P9" i="1" s="1"/>
  <c r="H15" i="34"/>
  <c r="AB15" i="34" s="1"/>
  <c r="F15" i="34"/>
  <c r="AA15" i="34" s="1"/>
  <c r="AC15" i="34"/>
  <c r="J25" i="34"/>
  <c r="AC25" i="34" s="1"/>
  <c r="M59" i="78"/>
  <c r="L59" i="78" s="1"/>
  <c r="J53" i="78"/>
  <c r="AC36" i="34"/>
  <c r="AB23" i="34"/>
  <c r="AC17" i="34"/>
  <c r="S15" i="34"/>
  <c r="W8" i="34"/>
  <c r="W27" i="39"/>
  <c r="S11" i="39"/>
  <c r="U17" i="39"/>
  <c r="M11" i="43"/>
  <c r="N4" i="43"/>
  <c r="K10" i="1"/>
  <c r="M10" i="1" s="1"/>
  <c r="O10" i="1" s="1"/>
  <c r="E8" i="6"/>
  <c r="F27" i="6" s="1"/>
  <c r="BA18" i="3"/>
  <c r="AZ18" i="3" s="1"/>
  <c r="BL20" i="3"/>
  <c r="AZ20" i="3" s="1"/>
  <c r="BL23" i="3"/>
  <c r="BL26" i="3"/>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F40" i="67"/>
  <c r="F8" i="15"/>
  <c r="L47" i="15"/>
  <c r="M6" i="15"/>
  <c r="M8" i="67"/>
  <c r="L47" i="67"/>
  <c r="M26" i="15"/>
  <c r="F9" i="67"/>
  <c r="M9" i="15"/>
  <c r="L48" i="67"/>
  <c r="F38" i="15"/>
  <c r="F41" i="80"/>
  <c r="F16" i="67"/>
  <c r="M8" i="15"/>
  <c r="F42" i="67"/>
  <c r="M24" i="67"/>
  <c r="M22" i="67"/>
  <c r="G1" i="73"/>
  <c r="F8" i="67"/>
  <c r="F26" i="67"/>
  <c r="L48" i="15"/>
  <c r="F37" i="67"/>
  <c r="F40" i="15"/>
  <c r="F36" i="15"/>
  <c r="F16" i="15"/>
  <c r="F37" i="15"/>
  <c r="M29" i="15"/>
  <c r="M23" i="15"/>
  <c r="F42" i="15"/>
  <c r="F43" i="67"/>
  <c r="M28" i="67"/>
  <c r="M6" i="67"/>
  <c r="F13" i="67"/>
  <c r="F43" i="15"/>
  <c r="M22" i="15"/>
  <c r="F6" i="15"/>
  <c r="M29" i="67"/>
  <c r="J15" i="15"/>
  <c r="M23" i="67"/>
  <c r="F38" i="67"/>
  <c r="F26" i="15"/>
  <c r="F9" i="15"/>
  <c r="J15" i="67"/>
  <c r="C76" i="15"/>
  <c r="M28" i="15"/>
  <c r="F13" i="15"/>
  <c r="F36" i="67"/>
  <c r="F6" i="67"/>
  <c r="F7" i="15"/>
  <c r="C76" i="67"/>
  <c r="M9" i="67"/>
  <c r="M26" i="67"/>
  <c r="F7" i="67"/>
  <c r="C19" i="78" l="1"/>
  <c r="C20" i="78" s="1"/>
  <c r="C26" i="78" s="1"/>
  <c r="C4" i="4"/>
  <c r="B4" i="62" s="1"/>
  <c r="B71" i="72" s="1"/>
  <c r="J29" i="80"/>
  <c r="F69" i="80"/>
  <c r="Q52" i="78"/>
  <c r="F1" i="78"/>
  <c r="Q74" i="78"/>
  <c r="Q61" i="78"/>
  <c r="H62" i="43"/>
  <c r="H61" i="43"/>
  <c r="H60" i="43"/>
  <c r="H59" i="43"/>
  <c r="H67" i="43"/>
  <c r="H66" i="43"/>
  <c r="H65" i="43"/>
  <c r="H64" i="43"/>
  <c r="H63" i="4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E63" i="39"/>
  <c r="E66" i="39" s="1"/>
  <c r="D9" i="69"/>
  <c r="C9" i="69" s="1"/>
  <c r="D19" i="12"/>
  <c r="C19" i="12" s="1"/>
  <c r="E59" i="40"/>
  <c r="D68" i="39"/>
  <c r="D70" i="39" s="1"/>
  <c r="C28" i="15"/>
  <c r="E30" i="6"/>
  <c r="E31" i="6" s="1"/>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31" i="15"/>
  <c r="F59" i="67"/>
  <c r="F31" i="67"/>
  <c r="F59" i="15"/>
  <c r="M17" i="67"/>
  <c r="C17" i="15"/>
  <c r="C16" i="15"/>
  <c r="C16" i="67"/>
  <c r="AE9" i="1"/>
  <c r="C24" i="80" l="1"/>
  <c r="C23" i="80"/>
  <c r="F24" i="78"/>
  <c r="C23" i="78" s="1"/>
  <c r="F24" i="79"/>
  <c r="C30" i="69"/>
  <c r="K4" i="4"/>
  <c r="B46" i="48" s="1"/>
  <c r="B4" i="72" s="1"/>
  <c r="M23" i="6"/>
  <c r="I23" i="6" s="1"/>
  <c r="S23" i="6" s="1"/>
  <c r="S10" i="1"/>
  <c r="M24" i="6"/>
  <c r="I24" i="6" s="1"/>
  <c r="S24" i="6" s="1"/>
  <c r="S11" i="1"/>
  <c r="M22" i="6"/>
  <c r="I22" i="6" s="1"/>
  <c r="S22" i="6" s="1"/>
  <c r="S9" i="1"/>
  <c r="M21" i="6"/>
  <c r="I21" i="6" s="1"/>
  <c r="S21" i="6" s="1"/>
  <c r="S8" i="1"/>
  <c r="M20" i="6"/>
  <c r="I20" i="6" s="1"/>
  <c r="K16" i="1"/>
  <c r="M19" i="6"/>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41" i="79"/>
  <c r="C24" i="78" l="1"/>
  <c r="C29" i="78" s="1"/>
  <c r="J29" i="79"/>
  <c r="F69" i="79"/>
  <c r="C29" i="80"/>
  <c r="C57" i="80" s="1"/>
  <c r="C24" i="79"/>
  <c r="C23" i="79"/>
  <c r="T8" i="1"/>
  <c r="AQ8" i="1"/>
  <c r="AR8" i="1"/>
  <c r="AR9" i="1"/>
  <c r="T9" i="1"/>
  <c r="AQ9" i="1"/>
  <c r="AQ11" i="1"/>
  <c r="T11" i="1"/>
  <c r="AR11" i="1"/>
  <c r="AQ10" i="1"/>
  <c r="AR10" i="1"/>
  <c r="T10"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J14" i="80" l="1"/>
  <c r="J22" i="80" s="1"/>
  <c r="Q49" i="80"/>
  <c r="C36" i="80"/>
  <c r="C33" i="80"/>
  <c r="C13" i="80"/>
  <c r="Q70" i="80" s="1"/>
  <c r="J19" i="80"/>
  <c r="C64" i="80"/>
  <c r="C61" i="80"/>
  <c r="C29" i="79"/>
  <c r="C57" i="78"/>
  <c r="C36" i="78"/>
  <c r="J19" i="78"/>
  <c r="J14" i="78"/>
  <c r="C13" i="78"/>
  <c r="Q49" i="78"/>
  <c r="C33" i="78"/>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M21" i="78"/>
  <c r="M21" i="79"/>
  <c r="F35" i="78"/>
  <c r="M21" i="80"/>
  <c r="F35" i="79"/>
  <c r="E6" i="76"/>
  <c r="F35" i="80"/>
  <c r="J13" i="80" l="1"/>
  <c r="J23" i="80" s="1"/>
  <c r="C75" i="80"/>
  <c r="C37" i="80"/>
  <c r="C56" i="80"/>
  <c r="C65" i="80" s="1"/>
  <c r="J20" i="80"/>
  <c r="J17" i="80" s="1"/>
  <c r="J16" i="80" s="1"/>
  <c r="J25" i="80" s="1"/>
  <c r="F63" i="80"/>
  <c r="C62" i="80" s="1"/>
  <c r="C59" i="80" s="1"/>
  <c r="C34" i="80"/>
  <c r="C31" i="80" s="1"/>
  <c r="C30" i="80" s="1"/>
  <c r="C39" i="80" s="1"/>
  <c r="J20" i="79"/>
  <c r="F63" i="79"/>
  <c r="C62" i="79" s="1"/>
  <c r="C34" i="79"/>
  <c r="C57" i="79"/>
  <c r="C36" i="79"/>
  <c r="J19" i="79"/>
  <c r="J14" i="79"/>
  <c r="C13" i="79"/>
  <c r="Q49" i="79"/>
  <c r="C33" i="79"/>
  <c r="J20" i="78"/>
  <c r="J17" i="78" s="1"/>
  <c r="F63" i="78"/>
  <c r="C62" i="78" s="1"/>
  <c r="C34" i="78"/>
  <c r="C31" i="78" s="1"/>
  <c r="C75" i="78"/>
  <c r="Q70" i="78"/>
  <c r="C37" i="78"/>
  <c r="C56" i="78"/>
  <c r="C65" i="78" s="1"/>
  <c r="J13" i="78"/>
  <c r="J23" i="78" s="1"/>
  <c r="J22" i="78"/>
  <c r="C64" i="78"/>
  <c r="C61" i="78"/>
  <c r="R50" i="34"/>
  <c r="C50" i="34" s="1"/>
  <c r="C18" i="12"/>
  <c r="C8" i="68"/>
  <c r="C35"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6" i="12" s="1"/>
  <c r="D6" i="12" s="1"/>
  <c r="D8" i="12" s="1"/>
  <c r="H63" i="40"/>
  <c r="G65" i="40"/>
  <c r="H70" i="39"/>
  <c r="C33" i="11"/>
  <c r="C42" i="11" s="1"/>
  <c r="B6" i="76"/>
  <c r="F35" i="67"/>
  <c r="M21" i="15"/>
  <c r="F35" i="15"/>
  <c r="M21" i="67"/>
  <c r="C58" i="80" l="1"/>
  <c r="C67" i="80" s="1"/>
  <c r="C68" i="80" s="1"/>
  <c r="C71" i="80" s="1"/>
  <c r="C80" i="80"/>
  <c r="C79" i="80" s="1"/>
  <c r="Q69" i="80"/>
  <c r="Q68" i="80" s="1"/>
  <c r="C40" i="80"/>
  <c r="J13" i="79"/>
  <c r="J23" i="79" s="1"/>
  <c r="J22" i="79"/>
  <c r="C31" i="79"/>
  <c r="C75" i="79"/>
  <c r="Q70" i="79"/>
  <c r="C37" i="79"/>
  <c r="C56" i="79"/>
  <c r="C65" i="79" s="1"/>
  <c r="J17" i="79"/>
  <c r="C64" i="79"/>
  <c r="C61" i="79"/>
  <c r="C59" i="79" s="1"/>
  <c r="C59" i="78"/>
  <c r="C58" i="78" s="1"/>
  <c r="C67" i="78" s="1"/>
  <c r="J16" i="78"/>
  <c r="J25" i="78" s="1"/>
  <c r="C30" i="78"/>
  <c r="C39" i="78" s="1"/>
  <c r="C80" i="78" s="1"/>
  <c r="C79" i="78" s="1"/>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L51" i="80"/>
  <c r="C46" i="80" l="1"/>
  <c r="Q67" i="80"/>
  <c r="Q47" i="80"/>
  <c r="Q53" i="80" s="1"/>
  <c r="B2" i="80"/>
  <c r="H8" i="12" s="1"/>
  <c r="Q65" i="80"/>
  <c r="Q75" i="80" s="1"/>
  <c r="Q56" i="80"/>
  <c r="Q62" i="80" s="1"/>
  <c r="C43" i="80"/>
  <c r="C83" i="80"/>
  <c r="C82" i="80" s="1"/>
  <c r="C58" i="79"/>
  <c r="C67" i="79" s="1"/>
  <c r="C68" i="79" s="1"/>
  <c r="C71" i="79" s="1"/>
  <c r="J16" i="79"/>
  <c r="J25" i="79" s="1"/>
  <c r="C30" i="79"/>
  <c r="C39" i="79" s="1"/>
  <c r="Q69" i="78"/>
  <c r="Q68" i="78" s="1"/>
  <c r="C39" i="68"/>
  <c r="C43" i="68" s="1"/>
  <c r="C42" i="68"/>
  <c r="J63" i="40"/>
  <c r="I65" i="40"/>
  <c r="C46" i="11"/>
  <c r="C45" i="11" s="1"/>
  <c r="C49" i="11" s="1"/>
  <c r="C51" i="11" s="1"/>
  <c r="C52" i="11" s="1"/>
  <c r="B2" i="11" s="1"/>
  <c r="B3" i="11" s="1"/>
  <c r="J70" i="39"/>
  <c r="AO11" i="1"/>
  <c r="L51" i="78"/>
  <c r="B11" i="70" l="1"/>
  <c r="B3" i="80"/>
  <c r="H6" i="12" s="1"/>
  <c r="Q69" i="79"/>
  <c r="Q68" i="79" s="1"/>
  <c r="C40" i="79"/>
  <c r="C80" i="79"/>
  <c r="C79" i="79" s="1"/>
  <c r="Q67" i="78"/>
  <c r="C41" i="68"/>
  <c r="C46" i="68"/>
  <c r="C45" i="68" s="1"/>
  <c r="K63" i="40"/>
  <c r="J65" i="40"/>
  <c r="K70" i="39"/>
  <c r="C56" i="11"/>
  <c r="C57" i="11" s="1"/>
  <c r="L51" i="79"/>
  <c r="Q67" i="79" l="1"/>
  <c r="Q47" i="79"/>
  <c r="Q53" i="79" s="1"/>
  <c r="B2" i="79"/>
  <c r="G8" i="12" s="1"/>
  <c r="Q65" i="79"/>
  <c r="Q75" i="79" s="1"/>
  <c r="Q56" i="79"/>
  <c r="Q62" i="79" s="1"/>
  <c r="C43" i="79"/>
  <c r="C83" i="79"/>
  <c r="C82" i="79" s="1"/>
  <c r="C46" i="79"/>
  <c r="C49" i="68"/>
  <c r="C51" i="68" s="1"/>
  <c r="L63" i="40"/>
  <c r="K65" i="40"/>
  <c r="L70" i="39"/>
  <c r="E2" i="70"/>
  <c r="C34" i="69"/>
  <c r="AO10" i="1"/>
  <c r="C17" i="67"/>
  <c r="B10" i="70" l="1"/>
  <c r="B3" i="79"/>
  <c r="U28" i="1" s="1"/>
  <c r="M63" i="40"/>
  <c r="L65" i="40"/>
  <c r="M70" i="39"/>
  <c r="C35" i="69"/>
  <c r="C38" i="69"/>
  <c r="D10" i="69"/>
  <c r="D30" i="77" l="1"/>
  <c r="G6" i="1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67"/>
  <c r="F41" i="78"/>
  <c r="L51" i="15"/>
  <c r="M27" i="15"/>
  <c r="F41" i="67"/>
  <c r="F41" i="15"/>
  <c r="Q67" i="15" l="1"/>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Q47" i="78" l="1"/>
  <c r="Q53" i="78" s="1"/>
  <c r="Q65" i="78"/>
  <c r="Q75" i="78" s="1"/>
  <c r="C83" i="78"/>
  <c r="C82" i="78" s="1"/>
  <c r="B2" i="78"/>
  <c r="B3" i="78" s="1"/>
  <c r="F6" i="12" s="1"/>
  <c r="C46" i="78"/>
  <c r="Q56" i="78"/>
  <c r="Q62" i="78" s="1"/>
  <c r="C43" i="78"/>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AO7" i="1"/>
  <c r="AO8" i="1"/>
  <c r="AO6" i="1"/>
  <c r="E2" i="69"/>
  <c r="B9" i="70" l="1"/>
  <c r="F8" i="12"/>
  <c r="B3" i="15"/>
  <c r="E6" i="12" s="1"/>
  <c r="E8" i="12"/>
  <c r="B8" i="70"/>
  <c r="B7" i="70"/>
  <c r="B6" i="70"/>
  <c r="C46" i="15"/>
  <c r="B2" i="69"/>
  <c r="B3" i="69" s="1"/>
  <c r="B3" i="67"/>
  <c r="D2" i="35"/>
  <c r="D2" i="37"/>
  <c r="D2" i="33"/>
  <c r="F20" i="31"/>
  <c r="E2" i="68"/>
  <c r="D2" i="36"/>
  <c r="D2" i="21"/>
  <c r="D2" i="34"/>
  <c r="B20" i="31" l="1"/>
  <c r="B2" i="36"/>
  <c r="B3" i="36" s="1"/>
  <c r="B2" i="35"/>
  <c r="B3" i="35" s="1"/>
  <c r="B2" i="37"/>
  <c r="B3" i="37" s="1"/>
  <c r="B2" i="34"/>
  <c r="B2" i="21"/>
  <c r="B3" i="21" s="1"/>
  <c r="B2" i="70"/>
  <c r="B3" i="70" s="1"/>
  <c r="B3" i="34" l="1"/>
  <c r="C8" i="12"/>
  <c r="C4" i="12" s="1"/>
  <c r="C23" i="12" l="1"/>
  <c r="C31" i="12"/>
  <c r="C27" i="12" l="1"/>
  <c r="C25" i="12" s="1"/>
  <c r="C30" i="12"/>
  <c r="C28" i="12" s="1"/>
  <c r="H109" i="9"/>
  <c r="C32" i="12" l="1"/>
  <c r="B2" i="12" s="1"/>
  <c r="B3" i="12" s="1"/>
  <c r="H110" i="9"/>
  <c r="D18" i="53" s="1"/>
  <c r="B35" i="72" s="1"/>
  <c r="D124" i="9"/>
  <c r="D16" i="53"/>
  <c r="B34" i="72" s="1"/>
  <c r="D19" i="9"/>
  <c r="D20" i="9"/>
  <c r="D21" i="9" l="1"/>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C57" i="68" s="1"/>
  <c r="C56" i="68" s="1"/>
  <c r="D8" i="74"/>
  <c r="C8" i="74"/>
  <c r="B2" i="68" l="1"/>
  <c r="C19" i="9"/>
  <c r="C102" i="9" l="1"/>
  <c r="C21" i="9"/>
  <c r="D22" i="9"/>
  <c r="G19" i="9"/>
  <c r="G21" i="9" s="1"/>
  <c r="B3" i="68"/>
  <c r="C20" i="9"/>
  <c r="D35" i="9"/>
  <c r="D34" i="9"/>
  <c r="C32" i="9" l="1"/>
  <c r="C35" i="9" s="1"/>
  <c r="F118" i="9" s="1"/>
  <c r="C103" i="9"/>
  <c r="G20" i="9"/>
  <c r="H118" i="9" l="1"/>
  <c r="C104" i="9" s="1"/>
  <c r="C34" i="9"/>
  <c r="D118" i="9" s="1"/>
  <c r="D119" i="9" s="1"/>
  <c r="D5" i="52" s="1"/>
  <c r="B49" i="72" s="1"/>
  <c r="G118" i="9"/>
  <c r="G4" i="52" s="1"/>
  <c r="B52" i="72" s="1"/>
  <c r="F119" i="9"/>
  <c r="F5" i="52" s="1"/>
  <c r="B53" i="72" s="1"/>
  <c r="F4" i="52"/>
  <c r="B51" i="72" s="1"/>
  <c r="I118" i="9" l="1"/>
  <c r="E118" i="9" s="1"/>
  <c r="E4" i="52" s="1"/>
  <c r="B48" i="72" s="1"/>
  <c r="D14" i="74"/>
  <c r="F14" i="74" s="1"/>
  <c r="H101" i="9"/>
  <c r="D45" i="9" s="1"/>
  <c r="H119" i="9"/>
  <c r="H5" i="52" s="1"/>
  <c r="H4" i="52"/>
  <c r="D4" i="52"/>
  <c r="B47" i="72" s="1"/>
  <c r="E14" i="74"/>
  <c r="M48" i="9"/>
  <c r="D5" i="53" l="1"/>
  <c r="D6" i="53" s="1"/>
  <c r="B22" i="72" s="1"/>
  <c r="H107" i="9"/>
  <c r="D122" i="9" s="1"/>
  <c r="H102" i="9"/>
  <c r="D7" i="53" s="1"/>
  <c r="B21" i="72" s="1"/>
  <c r="I4" i="52"/>
  <c r="C105" i="9"/>
  <c r="M49" i="9"/>
  <c r="D53" i="9"/>
  <c r="C85" i="9"/>
  <c r="C72" i="9"/>
  <c r="D55" i="9"/>
  <c r="M53" i="9" s="1"/>
  <c r="C93" i="9"/>
  <c r="C86" i="9" s="1"/>
  <c r="D52" i="9"/>
  <c r="C78" i="9"/>
  <c r="C73" i="9" s="1"/>
  <c r="C64" i="9"/>
  <c r="C63" i="9" s="1"/>
  <c r="C67" i="9" s="1"/>
  <c r="C68" i="9" s="1"/>
  <c r="D54" i="9" s="1"/>
  <c r="B20" i="72"/>
  <c r="AD3" i="71"/>
  <c r="P21" i="43" s="1"/>
  <c r="H108" i="9" l="1"/>
  <c r="D15" i="53" s="1"/>
  <c r="B31" i="72" s="1"/>
  <c r="D13" i="53"/>
  <c r="D14" i="53" s="1"/>
  <c r="B32" i="72" s="1"/>
  <c r="C79" i="9"/>
  <c r="C95" i="9"/>
  <c r="D123" i="9"/>
  <c r="D9" i="52" s="1"/>
  <c r="D8" i="52"/>
  <c r="G14" i="74"/>
  <c r="L67" i="9"/>
  <c r="M67" i="9" s="1"/>
  <c r="L68" i="9"/>
  <c r="M68" i="9" s="1"/>
  <c r="L66" i="9"/>
  <c r="M66" i="9" s="1"/>
  <c r="L65" i="9"/>
  <c r="M65" i="9" s="1"/>
  <c r="L63" i="9"/>
  <c r="M63" i="9" s="1"/>
  <c r="L64" i="9"/>
  <c r="M64" i="9" s="1"/>
  <c r="P22" i="43"/>
  <c r="P23" i="43"/>
  <c r="B71" i="39" s="1"/>
  <c r="P24" i="43"/>
  <c r="B66" i="40" s="1"/>
  <c r="P25" i="43"/>
  <c r="B30" i="72" l="1"/>
  <c r="C96" i="9"/>
  <c r="E96" i="9" s="1"/>
  <c r="E97" i="9" s="1"/>
  <c r="C80" i="9"/>
  <c r="E80" i="9" s="1"/>
  <c r="E81" i="9" s="1"/>
  <c r="M69" i="9"/>
  <c r="N69" i="9" s="1"/>
  <c r="G15" i="74"/>
  <c r="C97" i="9" l="1"/>
  <c r="D58" i="9" s="1"/>
  <c r="D56" i="9" s="1"/>
  <c r="M54" i="9" s="1"/>
  <c r="N57" i="9" s="1"/>
  <c r="N59" i="9" s="1"/>
  <c r="C81" i="9"/>
  <c r="E15" i="74"/>
  <c r="F15" i="74"/>
  <c r="N58" i="9" l="1"/>
  <c r="P57" i="9"/>
  <c r="N60" i="9"/>
  <c r="N61" i="9"/>
  <c r="D17" i="74"/>
  <c r="G17" i="74" s="1"/>
  <c r="B6" i="74" s="1"/>
  <c r="D6" i="74" l="1"/>
  <c r="C6" i="74"/>
  <c r="E17" i="74"/>
  <c r="F17"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<sst xmlns="http://schemas.openxmlformats.org/spreadsheetml/2006/main" count="8906" uniqueCount="3282">
  <si>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</si>
  <si>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</si>
  <si>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</si>
  <si>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</si>
  <si>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</si>
  <si>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</si>
  <si>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</si>
  <si>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</si>
  <si>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</si>
  <si>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</si>
  <si>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</si>
  <si>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</si>
  <si>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</si>
  <si>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</si>
  <si>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</si>
  <si>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</si>
  <si>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</si>
  <si>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</si>
  <si>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</si>
  <si>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</si>
  <si>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</si>
  <si>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</si>
  <si>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</si>
  <si>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</si>
  <si>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</si>
  <si>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</si>
  <si>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</si>
  <si>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</si>
  <si>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</si>
  <si>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</si>
  <si>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</si>
  <si>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</si>
  <si>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</si>
  <si>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</si>
  <si>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</si>
  <si>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</si>
  <si>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</si>
  <si>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</si>
  <si>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</si>
  <si>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</si>
  <si>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</si>
  <si>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</si>
  <si>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</si>
  <si>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</si>
  <si>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</si>
  <si>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</si>
  <si>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</si>
  <si>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</si>
  <si>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</si>
  <si>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</si>
  <si>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</si>
  <si>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</si>
  <si>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</si>
  <si>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</si>
  <si>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</si>
  <si>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</si>
  <si>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</si>
  <si>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</si>
  <si>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</si>
  <si>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</si>
  <si>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</si>
  <si>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</si>
  <si>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</si>
  <si>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</si>
  <si>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</si>
  <si>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</si>
  <si>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</si>
  <si>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</si>
  <si>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</si>
  <si>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</si>
  <si>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</si>
  <si>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</si>
  <si>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</si>
  <si>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</si>
  <si>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</si>
  <si>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</si>
  <si>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</si>
  <si>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</si>
  <si>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</si>
  <si>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</si>
  <si>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</si>
  <si>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</si>
  <si>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</si>
  <si>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</si>
  <si>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</si>
  <si>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</si>
  <si>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</si>
  <si>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</si>
  <si>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</si>
  <si>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</si>
  <si>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</si>
  <si>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</si>
  <si>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</si>
  <si>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</si>
  <si>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</si>
  <si>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</si>
  <si>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</si>
  <si>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</si>
  <si>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</si>
  <si>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</si>
  <si>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</si>
  <si>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</si>
  <si>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</si>
  <si>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</si>
  <si>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</si>
  <si>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</si>
  <si>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</si>
  <si>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</si>
  <si>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</si>
  <si>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</si>
  <si>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</si>
  <si>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</si>
  <si>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</si>
  <si>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</si>
  <si>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</si>
  <si>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</si>
  <si>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</si>
  <si>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</si>
  <si>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</si>
  <si>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</si>
  <si>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</si>
  <si>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</si>
  <si>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</si>
  <si>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</si>
  <si>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</si>
  <si>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</si>
  <si>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</si>
  <si>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</si>
  <si>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</si>
  <si>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</si>
  <si>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</si>
  <si>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</si>
  <si>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</si>
  <si>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</si>
  <si>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</si>
  <si>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</si>
  <si>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</si>
  <si>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</si>
  <si>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</si>
  <si>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</si>
  <si>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</si>
  <si>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</si>
  <si>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</si>
  <si>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</si>
  <si>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</si>
  <si>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</si>
  <si>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</si>
  <si>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</si>
  <si>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</si>
  <si>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</si>
  <si>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</si>
  <si>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</si>
  <si>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</si>
  <si>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</si>
  <si>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</si>
  <si>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</si>
  <si>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</si>
  <si>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</si>
  <si>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</si>
  <si>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</si>
  <si>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</si>
  <si>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</si>
  <si>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</si>
  <si>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</si>
  <si>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</si>
  <si>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</si>
  <si>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</si>
  <si>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</si>
  <si>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</si>
  <si>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</si>
  <si>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</si>
  <si>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</si>
  <si>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</si>
  <si>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</si>
  <si>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</si>
  <si>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</si>
  <si>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</si>
  <si>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</si>
  <si>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</si>
  <si>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</si>
  <si>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</si>
  <si>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</si>
  <si>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</si>
  <si>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</si>
  <si>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</si>
  <si>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</si>
  <si>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</si>
  <si>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</si>
  <si>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</si>
  <si>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</si>
  <si>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</si>
  <si>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</si>
  <si>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</si>
  <si>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</si>
  <si>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</si>
  <si>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</si>
  <si>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</si>
  <si>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</si>
  <si>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</si>
  <si>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</si>
  <si>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</si>
  <si>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</si>
  <si>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</si>
  <si>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</si>
  <si>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</si>
  <si>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</si>
  <si>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</si>
  <si>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</si>
  <si>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</si>
  <si>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</si>
  <si>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</si>
  <si>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</si>
  <si>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</si>
  <si>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</si>
  <si>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</si>
  <si>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</si>
  <si>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</si>
  <si>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</si>
  <si>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</si>
  <si>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</si>
  <si>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</si>
  <si>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</si>
  <si>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</si>
  <si>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</si>
  <si>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</si>
  <si>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</si>
  <si>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</si>
  <si>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</si>
  <si>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</si>
  <si>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</si>
  <si>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</si>
  <si>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</si>
  <si>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</si>
  <si>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</si>
  <si>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</si>
  <si>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</si>
  <si>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</si>
  <si>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</si>
  <si>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</si>
  <si>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</si>
  <si>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</si>
  <si>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</si>
  <si>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</si>
  <si>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</si>
  <si>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</si>
  <si>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</si>
  <si>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</si>
  <si>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</si>
  <si>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</si>
  <si>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</si>
  <si>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</si>
  <si>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</si>
  <si>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</si>
  <si>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</si>
  <si>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</si>
  <si>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</si>
  <si>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</si>
  <si>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</si>
  <si>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</si>
  <si>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</si>
  <si>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</si>
  <si>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</si>
  <si>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</si>
  <si>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</si>
  <si>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</si>
  <si>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</si>
  <si>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</si>
  <si>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</si>
  <si>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</si>
  <si>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</si>
  <si>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</si>
  <si>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</si>
  <si>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</si>
  <si>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</si>
  <si>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</si>
  <si>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</si>
  <si>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</si>
  <si>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</si>
  <si>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</si>
  <si>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</si>
  <si>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</si>
  <si>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</si>
  <si>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</si>
  <si>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</si>
  <si>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</si>
  <si>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</si>
  <si>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</si>
  <si>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</si>
  <si>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</si>
  <si>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</si>
  <si>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</si>
  <si>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</si>
  <si>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</si>
  <si>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</si>
  <si>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</si>
  <si>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</si>
  <si>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</si>
  <si>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</si>
  <si>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</si>
  <si>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</si>
  <si>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</si>
  <si>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</si>
  <si>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</si>
  <si>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</si>
  <si>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</si>
  <si>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</si>
  <si>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</si>
  <si>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</si>
  <si>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</si>
  <si>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</si>
  <si>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</si>
  <si>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</si>
  <si>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</si>
  <si>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</si>
  <si>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</si>
  <si>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</si>
  <si>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</si>
  <si>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</si>
  <si>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</si>
  <si>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</si>
  <si>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</si>
  <si>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</si>
  <si>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</si>
  <si>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</si>
  <si>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</si>
  <si>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</si>
  <si>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</si>
  <si>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</si>
  <si>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</si>
  <si>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</si>
  <si>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</si>
  <si>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</si>
  <si>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</si>
  <si>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</si>
  <si>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</si>
  <si>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</si>
  <si>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</si>
  <si>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</si>
  <si>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</si>
  <si>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</si>
  <si>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</si>
  <si>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</si>
  <si>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</si>
  <si>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</si>
  <si>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</si>
  <si>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</si>
  <si>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</si>
  <si>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</si>
  <si>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</si>
  <si>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</si>
  <si>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</si>
  <si>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</si>
  <si>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</si>
  <si>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</si>
  <si>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</si>
  <si>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</si>
  <si>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</si>
  <si>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</si>
  <si>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</si>
  <si>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</si>
  <si>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</si>
  <si>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</si>
  <si>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</si>
  <si>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</si>
  <si>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</si>
  <si>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</si>
  <si>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</si>
  <si>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</si>
  <si>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</si>
  <si>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</si>
  <si>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</si>
  <si>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</si>
  <si>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</si>
  <si>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</si>
  <si>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</si>
  <si>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</si>
  <si>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</si>
  <si>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</si>
  <si>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</si>
  <si>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</si>
  <si>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</si>
  <si>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</si>
  <si>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</si>
  <si>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</si>
  <si>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</si>
  <si>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</si>
  <si>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</si>
  <si>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</si>
  <si>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</si>
  <si>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</si>
  <si>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</si>
  <si>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</si>
  <si>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</si>
  <si>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</si>
  <si>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</si>
  <si>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</si>
  <si>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</si>
  <si>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</si>
  <si>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</si>
  <si>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</si>
  <si>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</si>
  <si>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</si>
  <si>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</si>
  <si>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</si>
  <si>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</si>
  <si>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</si>
  <si>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</si>
  <si>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</si>
  <si>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</si>
  <si>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</si>
  <si>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</si>
  <si>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</si>
  <si>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</si>
  <si>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</si>
  <si>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</si>
  <si>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</si>
  <si>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</si>
  <si>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</si>
  <si>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</si>
  <si>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</si>
  <si>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</si>
  <si>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</si>
  <si>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</si>
  <si>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</si>
  <si>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</si>
  <si>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</si>
  <si>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</si>
  <si>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</si>
  <si>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</si>
  <si>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</si>
  <si>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</si>
  <si>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</si>
  <si>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</si>
  <si>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</si>
  <si>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</si>
  <si>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</si>
  <si>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</si>
  <si>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</si>
  <si>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</si>
  <si>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</si>
  <si>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</si>
  <si>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</si>
  <si>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</si>
  <si>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</si>
  <si>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</si>
  <si>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</si>
  <si>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</si>
  <si>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</si>
  <si>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</si>
  <si>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</si>
  <si>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</si>
  <si>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</si>
  <si>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</si>
  <si>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</si>
  <si>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</si>
  <si>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</si>
  <si>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</si>
  <si>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</si>
  <si>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</si>
  <si>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</si>
  <si>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</si>
  <si>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</si>
  <si>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</si>
  <si>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</si>
  <si>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</si>
  <si>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</si>
  <si>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</si>
  <si>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</si>
  <si>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</si>
  <si>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</si>
  <si>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</si>
  <si>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</si>
  <si>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</si>
  <si>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</si>
  <si>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</si>
  <si>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</si>
  <si>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</si>
  <si>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</si>
  <si>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</si>
  <si>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</si>
  <si>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</si>
  <si>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</si>
  <si>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</si>
  <si>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</si>
  <si>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</si>
  <si>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</si>
  <si>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</si>
  <si>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</si>
  <si>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</si>
  <si>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</si>
  <si>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</si>
  <si>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</si>
  <si>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</si>
  <si>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</si>
  <si>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</si>
  <si>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</si>
  <si>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</si>
  <si>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</si>
  <si>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</si>
  <si>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</si>
  <si>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</si>
  <si>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</si>
  <si>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</si>
  <si>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</si>
  <si>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</si>
  <si>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</si>
  <si>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</si>
  <si>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</si>
  <si>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</si>
  <si>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</si>
  <si>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</si>
  <si>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</si>
  <si>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</si>
  <si>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</si>
  <si>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</si>
  <si>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</si>
  <si>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</si>
  <si>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</si>
  <si>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</si>
  <si>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</si>
  <si>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</si>
  <si>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</si>
  <si>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</si>
  <si>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</si>
  <si>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</si>
  <si>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</si>
  <si>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</si>
  <si>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</si>
  <si>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</si>
  <si>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</si>
  <si>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</si>
  <si>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</si>
  <si>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</si>
  <si>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</si>
  <si>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</si>
  <si>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</si>
  <si>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</si>
  <si>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</si>
  <si>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</si>
  <si>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</si>
  <si>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</si>
  <si>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</si>
  <si>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</si>
  <si>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</si>
  <si>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</si>
  <si>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</si>
  <si>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</si>
  <si>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</si>
  <si>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</si>
  <si>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</si>
  <si>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</si>
  <si>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</si>
  <si>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</si>
  <si>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</si>
  <si>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</si>
  <si>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</si>
  <si>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</si>
  <si>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</si>
  <si>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</si>
  <si>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</si>
  <si>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</si>
  <si>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</si>
  <si>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</si>
  <si>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</si>
  <si>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</si>
  <si>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</si>
  <si>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</si>
  <si>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</si>
  <si>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</si>
  <si>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</si>
  <si>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</si>
  <si>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</si>
  <si>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</si>
  <si>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</si>
  <si>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</si>
  <si>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</si>
  <si>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</si>
  <si>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</si>
  <si>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</si>
  <si>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</si>
  <si>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</si>
  <si>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</si>
  <si>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</si>
  <si>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</si>
  <si>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</si>
  <si>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</si>
  <si>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</si>
  <si>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</si>
  <si>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</si>
  <si>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</si>
  <si>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</si>
  <si>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</si>
  <si>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</si>
  <si>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</si>
  <si>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</si>
  <si>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</si>
  <si>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</si>
  <si>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</si>
  <si>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</si>
  <si>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</si>
  <si>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</si>
  <si>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</si>
  <si>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</si>
  <si>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</si>
  <si>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</si>
  <si>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</si>
  <si>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</si>
  <si>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</si>
  <si>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</si>
  <si>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</si>
  <si>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</si>
  <si>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</si>
  <si>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</si>
  <si>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</si>
  <si>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</si>
  <si>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</si>
  <si>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</si>
  <si>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</si>
  <si>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</si>
  <si>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</si>
  <si>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</si>
  <si>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</si>
  <si>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</si>
  <si>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</si>
  <si>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</si>
  <si>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</si>
  <si>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</si>
  <si>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</si>
  <si>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</si>
  <si>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</si>
  <si>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</si>
  <si>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</si>
  <si>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</si>
  <si>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</si>
  <si>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</si>
  <si>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</si>
  <si>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</si>
  <si>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</si>
  <si>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</si>
  <si>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</si>
  <si>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</si>
  <si>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</si>
  <si>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</si>
  <si>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</si>
  <si>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</si>
  <si>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</si>
  <si>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</si>
  <si>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</si>
  <si>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</si>
  <si>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</si>
  <si>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</si>
  <si>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</si>
  <si>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</si>
  <si>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</si>
  <si>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</si>
  <si>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</si>
  <si>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</si>
  <si>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</si>
  <si>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</si>
  <si>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</si>
  <si>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</si>
  <si>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</si>
  <si>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</si>
  <si>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</si>
  <si>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</si>
  <si>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</si>
  <si>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</si>
  <si>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</si>
  <si>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</si>
  <si>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</si>
  <si>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</si>
  <si>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</si>
  <si>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</si>
  <si>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</si>
  <si>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</si>
  <si>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</si>
  <si>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</si>
  <si>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</si>
  <si>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</si>
  <si>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</si>
  <si>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</si>
  <si>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</si>
  <si>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</si>
  <si>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</si>
  <si>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</si>
  <si>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</si>
  <si>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</si>
  <si>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</si>
  <si>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</si>
  <si>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</si>
  <si>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</si>
  <si>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</si>
  <si>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</si>
  <si>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</si>
  <si>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</si>
  <si>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</si>
  <si>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</si>
  <si>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</si>
  <si>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</si>
  <si>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</si>
  <si>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</si>
  <si>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</si>
  <si>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</si>
  <si>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</si>
  <si>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</si>
  <si>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</si>
  <si>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</si>
  <si>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</si>
  <si>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</si>
  <si>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</si>
  <si>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</si>
  <si>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</si>
  <si>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</si>
  <si>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</si>
  <si>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</si>
  <si>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</si>
  <si>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</si>
  <si>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</si>
  <si>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</si>
  <si>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</si>
  <si>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</si>
  <si>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</si>
  <si>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</si>
  <si>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</si>
  <si>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</si>
  <si>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</si>
  <si>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</si>
  <si>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</si>
  <si>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</si>
  <si>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</si>
  <si>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</si>
  <si>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</si>
  <si>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</si>
  <si>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</si>
  <si>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</si>
  <si>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</si>
  <si>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</si>
  <si>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</si>
  <si>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</si>
  <si>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</si>
  <si>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</si>
  <si>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</si>
  <si>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</si>
  <si>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</si>
  <si>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</si>
  <si>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</si>
  <si>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</si>
  <si>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</si>
  <si>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</si>
  <si>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</si>
  <si>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</si>
  <si>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</si>
  <si>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</si>
  <si>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</si>
  <si>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</si>
  <si>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</si>
  <si>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</si>
  <si>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</si>
  <si>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</si>
  <si>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</si>
  <si>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</si>
  <si>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</si>
  <si>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</si>
  <si>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</si>
  <si>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</si>
  <si>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</si>
  <si>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</si>
  <si>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</si>
  <si>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</si>
  <si>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</si>
  <si>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</si>
  <si>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</si>
  <si>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</si>
  <si>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</si>
  <si>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</si>
  <si>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</si>
  <si>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</si>
  <si>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</si>
  <si>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</si>
  <si>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</si>
  <si>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</si>
  <si>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</si>
  <si>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</si>
  <si>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</si>
  <si>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</si>
  <si>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</si>
  <si>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</si>
  <si>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</si>
  <si>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</si>
  <si>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</si>
  <si>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</si>
  <si>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</si>
  <si>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</si>
  <si>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</si>
  <si>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</si>
  <si>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</si>
  <si>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</si>
  <si>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</si>
  <si>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</si>
  <si>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</si>
  <si>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</si>
  <si>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</si>
  <si>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</si>
  <si>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</si>
  <si>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</si>
  <si>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</si>
  <si>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</si>
  <si>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</si>
  <si>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</si>
  <si>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</si>
  <si>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</si>
  <si>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</si>
  <si>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</si>
  <si>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</si>
  <si>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</si>
  <si>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</si>
  <si>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</si>
  <si>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</si>
  <si>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</si>
  <si>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</si>
  <si>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</si>
  <si>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</si>
  <si>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</si>
  <si>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</si>
  <si>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</si>
  <si>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</si>
  <si>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</si>
  <si>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</si>
  <si>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</si>
  <si>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</si>
  <si>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</si>
  <si>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</si>
  <si>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</si>
  <si>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</si>
  <si>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</si>
  <si>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</si>
  <si>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</si>
  <si>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</si>
  <si>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</si>
  <si>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</si>
  <si>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</si>
  <si>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</si>
  <si>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</si>
  <si>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</si>
  <si>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</si>
  <si>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</si>
  <si>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</si>
  <si>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</si>
  <si>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</si>
  <si>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</si>
  <si>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</si>
  <si>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</si>
  <si>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</si>
  <si>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</si>
  <si>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</si>
  <si>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</si>
  <si>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</si>
  <si>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</si>
  <si>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</si>
  <si>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</si>
  <si>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</si>
  <si>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</si>
  <si>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</si>
  <si>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</si>
  <si>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</si>
  <si>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</si>
  <si>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</si>
  <si>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</si>
  <si>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</si>
  <si>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</si>
  <si>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</si>
  <si>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</si>
  <si>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</si>
  <si>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</si>
  <si>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</si>
  <si>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</si>
  <si>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</si>
  <si>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</si>
  <si>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</si>
  <si>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</si>
  <si>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</si>
  <si>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</si>
  <si>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</si>
  <si>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</si>
  <si>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</si>
  <si>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</si>
  <si>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</si>
  <si>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</si>
  <si>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</si>
  <si>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</si>
  <si>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</si>
  <si>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</si>
  <si>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</si>
  <si>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</si>
  <si>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</si>
  <si>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</si>
  <si>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</si>
  <si>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</si>
  <si>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</si>
  <si>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</si>
  <si>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</si>
  <si>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</si>
  <si>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</si>
  <si>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</si>
  <si>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</si>
  <si>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</si>
  <si>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</si>
  <si>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</si>
  <si>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</si>
  <si>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</si>
  <si>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</si>
  <si>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</si>
  <si>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</si>
  <si>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</si>
  <si>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</si>
  <si>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</si>
  <si>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</si>
  <si>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</si>
  <si>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</si>
  <si>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</si>
  <si>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</si>
  <si>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</si>
  <si>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</si>
  <si>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</si>
  <si>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</si>
  <si>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</si>
  <si>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</si>
  <si>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</si>
  <si>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</si>
  <si>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</si>
  <si>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</si>
  <si>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</si>
  <si>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</si>
  <si>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</si>
  <si>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</si>
  <si>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</si>
  <si>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</si>
  <si>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</si>
  <si>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</si>
  <si>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</si>
  <si>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</si>
  <si>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</si>
  <si>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</si>
  <si>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</si>
  <si>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</si>
  <si>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</si>
  <si>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</si>
  <si>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</si>
  <si>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</si>
  <si>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</si>
  <si>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</si>
  <si>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</si>
  <si>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</si>
  <si>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</si>
  <si>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</si>
  <si>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</si>
  <si>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</si>
  <si>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</si>
  <si>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</si>
  <si>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</si>
  <si>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</si>
  <si>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</si>
  <si>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</si>
  <si>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</si>
  <si>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</si>
  <si>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</si>
  <si>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</si>
  <si>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</si>
  <si>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</si>
  <si>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</si>
  <si>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</si>
  <si>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</si>
  <si>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</si>
  <si>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</si>
  <si>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</si>
  <si>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</si>
  <si>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</si>
  <si>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</si>
  <si>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</si>
  <si>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</si>
  <si>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</si>
  <si>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</si>
  <si>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</si>
  <si>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</si>
  <si>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</si>
  <si>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</si>
  <si>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</si>
  <si>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</si>
  <si>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</si>
  <si>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</si>
  <si>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</si>
  <si>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</si>
  <si>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</si>
  <si>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</si>
  <si>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</si>
  <si>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</si>
  <si>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</si>
  <si>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</si>
  <si>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</si>
  <si>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</si>
  <si>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</si>
  <si>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</si>
  <si>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</si>
  <si>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</si>
  <si>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</si>
  <si>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</si>
  <si>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</si>
  <si>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</si>
  <si>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</si>
  <si>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</si>
  <si>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</si>
  <si>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</si>
  <si>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</si>
  <si>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</si>
  <si>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</si>
  <si>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</si>
  <si>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</si>
  <si>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</si>
  <si>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</si>
  <si>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</si>
  <si>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</si>
  <si>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</si>
  <si>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</si>
  <si>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</si>
  <si>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</si>
  <si>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</si>
  <si>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</si>
  <si>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</si>
  <si>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</si>
  <si>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</si>
  <si>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</si>
  <si>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</si>
  <si>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</si>
  <si>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</si>
  <si>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</si>
  <si>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</si>
  <si>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</si>
  <si>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</si>
  <si>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</si>
  <si>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</si>
  <si>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</si>
  <si>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</si>
  <si>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</si>
  <si>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</si>
  <si>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</si>
  <si>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</si>
  <si>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</si>
  <si>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</si>
  <si>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</si>
  <si>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</si>
  <si>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</si>
  <si>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</si>
  <si>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</si>
  <si>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</si>
  <si>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</si>
  <si>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</si>
  <si>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</si>
  <si>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</si>
  <si>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</si>
  <si>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</si>
  <si>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</si>
  <si>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</si>
  <si>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</si>
  <si>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</si>
  <si>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</si>
  <si>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</si>
  <si>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</si>
  <si>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</si>
  <si>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</si>
  <si>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</si>
  <si>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</si>
  <si>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</si>
  <si>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</si>
  <si>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</si>
  <si>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</si>
  <si>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</si>
  <si>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</si>
  <si>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</si>
  <si>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</si>
  <si>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</si>
  <si>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</si>
  <si>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</si>
  <si>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</si>
  <si>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</si>
  <si>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</si>
  <si>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</si>
  <si>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</si>
  <si>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</si>
  <si>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</si>
  <si>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</si>
  <si>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</si>
  <si>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</si>
  <si>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</si>
  <si>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</si>
  <si>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</si>
  <si>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</si>
  <si>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</si>
  <si>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</si>
  <si>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</si>
  <si>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</si>
  <si>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</si>
  <si>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</si>
  <si>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</si>
  <si>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</si>
  <si>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</si>
  <si>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</si>
  <si>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</si>
  <si>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</si>
  <si>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</si>
  <si>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</si>
  <si>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</si>
  <si>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</si>
  <si>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</si>
  <si>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</si>
  <si>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</si>
  <si>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</si>
  <si>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</si>
  <si>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</si>
  <si>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</si>
  <si>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</si>
  <si>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</si>
  <si>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</si>
  <si>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</si>
  <si>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</si>
  <si>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</si>
  <si>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</si>
  <si>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</si>
  <si>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</si>
  <si>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</si>
  <si>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</si>
  <si>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</si>
  <si>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</si>
  <si>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</si>
  <si>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</si>
  <si>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</si>
  <si>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</si>
  <si>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</si>
  <si>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</si>
  <si>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</si>
  <si>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</si>
  <si>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</si>
  <si>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</si>
  <si>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</si>
  <si>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</si>
  <si>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</si>
  <si>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</si>
  <si>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</si>
  <si>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</si>
  <si>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</si>
  <si>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</si>
  <si>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</si>
  <si>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</si>
  <si>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</si>
  <si>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</si>
  <si>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</si>
  <si>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</si>
  <si>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</si>
  <si>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</si>
  <si>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</si>
  <si>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</si>
  <si>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</si>
  <si>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</si>
  <si>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</si>
  <si>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</si>
  <si>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</si>
  <si>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</si>
  <si>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</si>
  <si>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</si>
  <si>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</si>
  <si>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</si>
  <si>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</si>
  <si>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</si>
  <si>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</si>
  <si>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</si>
  <si>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</si>
  <si>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</si>
  <si>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</si>
  <si>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</si>
  <si>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</si>
  <si>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</si>
  <si>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</si>
  <si>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</si>
  <si>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</si>
  <si>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</si>
  <si>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</si>
  <si>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</si>
  <si>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</si>
  <si>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</si>
  <si>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</si>
  <si>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</si>
  <si>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</si>
  <si>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</si>
  <si>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</si>
  <si>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</si>
  <si>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</si>
  <si>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</si>
  <si>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</si>
  <si>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</si>
  <si>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</si>
  <si>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</si>
  <si>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</si>
  <si>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</si>
  <si>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</si>
  <si>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</si>
  <si>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</si>
  <si>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</si>
  <si>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</si>
  <si>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</si>
  <si>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</si>
  <si>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</si>
  <si>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</si>
  <si>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</si>
  <si>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</si>
  <si>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</si>
  <si>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</si>
  <si>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</si>
  <si>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</si>
  <si>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</si>
  <si>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</si>
  <si>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</si>
  <si>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</si>
  <si>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</si>
  <si>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</si>
  <si>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</si>
  <si>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</si>
  <si>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</si>
  <si>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</si>
  <si>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</si>
  <si>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</si>
  <si>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</si>
  <si>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</si>
  <si>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</si>
  <si>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</si>
  <si>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</si>
  <si>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</si>
  <si>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</si>
  <si>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</si>
  <si>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</si>
  <si>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</si>
  <si>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</si>
  <si>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</si>
  <si>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</si>
  <si>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</si>
  <si>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</si>
  <si>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</si>
  <si>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</si>
  <si>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</si>
  <si>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</si>
  <si>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</si>
  <si>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</si>
  <si>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</si>
  <si>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</si>
  <si>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</si>
  <si>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</si>
  <si>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</si>
  <si>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</si>
  <si>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</si>
  <si>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</si>
  <si>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</si>
  <si>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</si>
  <si>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</si>
  <si>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</si>
  <si>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</si>
  <si>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</si>
  <si>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</si>
  <si>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</si>
  <si>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</si>
  <si>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</si>
  <si>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</si>
  <si>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</si>
  <si>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</si>
  <si>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</si>
  <si>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</si>
  <si>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</si>
  <si>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</si>
  <si>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</si>
  <si>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</si>
  <si>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</si>
  <si>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</si>
  <si>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</si>
  <si>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</si>
  <si>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</si>
  <si>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</si>
  <si>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</si>
  <si>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</si>
  <si>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</si>
  <si>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</si>
  <si>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</si>
  <si>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</si>
  <si>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</si>
  <si>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</si>
  <si>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</si>
  <si>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</si>
  <si>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</si>
  <si>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</si>
  <si>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</si>
  <si>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</si>
  <si>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</si>
  <si>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</si>
  <si>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</si>
  <si>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</si>
  <si>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</si>
  <si>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</si>
  <si>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</si>
  <si>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</si>
  <si>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</si>
  <si>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</si>
  <si>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</si>
  <si>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</si>
  <si>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</si>
  <si>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</si>
  <si>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</si>
  <si>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</si>
  <si>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</si>
  <si>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</si>
  <si>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</si>
  <si>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</si>
  <si>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</si>
  <si>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</si>
  <si>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</si>
  <si>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</si>
  <si>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</si>
  <si>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</si>
  <si>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</si>
  <si>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</si>
  <si>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</si>
  <si>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</si>
  <si>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</si>
  <si>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</si>
  <si>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</si>
  <si>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</si>
  <si>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</si>
  <si>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</si>
  <si>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</si>
  <si>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</si>
  <si>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</si>
  <si>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</si>
  <si>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</si>
  <si>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</si>
  <si>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</si>
  <si>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</si>
  <si>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</si>
  <si>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</si>
  <si>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</si>
  <si>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</si>
  <si>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</si>
  <si>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</si>
  <si>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</si>
  <si>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</si>
  <si>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</si>
  <si>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</si>
  <si>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</si>
  <si>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</si>
  <si>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</si>
  <si>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</si>
  <si>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</si>
  <si>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</si>
  <si>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</si>
  <si>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</si>
  <si>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</si>
  <si>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</si>
  <si>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</si>
  <si>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</si>
  <si>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</si>
  <si>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</si>
  <si>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</si>
  <si>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</si>
  <si>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</si>
  <si>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</si>
  <si>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</si>
  <si>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</si>
  <si>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</si>
  <si>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</si>
  <si>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</si>
  <si>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</si>
  <si>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</si>
  <si>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</si>
  <si>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</si>
  <si>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</si>
  <si>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</si>
  <si>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</si>
  <si>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</si>
  <si>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</si>
  <si>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</si>
  <si>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</si>
  <si>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</si>
  <si>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</si>
  <si>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</si>
  <si>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</si>
  <si>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</si>
  <si>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</si>
  <si>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</si>
  <si>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</si>
  <si>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</si>
  <si>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</si>
  <si>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</si>
  <si>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</si>
  <si>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</si>
  <si>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</si>
  <si>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</si>
  <si>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</si>
  <si>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</si>
  <si>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</si>
  <si>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</si>
  <si>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</si>
  <si>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</si>
  <si>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</si>
  <si>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</si>
  <si>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</si>
  <si>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</si>
  <si>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</si>
  <si>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</si>
  <si>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</si>
  <si>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</si>
  <si>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</si>
  <si>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</si>
  <si>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</si>
  <si>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</si>
  <si>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</si>
  <si>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</si>
  <si>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</si>
  <si>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</si>
  <si>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</si>
  <si>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</si>
  <si>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</si>
  <si>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</si>
  <si>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</si>
  <si>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</si>
  <si>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</si>
  <si>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</si>
  <si>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</si>
  <si>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</si>
  <si>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</si>
  <si>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</si>
  <si>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</si>
  <si>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</si>
  <si>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</si>
  <si>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</si>
  <si>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</si>
  <si>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</si>
  <si>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</si>
  <si>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</si>
  <si>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</si>
  <si>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</si>
  <si>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</si>
  <si>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</si>
  <si>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</si>
  <si>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</si>
  <si>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</si>
  <si>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</si>
  <si>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</si>
  <si>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</si>
  <si>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</si>
  <si>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</si>
  <si>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</si>
  <si>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</si>
  <si>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</si>
  <si>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</si>
  <si>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</si>
  <si>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</si>
  <si>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</si>
  <si>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</si>
  <si>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</si>
  <si>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</si>
  <si>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</si>
  <si>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</si>
  <si>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</si>
  <si>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</si>
  <si>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</si>
  <si>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</si>
  <si>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</si>
  <si>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</si>
  <si>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</si>
  <si>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</si>
  <si>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</si>
  <si>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</si>
  <si>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</si>
  <si>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</si>
  <si>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</si>
  <si>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</si>
  <si>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</si>
  <si>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</si>
  <si>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</si>
  <si>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</si>
  <si>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</si>
  <si>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</si>
  <si>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</si>
  <si>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</si>
  <si>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</si>
  <si>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</si>
  <si>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</si>
  <si>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</si>
  <si>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</si>
  <si>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</si>
  <si>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</si>
  <si>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</si>
  <si>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</si>
  <si>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</si>
  <si>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</si>
  <si>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</si>
  <si>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</si>
  <si>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</si>
  <si>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</si>
  <si>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</si>
  <si>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</si>
  <si>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</si>
  <si>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</si>
  <si>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</si>
  <si>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</si>
  <si>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</si>
  <si>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</si>
  <si>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</si>
  <si>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</si>
  <si>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</si>
  <si>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</si>
  <si>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</si>
  <si>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</si>
  <si>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</si>
  <si>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</si>
  <si>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</si>
  <si>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</si>
  <si>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</si>
  <si>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</si>
  <si>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</si>
  <si>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</si>
  <si>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</si>
  <si>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</si>
  <si>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</si>
  <si>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</si>
  <si>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</si>
  <si>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</si>
  <si>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</si>
  <si>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</si>
  <si>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</si>
  <si>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</si>
  <si>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</si>
  <si>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</si>
  <si>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</si>
  <si>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</si>
  <si>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</si>
  <si>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</si>
  <si>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</si>
  <si>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</si>
  <si>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</si>
  <si>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</si>
  <si>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</si>
  <si>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</si>
  <si>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</si>
  <si>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</si>
  <si>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</si>
  <si>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</si>
  <si>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</si>
  <si>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</si>
  <si>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</si>
  <si>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</si>
  <si>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</si>
  <si>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</si>
  <si>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</si>
  <si>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</si>
  <si>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</si>
  <si>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</si>
  <si>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</si>
  <si>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</si>
  <si>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</si>
  <si>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</si>
  <si>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</si>
  <si>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</si>
  <si>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</si>
  <si>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</si>
  <si>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</si>
  <si>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</si>
  <si>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</si>
  <si>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</si>
  <si>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</si>
  <si>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</si>
  <si>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</si>
  <si>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</si>
  <si>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</si>
  <si>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</si>
  <si>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</si>
  <si>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</si>
  <si>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</si>
  <si>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</si>
  <si>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</si>
  <si>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</si>
  <si>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</si>
  <si>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</si>
  <si>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</si>
  <si>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</si>
  <si>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</si>
  <si>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</si>
  <si>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</si>
  <si>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</si>
  <si>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</si>
  <si>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</si>
  <si>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</si>
  <si>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</si>
  <si>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</si>
  <si>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</si>
  <si>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</si>
  <si>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</si>
  <si>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</si>
  <si>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</si>
  <si>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</si>
  <si>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</si>
  <si>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</si>
  <si>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</si>
  <si>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</si>
  <si>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</si>
  <si>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</si>
  <si>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</si>
  <si>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</si>
  <si>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</si>
  <si>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</si>
  <si>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</si>
  <si>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</si>
  <si>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</si>
  <si>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</si>
  <si>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</si>
  <si>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</si>
  <si>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</si>
  <si>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</si>
  <si>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</si>
  <si>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</si>
  <si>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</si>
  <si>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</si>
  <si>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</si>
  <si>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</si>
  <si>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</si>
  <si>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</si>
  <si>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</si>
  <si>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</si>
  <si>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</si>
  <si>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</si>
  <si>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</si>
  <si>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</si>
  <si>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</si>
  <si>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</si>
  <si>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</si>
  <si>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</si>
  <si>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</si>
  <si>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</si>
  <si>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</si>
  <si>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</si>
  <si>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</si>
  <si>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</si>
  <si>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</si>
  <si>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</si>
  <si>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</si>
  <si>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</si>
  <si>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</si>
  <si>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</si>
  <si>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</si>
  <si>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</si>
  <si>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</si>
  <si>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</si>
  <si>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</si>
  <si>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</si>
  <si>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</si>
  <si>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</si>
  <si>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</si>
  <si>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</si>
  <si>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</si>
  <si>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</si>
  <si>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</si>
  <si>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</si>
  <si>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</si>
  <si>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</si>
  <si>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</si>
  <si>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</si>
  <si>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</si>
  <si>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</si>
  <si>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</si>
  <si>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</si>
  <si>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</si>
  <si>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</si>
  <si>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</si>
  <si>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</si>
  <si>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</si>
  <si>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</si>
  <si>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</si>
  <si>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</si>
  <si>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</si>
  <si>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</si>
  <si>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</si>
  <si>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</si>
  <si>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</si>
  <si>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</si>
  <si>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</si>
  <si>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</si>
  <si>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</si>
  <si>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</si>
  <si>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</si>
  <si>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</si>
  <si>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</si>
  <si>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</si>
  <si>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</si>
  <si>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</si>
  <si>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</si>
  <si>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</si>
  <si>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</si>
  <si>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</si>
  <si>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</si>
  <si>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</si>
  <si>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</si>
  <si>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</si>
  <si>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</si>
  <si>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</si>
  <si>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</si>
  <si>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</si>
  <si>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</si>
  <si>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</si>
  <si>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</si>
  <si>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</si>
  <si>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</si>
  <si>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</si>
  <si>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</si>
  <si>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</si>
  <si>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</si>
  <si>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</si>
  <si>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</si>
  <si>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</si>
  <si>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</si>
  <si>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</si>
  <si>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</si>
  <si>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</si>
  <si>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</si>
  <si>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</si>
  <si>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</si>
  <si>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</si>
  <si>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</si>
  <si>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</si>
  <si>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</si>
  <si>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</si>
  <si>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</si>
  <si>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</si>
  <si>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</si>
  <si>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</si>
  <si>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</si>
  <si>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</si>
  <si>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</si>
  <si>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</si>
  <si>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</si>
  <si>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</si>
  <si>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</si>
  <si>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</si>
  <si>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</si>
  <si>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</si>
  <si>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</si>
  <si>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</si>
  <si>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</si>
  <si>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</si>
  <si>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</si>
  <si>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</si>
  <si>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</si>
  <si>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</si>
  <si>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</si>
  <si>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</si>
  <si>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</si>
  <si>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</si>
  <si>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</si>
  <si>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</si>
  <si>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</si>
  <si>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</si>
  <si>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</si>
  <si>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</si>
  <si>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</si>
  <si>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</si>
  <si>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</si>
  <si>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</si>
  <si>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</si>
  <si>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</si>
  <si>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</si>
  <si>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</si>
  <si>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</si>
  <si>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</si>
  <si>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</si>
  <si>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</si>
  <si>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</si>
  <si>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</si>
  <si>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</si>
  <si>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</si>
  <si>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</si>
  <si>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</si>
  <si>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</si>
  <si>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</si>
  <si>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</si>
  <si>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</si>
  <si>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</si>
  <si>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</si>
  <si>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</si>
  <si>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</si>
  <si>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</si>
  <si>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</si>
  <si>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</si>
  <si>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</si>
  <si>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</si>
  <si>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</si>
  <si>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</si>
  <si>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</si>
  <si>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</si>
  <si>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</si>
  <si>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</si>
  <si>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</si>
  <si>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</si>
  <si>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</si>
  <si>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</si>
  <si>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</si>
  <si>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</si>
  <si>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</si>
  <si>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</si>
  <si>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</si>
  <si>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</si>
  <si>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</si>
  <si>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</si>
  <si>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</si>
  <si>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</si>
  <si>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</si>
  <si>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</si>
  <si>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</si>
  <si>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</si>
  <si>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</si>
  <si>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</si>
  <si>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</si>
  <si>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</si>
  <si>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</si>
  <si>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</si>
  <si>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</si>
  <si>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</si>
  <si>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</si>
  <si>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</si>
  <si>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</si>
  <si>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</si>
  <si>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</si>
  <si>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</si>
  <si>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</si>
  <si>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</si>
  <si>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</si>
  <si>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</si>
  <si>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</si>
  <si>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</si>
  <si>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</si>
  <si>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</si>
  <si>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</si>
  <si>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</si>
  <si>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</si>
  <si>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</si>
  <si>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</si>
  <si>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</si>
  <si>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</si>
  <si>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</si>
  <si>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</si>
  <si>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</si>
  <si>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</si>
  <si>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</si>
  <si>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</si>
  <si>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</si>
  <si>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</si>
  <si>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</si>
  <si>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</si>
  <si>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</si>
  <si>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</si>
  <si>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</si>
  <si>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</si>
  <si>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</si>
  <si>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</si>
  <si>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</si>
  <si>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</si>
  <si>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</si>
  <si>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</si>
  <si>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</si>
  <si>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</si>
  <si>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</si>
  <si>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</si>
  <si>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</si>
  <si>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</si>
  <si>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</si>
  <si>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</si>
  <si>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</si>
  <si>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</si>
  <si>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</si>
  <si>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</si>
  <si>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</si>
  <si>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</si>
  <si>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</si>
  <si>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</si>
  <si>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</si>
  <si>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</si>
  <si>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</si>
  <si>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</si>
  <si>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</si>
  <si>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</si>
  <si>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</si>
  <si>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</si>
  <si>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</si>
  <si>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</si>
  <si>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</si>
  <si>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</si>
  <si>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</si>
  <si>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</si>
  <si>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</si>
  <si>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</si>
  <si>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</si>
  <si>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</si>
  <si>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</si>
  <si>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</si>
  <si>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</si>
  <si>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</si>
  <si>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</si>
  <si>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</si>
  <si>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</si>
  <si>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</si>
  <si>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</si>
  <si>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</si>
  <si>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</si>
  <si>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</si>
  <si>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</si>
  <si>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</si>
  <si>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</si>
  <si>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</si>
  <si>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</si>
  <si>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</si>
  <si>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</si>
  <si>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</si>
  <si>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</si>
  <si>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</si>
  <si>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</si>
  <si>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</si>
  <si>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</si>
  <si>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</si>
  <si>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</si>
  <si>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</si>
  <si>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</si>
  <si>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</si>
  <si>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</si>
  <si>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</si>
  <si>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</si>
  <si>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</si>
  <si>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</si>
  <si>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</si>
  <si>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</si>
  <si>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</si>
  <si>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</si>
  <si>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</si>
  <si>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</si>
  <si>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</si>
  <si>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</si>
  <si>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</si>
  <si>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</si>
  <si>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</si>
  <si>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</si>
  <si>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</si>
  <si>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</si>
  <si>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</si>
  <si>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</si>
  <si>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</si>
  <si>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</si>
  <si>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</si>
  <si>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</si>
  <si>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</si>
  <si>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</si>
  <si>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</si>
  <si>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</si>
  <si>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</si>
  <si>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</si>
  <si>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</si>
  <si>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</si>
  <si>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</si>
  <si>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</si>
  <si>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</si>
  <si>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</si>
  <si>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</si>
  <si>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</si>
  <si>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</si>
  <si>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</si>
  <si>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</si>
  <si>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</si>
  <si>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</si>
  <si>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</si>
  <si>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</si>
  <si>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</si>
  <si>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</si>
  <si>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</si>
  <si>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</si>
  <si>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</si>
  <si>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</si>
  <si>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</si>
  <si>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</si>
  <si>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</si>
  <si>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</si>
  <si>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</si>
  <si>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</si>
  <si>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</si>
  <si>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</si>
  <si>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</si>
  <si>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</si>
  <si>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</si>
  <si>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</si>
  <si>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</si>
  <si>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</si>
  <si>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</si>
  <si>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</si>
  <si>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</si>
  <si>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</si>
  <si>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</si>
  <si>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</si>
  <si>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</si>
  <si>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</si>
  <si>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</si>
  <si>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</si>
  <si>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</si>
  <si>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</si>
  <si>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</si>
  <si>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</si>
  <si>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</si>
  <si>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</si>
  <si>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</si>
  <si>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</si>
  <si>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</si>
  <si>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</si>
  <si>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</si>
  <si>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</si>
  <si>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</si>
  <si>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</si>
  <si>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</si>
  <si>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</si>
  <si>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</si>
  <si>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</si>
  <si>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</si>
  <si>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</si>
  <si>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</si>
  <si>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</si>
  <si>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</si>
  <si>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</si>
  <si>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</si>
  <si>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</si>
  <si>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</si>
  <si>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</si>
  <si>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</si>
  <si>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</si>
  <si>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</si>
  <si>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</si>
  <si>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</si>
  <si>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</si>
  <si>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</si>
  <si>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</si>
  <si>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</si>
  <si>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</si>
  <si>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</si>
  <si>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</si>
  <si>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</si>
  <si>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</si>
  <si>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</si>
  <si>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</si>
  <si>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</si>
  <si>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</si>
  <si>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</si>
  <si>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</si>
  <si>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</si>
  <si>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</si>
  <si>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</si>
  <si>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</si>
  <si>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</si>
  <si>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</si>
  <si>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</si>
  <si>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</si>
  <si>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</si>
  <si>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</si>
  <si>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</si>
  <si>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</si>
  <si>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</si>
  <si>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</si>
  <si>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</si>
  <si>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</si>
  <si>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</si>
  <si>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</si>
  <si>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</si>
  <si>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</si>
  <si>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</si>
  <si>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</si>
  <si>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</si>
  <si>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</si>
  <si>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</si>
  <si>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</si>
  <si>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</si>
  <si>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</si>
  <si>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</si>
  <si>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</si>
  <si>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</si>
  <si>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</si>
  <si>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</si>
  <si>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</si>
  <si>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</si>
  <si>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</si>
  <si>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</si>
  <si>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</si>
  <si>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</si>
  <si>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</si>
  <si>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</si>
  <si>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</si>
  <si>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</si>
  <si>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</si>
  <si>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</si>
  <si>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</si>
  <si>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</si>
  <si>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</si>
  <si>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</si>
  <si>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</si>
  <si>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</si>
  <si>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</si>
  <si>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</si>
  <si>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</si>
  <si>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</si>
  <si>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</si>
  <si>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</si>
  <si>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</si>
  <si>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</si>
  <si>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</si>
  <si>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</si>
  <si>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</si>
  <si>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</si>
  <si>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</si>
  <si>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</si>
  <si>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</si>
  <si>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</si>
  <si>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</si>
  <si>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</si>
  <si>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</si>
  <si>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</si>
  <si>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</si>
  <si>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</si>
  <si>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</si>
  <si>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</si>
  <si>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</si>
  <si>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</si>
  <si>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</si>
  <si>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</si>
  <si>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</si>
  <si>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</si>
  <si>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</si>
  <si>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</si>
  <si>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</si>
  <si>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</si>
  <si>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</si>
  <si>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</si>
  <si>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</si>
  <si>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</si>
  <si>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</si>
  <si>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</si>
  <si>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</si>
  <si>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</si>
  <si>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</si>
  <si>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</si>
  <si>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</si>
  <si>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</si>
  <si>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</si>
  <si>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</si>
  <si>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</si>
  <si>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</si>
  <si>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</si>
  <si>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</si>
  <si>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</si>
  <si>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</si>
  <si>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</si>
  <si>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</si>
  <si>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</si>
  <si>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</si>
  <si>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</si>
  <si>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</si>
  <si>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</si>
  <si>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</si>
  <si>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</si>
  <si>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</si>
  <si>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</si>
  <si>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</si>
  <si>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</si>
  <si>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</si>
  <si>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</si>
  <si>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</si>
  <si>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</si>
  <si>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</si>
  <si>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</si>
  <si>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</si>
  <si>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</si>
  <si>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</si>
  <si>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</si>
  <si>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</si>
  <si>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</si>
  <si>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</si>
  <si>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</si>
  <si>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</si>
  <si>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</si>
  <si>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</si>
  <si>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</si>
  <si>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</si>
  <si>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</si>
  <si>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</si>
  <si>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</si>
  <si>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</si>
  <si>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</si>
  <si>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</si>
  <si>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</si>
  <si>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</si>
  <si>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</si>
  <si>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</si>
  <si>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</si>
  <si>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</si>
  <si>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</si>
  <si>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</si>
  <si>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</si>
  <si>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</si>
  <si>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</si>
  <si>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</si>
  <si>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</si>
  <si>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</si>
  <si>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</si>
  <si>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</si>
  <si>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</si>
  <si>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</si>
  <si>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</si>
  <si>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</si>
  <si>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</si>
  <si>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</si>
  <si>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</si>
  <si>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</si>
  <si>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</si>
  <si>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</si>
  <si>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</si>
  <si>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</si>
  <si>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</si>
  <si>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</si>
  <si>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</si>
  <si>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</si>
  <si>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</si>
  <si>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</si>
  <si>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</si>
  <si>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</si>
  <si>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</si>
  <si>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</si>
  <si>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</si>
  <si>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</si>
  <si>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</si>
  <si>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</si>
  <si>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</si>
  <si>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</si>
  <si>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</si>
  <si>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</si>
  <si>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</si>
  <si>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</si>
  <si>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</si>
  <si>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</si>
  <si>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</si>
  <si>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</si>
  <si>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</si>
  <si>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</si>
  <si>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</si>
  <si>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</si>
  <si>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</si>
  <si>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</si>
  <si>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</si>
  <si>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</si>
  <si>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</si>
  <si>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</si>
  <si>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</si>
  <si>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</si>
  <si>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</si>
  <si>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</si>
  <si>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</si>
  <si>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</si>
  <si>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</si>
  <si>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</si>
  <si>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</si>
  <si>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</si>
  <si>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</si>
  <si>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</si>
  <si>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</si>
  <si>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</si>
  <si>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</si>
  <si>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</si>
  <si>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</si>
  <si>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</si>
  <si>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</si>
  <si>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</si>
  <si>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</si>
  <si>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</si>
  <si>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</si>
  <si>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</si>
  <si>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</si>
  <si>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</si>
  <si>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</si>
  <si>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</si>
  <si>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</si>
  <si>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</si>
  <si>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</si>
  <si>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</si>
  <si>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</si>
  <si>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</si>
  <si>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</si>
  <si>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</si>
  <si>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</si>
  <si>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</si>
  <si>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</si>
  <si>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</si>
  <si>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</si>
  <si>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</si>
  <si>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</si>
  <si>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</si>
  <si>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</si>
  <si>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</si>
  <si>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</si>
  <si>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</si>
  <si>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</si>
  <si>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</si>
  <si>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</si>
  <si>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</si>
  <si>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</si>
  <si>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</si>
  <si>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</si>
  <si>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</si>
  <si>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</si>
  <si>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</si>
  <si>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</si>
  <si>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</si>
  <si>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</si>
  <si>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</si>
  <si>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</si>
  <si>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</si>
  <si>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</si>
  <si>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</si>
  <si>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</si>
  <si>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</si>
  <si>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</si>
  <si>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</si>
  <si>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</si>
  <si>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</si>
  <si>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</si>
  <si>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</si>
  <si>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</si>
  <si>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</si>
  <si>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</si>
  <si>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</si>
  <si>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</si>
  <si>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</si>
  <si>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</si>
  <si>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</si>
  <si>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</si>
  <si>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</si>
  <si>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</si>
  <si>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</si>
  <si>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</si>
  <si>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</si>
  <si>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</si>
  <si>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</si>
  <si>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</si>
  <si>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</si>
  <si>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</si>
  <si>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</si>
  <si>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</si>
  <si>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</si>
  <si>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</si>
  <si>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</si>
  <si>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</si>
  <si>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</si>
  <si>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</si>
  <si>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</si>
  <si>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</si>
  <si>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</si>
  <si>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</si>
  <si>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</si>
  <si>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</si>
  <si>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</si>
  <si>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</si>
  <si>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</si>
  <si>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</si>
  <si>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</si>
  <si>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</si>
  <si>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</si>
  <si>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</si>
  <si>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</si>
  <si>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</si>
  <si>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</si>
  <si>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</si>
  <si>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</si>
  <si>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</si>
  <si>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</si>
  <si>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</si>
  <si>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</si>
  <si>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</si>
  <si>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</si>
  <si>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</si>
  <si>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</si>
  <si>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</si>
  <si>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</si>
  <si>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</si>
  <si>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</si>
  <si>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</si>
  <si>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</si>
  <si>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</si>
  <si>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</si>
  <si>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</si>
  <si>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</si>
  <si>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</si>
  <si>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</si>
  <si>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</si>
  <si>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</si>
  <si>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</si>
  <si>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</si>
  <si>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</si>
  <si>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</si>
  <si>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</si>
  <si>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</si>
  <si>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</si>
  <si>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</si>
  <si>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</si>
  <si>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</si>
  <si>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</si>
  <si>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</si>
  <si>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</si>
  <si>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</si>
  <si>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</si>
  <si>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</si>
  <si>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</si>
  <si>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</si>
  <si>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</si>
  <si>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</si>
  <si>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</si>
  <si>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</si>
  <si>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</si>
  <si>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</si>
  <si>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</si>
  <si>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</si>
  <si>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</si>
  <si>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</si>
  <si>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</si>
  <si>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</si>
  <si>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</si>
  <si>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</si>
  <si>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</si>
  <si>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</si>
  <si>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</si>
  <si>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</si>
  <si>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</si>
  <si>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</si>
  <si>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</si>
  <si>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</si>
  <si>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</si>
  <si>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</si>
  <si>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</si>
  <si>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</si>
  <si>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</si>
  <si>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</si>
  <si>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</si>
  <si>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</si>
  <si>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</si>
  <si>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</si>
  <si>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</si>
  <si>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</si>
  <si>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</si>
  <si>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</si>
  <si>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</si>
  <si>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</si>
  <si>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</si>
  <si>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</si>
  <si>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</si>
  <si>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</si>
  <si>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</si>
  <si>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</si>
  <si>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</si>
  <si>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</si>
  <si>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</si>
  <si>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</si>
  <si>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</si>
  <si>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</si>
  <si>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</si>
  <si>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</si>
  <si>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</si>
  <si>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</si>
  <si>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</si>
  <si>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</si>
  <si>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</si>
  <si>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</si>
  <si>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</si>
  <si>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</si>
  <si>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</si>
  <si>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</si>
  <si>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</si>
  <si>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</si>
  <si>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</si>
  <si>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</si>
  <si>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</si>
  <si>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</si>
  <si>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</si>
  <si>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</si>
  <si>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</si>
  <si>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</si>
  <si>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</si>
  <si>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</si>
  <si>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</si>
  <si>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</si>
  <si>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</si>
  <si>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</si>
  <si>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</si>
  <si>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</si>
  <si>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</si>
  <si>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</si>
  <si>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</si>
  <si>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</si>
  <si>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</si>
  <si>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</si>
  <si>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</si>
  <si>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</si>
  <si>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</si>
  <si>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</si>
  <si>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</si>
  <si>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</si>
  <si>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</si>
  <si>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</si>
  <si>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</si>
  <si>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</si>
  <si>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</si>
  <si>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</si>
  <si>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</si>
  <si>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</si>
  <si>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</si>
  <si>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</si>
  <si>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</si>
  <si>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</si>
  <si>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</si>
  <si>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</si>
  <si>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</si>
  <si>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</si>
  <si>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</si>
  <si>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</si>
  <si>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</si>
  <si>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</si>
  <si>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</si>
  <si>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</si>
  <si>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</si>
  <si>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</si>
  <si>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</si>
  <si>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</si>
  <si>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</si>
  <si>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</si>
  <si>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</si>
  <si>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</si>
  <si>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</si>
  <si>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</si>
  <si>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</si>
  <si>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</si>
  <si>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</si>
  <si>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</si>
  <si>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</si>
  <si>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</si>
  <si>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</si>
  <si>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</si>
  <si>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</si>
  <si>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</si>
  <si>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</si>
  <si>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</si>
  <si>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</si>
  <si>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</si>
  <si>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</si>
  <si>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</si>
  <si>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</si>
  <si>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</si>
  <si>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</si>
  <si>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</si>
  <si>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</si>
  <si>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</si>
  <si>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</si>
  <si>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</si>
  <si>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</si>
  <si>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</si>
  <si>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</si>
  <si>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</si>
  <si>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</si>
  <si>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</si>
  <si>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</si>
  <si>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</si>
  <si>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</si>
  <si>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</si>
  <si>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</si>
  <si>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</si>
  <si>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</si>
  <si>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</si>
  <si>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</si>
  <si>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</si>
  <si>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</si>
  <si>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</si>
  <si>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</si>
  <si>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</si>
  <si>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</si>
  <si>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</si>
  <si>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</si>
  <si>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</si>
  <si>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</si>
  <si>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</si>
  <si>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</si>
  <si>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</si>
  <si>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</si>
  <si>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</si>
  <si>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</si>
  <si>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</si>
  <si>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</si>
  <si>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</si>
  <si>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</si>
  <si>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</si>
  <si>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</si>
  <si>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</si>
  <si>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</si>
  <si>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</si>
  <si>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</si>
  <si>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</si>
  <si>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</si>
  <si>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</si>
  <si>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</si>
  <si>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</si>
  <si>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</si>
  <si>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</si>
  <si>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</si>
  <si>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</si>
  <si>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</si>
  <si>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</si>
  <si>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</si>
  <si>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</si>
  <si>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</si>
  <si>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</si>
  <si>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</si>
  <si>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</si>
  <si>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</si>
  <si>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</si>
  <si>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</si>
  <si>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</si>
  <si>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</si>
  <si>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</si>
  <si>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</si>
  <si>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</si>
  <si>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</si>
  <si>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</si>
  <si>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</si>
  <si>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</si>
  <si>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</si>
  <si>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</si>
  <si>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</si>
  <si>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</si>
  <si>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</si>
  <si>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</si>
  <si>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</si>
  <si>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</si>
  <si>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</si>
  <si>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</si>
  <si>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</si>
  <si>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</si>
  <si>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</si>
  <si>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</si>
  <si>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</si>
  <si>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</si>
  <si>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</si>
  <si>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</si>
  <si>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</si>
  <si>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</si>
  <si>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</si>
  <si>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</si>
  <si>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</si>
  <si>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</si>
  <si>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</si>
  <si>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</si>
  <si>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</si>
  <si>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</si>
  <si>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</si>
  <si>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</si>
  <si>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</si>
  <si>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</si>
  <si>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</si>
  <si>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</si>
  <si>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</si>
  <si>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</si>
  <si>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</si>
  <si>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</si>
  <si>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</si>
  <si>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</si>
  <si>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</si>
  <si>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</si>
  <si>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</si>
  <si>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</si>
  <si>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</si>
  <si>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</si>
  <si>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</si>
  <si>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</si>
  <si>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</si>
  <si>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</si>
  <si>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</si>
  <si>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</si>
  <si>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</si>
  <si>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</si>
  <si>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</si>
  <si>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</si>
  <si>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</si>
  <si>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</si>
  <si>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</si>
  <si>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</si>
  <si>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</si>
  <si>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</si>
  <si>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</si>
  <si>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</si>
  <si>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</si>
  <si>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</si>
  <si>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</si>
  <si>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</si>
  <si>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</si>
  <si>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</si>
  <si>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</si>
  <si>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</si>
  <si>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</si>
  <si>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</si>
  <si>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</si>
  <si>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</si>
  <si>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</si>
  <si>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</si>
  <si>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</si>
  <si>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</si>
  <si>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</si>
  <si>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</si>
  <si>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</si>
  <si>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</si>
  <si>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</si>
  <si>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</si>
  <si>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</si>
  <si>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</si>
  <si>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</si>
  <si>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</si>
  <si>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</si>
  <si>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</si>
  <si>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</si>
  <si>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</si>
  <si>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</si>
  <si>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</si>
  <si>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</si>
  <si>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</si>
  <si>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</si>
  <si>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</si>
  <si>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</si>
  <si>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</si>
  <si>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</si>
  <si>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</si>
  <si>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</si>
  <si>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</si>
  <si>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</si>
  <si>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</si>
  <si>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</si>
  <si>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</si>
  <si>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</si>
  <si>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</si>
  <si>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</si>
  <si>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</si>
  <si>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</si>
  <si>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</si>
  <si>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</si>
  <si>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</si>
  <si>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</si>
  <si>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</si>
  <si>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</si>
  <si>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</si>
  <si>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</si>
  <si>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</si>
  <si>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</si>
  <si>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</si>
  <si>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</si>
  <si>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</si>
  <si>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</si>
  <si>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</si>
  <si>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</si>
  <si>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</si>
  <si>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</si>
  <si>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</si>
  <si>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</si>
  <si>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</si>
  <si>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</si>
  <si>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</si>
  <si>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</si>
  <si>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</si>
  <si>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</si>
  <si>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</si>
  <si>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</si>
  <si>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</si>
  <si>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</si>
  <si>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</si>
  <si>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</si>
  <si>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</si>
  <si>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</si>
  <si>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</si>
  <si>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</si>
  <si>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</si>
  <si>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</si>
  <si>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</si>
  <si>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</si>
  <si>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</si>
  <si>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</si>
  <si>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</si>
  <si>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</si>
  <si>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</si>
  <si>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</si>
  <si>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</si>
  <si>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</si>
  <si>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</si>
  <si>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</si>
  <si>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</si>
  <si>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</si>
  <si>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</si>
  <si>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</si>
  <si>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</si>
  <si>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</si>
  <si>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</si>
  <si>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</si>
  <si>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</si>
  <si>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</si>
  <si>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</si>
  <si>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</si>
  <si>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</si>
  <si>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</si>
  <si>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</si>
  <si>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</si>
  <si>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</si>
  <si>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</si>
  <si>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</si>
  <si>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</si>
  <si>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</si>
  <si>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</si>
  <si>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</si>
  <si>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</si>
  <si>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</si>
  <si>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</si>
  <si>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</si>
  <si>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</si>
  <si>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</si>
  <si>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</si>
  <si>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</si>
  <si>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</si>
  <si>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</si>
  <si>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</si>
  <si>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</si>
  <si>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</si>
  <si>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</si>
  <si>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</si>
  <si>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</si>
  <si>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</si>
  <si>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</si>
  <si>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</si>
  <si>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</si>
  <si>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</si>
  <si>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</si>
  <si>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</si>
  <si>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</si>
  <si>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</si>
  <si>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</si>
  <si>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</si>
  <si>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</si>
  <si>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</si>
  <si>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</si>
  <si>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</si>
  <si>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</si>
  <si>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</si>
  <si>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</si>
  <si>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</si>
  <si>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</si>
  <si>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</si>
  <si>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</si>
  <si>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</si>
  <si>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</si>
  <si>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</si>
  <si>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</si>
  <si>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</si>
  <si>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</si>
  <si>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</si>
  <si>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</si>
  <si>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</si>
  <si>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</si>
  <si>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</si>
  <si>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</si>
  <si>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</si>
  <si>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</si>
  <si>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</si>
  <si>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</si>
  <si>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</si>
  <si>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</si>
  <si>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</si>
  <si>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</si>
  <si>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</si>
  <si>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</si>
  <si>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</si>
  <si>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</si>
  <si>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</si>
  <si>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</si>
  <si>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</si>
  <si>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</si>
  <si>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</si>
  <si>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</si>
  <si>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</si>
  <si>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</si>
  <si>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</si>
  <si>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</si>
  <si>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</si>
  <si>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</si>
  <si>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</si>
  <si>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</si>
  <si>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</si>
  <si>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</si>
  <si>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</si>
  <si>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</si>
  <si>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</si>
  <si>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</si>
  <si>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</si>
  <si>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</si>
  <si>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</si>
  <si>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</si>
  <si>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</si>
  <si>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</si>
  <si>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</si>
  <si>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</si>
  <si>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</si>
  <si>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</si>
  <si>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</si>
  <si>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</si>
  <si>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</si>
  <si>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</si>
  <si>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</si>
  <si>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</si>
  <si>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</si>
  <si>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</si>
  <si>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</si>
  <si>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</si>
  <si>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</si>
  <si>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</si>
  <si>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</si>
  <si>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</si>
  <si>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</si>
  <si>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</si>
  <si>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</si>
  <si>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</si>
  <si>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</si>
  <si>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</si>
  <si>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</si>
  <si>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</si>
  <si>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</si>
  <si>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</si>
  <si>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</si>
  <si>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</si>
  <si>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</si>
  <si>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</si>
  <si>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</si>
  <si>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</si>
  <si>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</si>
  <si>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</si>
  <si>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</si>
  <si>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</si>
  <si>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</si>
  <si>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</si>
  <si>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</si>
  <si>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</si>
  <si>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</si>
  <si>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</si>
  <si>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</si>
  <si>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</si>
  <si>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</si>
  <si>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</si>
  <si>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</si>
  <si>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</si>
  <si>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</si>
  <si>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</si>
  <si>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</si>
  <si>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</si>
  <si>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</si>
  <si>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</si>
  <si>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</si>
  <si>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</si>
  <si>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</si>
  <si>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</si>
  <si>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</si>
  <si>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</si>
  <si>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</si>
  <si>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</si>
  <si>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</si>
  <si>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</si>
  <si>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</si>
  <si>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</si>
  <si>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</si>
  <si>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</si>
  <si>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</si>
  <si>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</si>
  <si>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</si>
  <si>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</si>
  <si>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</si>
  <si>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</si>
  <si>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</si>
  <si>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</si>
  <si>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</si>
  <si>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</si>
  <si>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</si>
  <si>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</si>
  <si>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</si>
  <si>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</si>
  <si>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</si>
  <si>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</si>
  <si>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</si>
  <si>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</si>
  <si>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</si>
  <si>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</si>
  <si>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</si>
  <si>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</si>
  <si>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</si>
  <si>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</si>
  <si>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</si>
  <si>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</si>
  <si>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</si>
  <si>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</si>
  <si>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</si>
  <si>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</si>
  <si>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</si>
  <si>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</si>
  <si>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</si>
  <si>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</si>
  <si>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</si>
  <si>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</si>
  <si>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</si>
  <si>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</si>
  <si>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</si>
  <si>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</si>
  <si>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</si>
  <si>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</si>
  <si>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</si>
  <si>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</si>
  <si>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</si>
  <si>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</si>
  <si>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</si>
  <si>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</si>
  <si>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</si>
  <si>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</si>
  <si>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</si>
  <si>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</si>
  <si>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</si>
  <si>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</si>
  <si>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</si>
  <si>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</si>
  <si>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</si>
  <si>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</si>
  <si>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</si>
  <si>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r>
      <t>5A</t>
    </r>
    <r>
      <rPr>
        <sz val="10"/>
        <color indexed="8"/>
        <rFont val="宋体"/>
        <family val="3"/>
        <charset val="134"/>
      </rPr>
      <t>商务办公楼</t>
    </r>
    <phoneticPr fontId="3" type="noConversion"/>
  </si>
  <si>
    <t>是</t>
  </si>
  <si>
    <t>地上</t>
  </si>
  <si>
    <r>
      <t>5B</t>
    </r>
    <r>
      <rPr>
        <sz val="10"/>
        <color indexed="8"/>
        <rFont val="宋体"/>
        <family val="3"/>
        <charset val="134"/>
      </rPr>
      <t>商业用房</t>
    </r>
    <phoneticPr fontId="3" type="noConversion"/>
  </si>
  <si>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</si>
  <si>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</si>
  <si>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</si>
  <si>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</si>
  <si>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</si>
  <si>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</si>
  <si>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</si>
  <si>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</si>
  <si>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车库</t>
    <phoneticPr fontId="7" type="noConversion"/>
  </si>
  <si>
    <t>地上办公</t>
  </si>
  <si>
    <t>地上办公</t>
    <phoneticPr fontId="7" type="noConversion"/>
  </si>
  <si>
    <t>地下办公</t>
  </si>
  <si>
    <t>地下办公</t>
    <phoneticPr fontId="7" type="noConversion"/>
  </si>
  <si>
    <t>地上商业</t>
  </si>
  <si>
    <t>地上商业</t>
    <phoneticPr fontId="7" type="noConversion"/>
  </si>
  <si>
    <t>地下商业</t>
  </si>
  <si>
    <t>地下商业</t>
    <phoneticPr fontId="7" type="noConversion"/>
  </si>
  <si>
    <t>仓储</t>
    <phoneticPr fontId="7" type="noConversion"/>
  </si>
  <si>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</si>
  <si>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</si>
  <si>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</si>
  <si>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</si>
  <si>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</si>
  <si>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</si>
  <si>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</si>
  <si>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</si>
  <si>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</si>
  <si>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</si>
  <si>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</si>
  <si>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</si>
  <si>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</si>
  <si>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</si>
  <si>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</si>
  <si>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</si>
  <si>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</si>
  <si>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</si>
  <si>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</si>
  <si>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</si>
  <si>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</si>
  <si>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</si>
  <si>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</si>
  <si>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</si>
  <si>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</si>
  <si>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</si>
  <si>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</si>
  <si>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</si>
  <si>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</si>
  <si>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</si>
  <si>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</si>
  <si>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</si>
  <si>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</si>
  <si>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</si>
  <si>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</si>
  <si>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</si>
  <si>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</si>
  <si>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</si>
  <si>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</si>
  <si>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</si>
  <si>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</si>
  <si>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</si>
  <si>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</si>
  <si>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</si>
  <si>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</si>
  <si>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</si>
  <si>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</si>
  <si>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</si>
  <si>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</si>
  <si>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</si>
  <si>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</si>
  <si>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</si>
  <si>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</si>
  <si>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</si>
  <si>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</si>
  <si>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</si>
  <si>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</si>
  <si>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</si>
  <si>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</si>
  <si>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</si>
  <si>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</si>
  <si>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</si>
  <si>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</si>
  <si>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</si>
  <si>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</si>
  <si>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</si>
  <si>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</si>
  <si>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</si>
  <si>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</si>
  <si>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</si>
  <si>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</si>
  <si>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</si>
  <si>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</si>
  <si>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phoneticPr fontId="31" type="noConversion"/>
  </si>
  <si>
    <t>综合</t>
  </si>
  <si>
    <t>蓝调庄园、坝河</t>
    <phoneticPr fontId="31"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</si>
  <si>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</si>
  <si>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</si>
  <si>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</si>
  <si>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</si>
  <si>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</si>
  <si>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</si>
  <si>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</si>
  <si>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</si>
  <si>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</si>
  <si>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</si>
  <si>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</si>
  <si>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</si>
  <si>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</si>
  <si>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</si>
  <si>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</si>
  <si>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</si>
  <si>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</si>
  <si>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</si>
  <si>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收益法</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</si>
  <si>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</si>
  <si>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</si>
  <si>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</si>
  <si>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</si>
  <si>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</si>
  <si>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</si>
  <si>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</si>
  <si>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</si>
  <si>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</si>
  <si>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</si>
  <si>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</si>
  <si>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</si>
  <si>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</si>
  <si>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</si>
  <si>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</si>
  <si>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</si>
  <si>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</si>
  <si>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</si>
  <si>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收益法地上商业</t>
  </si>
  <si>
    <t>收益法地下商业</t>
  </si>
  <si>
    <t>收益法车库</t>
  </si>
  <si>
    <t>车位数</t>
    <phoneticPr fontId="143" type="noConversion"/>
  </si>
  <si>
    <t>收益法仓储</t>
  </si>
  <si>
    <t>成本比率</t>
  </si>
  <si>
    <t>估价对象1（本表）05在建</t>
    <phoneticPr fontId="143" type="noConversion"/>
  </si>
  <si>
    <t>02在建</t>
    <phoneticPr fontId="143" type="noConversion"/>
  </si>
  <si>
    <t>03土地</t>
    <phoneticPr fontId="143" type="noConversion"/>
  </si>
  <si>
    <t>通州万达广场</t>
    <phoneticPr fontId="3" type="noConversion"/>
  </si>
  <si>
    <t>万科大都会</t>
    <phoneticPr fontId="3" type="noConversion"/>
  </si>
  <si>
    <t>复地中心</t>
    <phoneticPr fontId="3" type="noConversion"/>
  </si>
  <si>
    <t>该案例周边办公楼项目较多，入驻率较好，办公集聚程度较好。</t>
    <phoneticPr fontId="3" type="noConversion"/>
  </si>
  <si>
    <r>
      <rPr>
        <sz val="11"/>
        <rFont val="宋体"/>
        <family val="3"/>
        <charset val="134"/>
      </rPr>
      <t>该案例周边有</t>
    </r>
    <r>
      <rPr>
        <sz val="11"/>
        <rFont val="Arial"/>
        <family val="2"/>
      </rPr>
      <t>317</t>
    </r>
    <r>
      <rPr>
        <sz val="11"/>
        <rFont val="宋体"/>
        <family val="3"/>
        <charset val="134"/>
      </rPr>
      <t>路、</t>
    </r>
    <r>
      <rPr>
        <sz val="11"/>
        <rFont val="Arial"/>
        <family val="2"/>
      </rPr>
      <t>812</t>
    </r>
    <r>
      <rPr>
        <sz val="11"/>
        <rFont val="宋体"/>
        <family val="3"/>
        <charset val="134"/>
      </rPr>
      <t>路、通</t>
    </r>
    <r>
      <rPr>
        <sz val="11"/>
        <rFont val="Arial"/>
        <family val="2"/>
      </rPr>
      <t>2</t>
    </r>
    <r>
      <rPr>
        <sz val="11"/>
        <rFont val="宋体"/>
        <family val="3"/>
        <charset val="134"/>
      </rPr>
      <t>路，临近地铁八通线，路网密集度较好，交通便捷度较好。</t>
    </r>
    <phoneticPr fontId="3" type="noConversion"/>
  </si>
  <si>
    <r>
      <rPr>
        <sz val="11"/>
        <rFont val="宋体"/>
        <family val="3"/>
        <charset val="134"/>
      </rPr>
      <t>该案例周边有</t>
    </r>
    <r>
      <rPr>
        <sz val="11"/>
        <rFont val="Arial"/>
        <family val="2"/>
      </rPr>
      <t>316</t>
    </r>
    <r>
      <rPr>
        <sz val="11"/>
        <rFont val="宋体"/>
        <family val="3"/>
        <charset val="134"/>
      </rPr>
      <t>路、</t>
    </r>
    <r>
      <rPr>
        <sz val="11"/>
        <rFont val="Arial"/>
        <family val="2"/>
      </rPr>
      <t>342</t>
    </r>
    <r>
      <rPr>
        <sz val="11"/>
        <rFont val="宋体"/>
        <family val="3"/>
        <charset val="134"/>
      </rPr>
      <t>路、</t>
    </r>
    <r>
      <rPr>
        <sz val="11"/>
        <rFont val="Arial"/>
        <family val="2"/>
      </rPr>
      <t>587</t>
    </r>
    <r>
      <rPr>
        <sz val="11"/>
        <rFont val="宋体"/>
        <family val="3"/>
        <charset val="134"/>
      </rPr>
      <t>路，临近地铁</t>
    </r>
    <r>
      <rPr>
        <sz val="11"/>
        <rFont val="Arial"/>
        <family val="2"/>
      </rPr>
      <t>6</t>
    </r>
    <r>
      <rPr>
        <sz val="11"/>
        <rFont val="宋体"/>
        <family val="3"/>
        <charset val="134"/>
      </rPr>
      <t>号线，路网密集度较好，交通便捷度较好。</t>
    </r>
    <phoneticPr fontId="3" type="noConversion"/>
  </si>
  <si>
    <t>该案例周边有银行（中国银行新华西街支行等）、医院（京大医院等）、超市（物美超市（西门店）等）、学校（后南仓小学等），公共配套设施齐备情况较好。</t>
    <phoneticPr fontId="3" type="noConversion"/>
  </si>
  <si>
    <t>该案例周边有银行（中国银行新华西街支行等）、医院（京大医院等）、超市（物美超市（西门店）等）、学校（后南仓小学等），公共配套设施齐备情况较好。</t>
    <phoneticPr fontId="3" type="noConversion"/>
  </si>
  <si>
    <r>
      <rPr>
        <sz val="11"/>
        <rFont val="宋体"/>
        <family val="3"/>
        <charset val="134"/>
      </rPr>
      <t>该案例周边由北京农村商业银行（永顺支行）、医院（解放军第</t>
    </r>
    <r>
      <rPr>
        <sz val="11"/>
        <rFont val="Arial"/>
        <family val="2"/>
      </rPr>
      <t>263</t>
    </r>
    <r>
      <rPr>
        <sz val="11"/>
        <rFont val="宋体"/>
        <family val="3"/>
        <charset val="134"/>
      </rPr>
      <t>医院等）、超市（京客隆超市等）、学校（通州区永顺小学等），公共配套设施齐备情况较好。</t>
    </r>
    <phoneticPr fontId="3" type="noConversion"/>
  </si>
  <si>
    <t>该案例周边有水系、西马乐园等设施，自然环境较好；周边有彩豆美术馆等人文设施，人文环境较好；综合评价环境状况较好。</t>
    <phoneticPr fontId="3" type="noConversion"/>
  </si>
  <si>
    <t>该案例周边有水系、西海子公园等设施，自然环境较好；周边有彩豆美术馆等人文设施，人文环境较好；综合评价环境状况较好。</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</si>
  <si>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</si>
  <si>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</si>
  <si>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</si>
  <si>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</si>
  <si>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</si>
  <si>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</si>
  <si>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标准写字楼</t>
  </si>
  <si>
    <t>精装修</t>
  </si>
  <si>
    <t>100-200</t>
    <phoneticPr fontId="3" type="noConversion"/>
  </si>
  <si>
    <t>150-280</t>
    <phoneticPr fontId="3" type="noConversion"/>
  </si>
  <si>
    <t>80-140</t>
    <phoneticPr fontId="3" type="noConversion"/>
  </si>
  <si>
    <t>200-300</t>
    <phoneticPr fontId="3" type="noConversion"/>
  </si>
  <si>
    <t>300-400</t>
    <phoneticPr fontId="3" type="noConversion"/>
  </si>
  <si>
    <t>400-500</t>
    <phoneticPr fontId="3" type="noConversion"/>
  </si>
  <si>
    <t>80-140</t>
    <phoneticPr fontId="3" type="noConversion"/>
  </si>
  <si>
    <t>高区</t>
    <phoneticPr fontId="3" type="noConversion"/>
  </si>
  <si>
    <t>中区</t>
    <phoneticPr fontId="3" type="noConversion"/>
  </si>
  <si>
    <t>低区</t>
    <phoneticPr fontId="3" type="noConversion"/>
  </si>
  <si>
    <t>中区</t>
  </si>
  <si>
    <t>低区</t>
  </si>
  <si>
    <t>万元/个</t>
    <phoneticPr fontId="3" type="noConversion"/>
  </si>
  <si>
    <t>08、09现房</t>
    <phoneticPr fontId="143" type="noConversion"/>
  </si>
  <si>
    <t>9BC公寓及商业在建</t>
    <phoneticPr fontId="143" type="noConversion"/>
  </si>
  <si>
    <t>08D商业在建</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</si>
  <si>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</si>
  <si>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</si>
  <si>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</si>
  <si>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</si>
  <si>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</si>
  <si>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</si>
  <si>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</si>
  <si>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</si>
  <si>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</si>
  <si>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北京市通州区运河核心区西岸</t>
    </r>
    <r>
      <rPr>
        <sz val="9"/>
        <color rgb="FFE36C0A"/>
        <rFont val="Arial"/>
        <family val="2"/>
      </rPr>
      <t>IV</t>
    </r>
    <r>
      <rPr>
        <sz val="9"/>
        <color rgb="FFE36C0A"/>
        <rFont val="华文细黑"/>
        <family val="3"/>
        <charset val="134"/>
      </rPr>
      <t>－</t>
    </r>
    <r>
      <rPr>
        <sz val="9"/>
        <color rgb="FFE36C0A"/>
        <rFont val="Arial"/>
        <family val="2"/>
      </rPr>
      <t>02</t>
    </r>
    <r>
      <rPr>
        <sz val="9"/>
        <color rgb="FFE36C0A"/>
        <rFont val="华文细黑"/>
        <family val="3"/>
        <charset val="134"/>
      </rPr>
      <t>多功能用地项目办公、商业、地下车库及仓储用房出让国有建设用地使用权及在建建筑物房地产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</si>
  <si>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05</t>
    </r>
    <r>
      <rPr>
        <sz val="9"/>
        <color rgb="FFE36C0A"/>
        <rFont val="华文细黑"/>
        <family val="3"/>
        <charset val="134"/>
      </rPr>
      <t>多功能用地项目办公、商业、地下车库及仓储用房出让国有建设用地使用权及在建建筑物房地产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</si>
  <si>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08</t>
    </r>
    <r>
      <rPr>
        <sz val="9"/>
        <color rgb="FFE36C0A"/>
        <rFont val="华文细黑"/>
        <family val="3"/>
        <charset val="134"/>
      </rPr>
      <t>多功能用地项目</t>
    </r>
    <r>
      <rPr>
        <sz val="9"/>
        <color rgb="FFE36C0A"/>
        <rFont val="Arial"/>
        <family val="2"/>
      </rPr>
      <t>8D</t>
    </r>
    <r>
      <rPr>
        <sz val="9"/>
        <color rgb="FFE36C0A"/>
        <rFont val="华文细黑"/>
        <family val="3"/>
        <charset val="134"/>
      </rPr>
      <t>商业用房出让国有建设用地使用权及在建建筑物房地产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</si>
  <si>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09</t>
    </r>
    <r>
      <rPr>
        <sz val="9"/>
        <color rgb="FFE36C0A"/>
        <rFont val="华文细黑"/>
        <family val="3"/>
        <charset val="134"/>
      </rPr>
      <t>多功能用地项目</t>
    </r>
    <r>
      <rPr>
        <sz val="9"/>
        <color rgb="FFE36C0A"/>
        <rFont val="Arial"/>
        <family val="2"/>
      </rPr>
      <t>9BC</t>
    </r>
    <r>
      <rPr>
        <sz val="9"/>
        <color rgb="FFE36C0A"/>
        <rFont val="华文细黑"/>
        <family val="3"/>
        <charset val="134"/>
      </rPr>
      <t>综合（公寓）、商业用房出让国有建设用地使用权及在建建筑物房地产</t>
    </r>
  </si>
  <si>
    <r>
      <t>北京市通州区运河核心区西岸</t>
    </r>
    <r>
      <rPr>
        <sz val="9"/>
        <color rgb="FFE36C0A"/>
        <rFont val="Arial"/>
        <family val="2"/>
      </rPr>
      <t>IV</t>
    </r>
    <r>
      <rPr>
        <sz val="9"/>
        <color rgb="FFE36C0A"/>
        <rFont val="华文细黑"/>
        <family val="3"/>
        <charset val="134"/>
      </rPr>
      <t>－</t>
    </r>
    <r>
      <rPr>
        <sz val="9"/>
        <color rgb="FFE36C0A"/>
        <rFont val="Arial"/>
        <family val="2"/>
      </rPr>
      <t>03</t>
    </r>
    <r>
      <rPr>
        <sz val="9"/>
        <color rgb="FFE36C0A"/>
        <rFont val="华文细黑"/>
        <family val="3"/>
        <charset val="134"/>
      </rPr>
      <t>多功能用地项目办公、商业、地下车库及仓储用房出让国有建设用地使用权</t>
    </r>
  </si>
  <si>
    <r>
      <t>北京市通州区运河核心区</t>
    </r>
    <r>
      <rPr>
        <sz val="9"/>
        <color rgb="FFE36C0A"/>
        <rFont val="Arial"/>
        <family val="2"/>
      </rPr>
      <t>IV</t>
    </r>
    <r>
      <rPr>
        <sz val="9"/>
        <color rgb="FFE36C0A"/>
        <rFont val="华文细黑"/>
        <family val="3"/>
        <charset val="134"/>
      </rPr>
      <t>－</t>
    </r>
    <r>
      <rPr>
        <sz val="9"/>
        <color rgb="FFE36C0A"/>
        <rFont val="Arial"/>
        <family val="2"/>
      </rPr>
      <t>08</t>
    </r>
    <r>
      <rPr>
        <sz val="9"/>
        <color rgb="FFE36C0A"/>
        <rFont val="华文细黑"/>
        <family val="3"/>
        <charset val="134"/>
      </rPr>
      <t>、</t>
    </r>
    <r>
      <rPr>
        <sz val="9"/>
        <color rgb="FFE36C0A"/>
        <rFont val="Arial"/>
        <family val="2"/>
      </rPr>
      <t>09</t>
    </r>
    <r>
      <rPr>
        <sz val="9"/>
        <color rgb="FFE36C0A"/>
        <rFont val="华文细黑"/>
        <family val="3"/>
        <charset val="134"/>
      </rPr>
      <t>多功能用地项目</t>
    </r>
    <r>
      <rPr>
        <sz val="9"/>
        <color rgb="FFE36C0A"/>
        <rFont val="Arial"/>
        <family val="2"/>
      </rPr>
      <t>8BC</t>
    </r>
    <r>
      <rPr>
        <sz val="9"/>
        <color rgb="FFE36C0A"/>
        <rFont val="华文细黑"/>
        <family val="3"/>
        <charset val="134"/>
      </rPr>
      <t>、</t>
    </r>
    <r>
      <rPr>
        <sz val="9"/>
        <color rgb="FFE36C0A"/>
        <rFont val="Arial"/>
        <family val="2"/>
      </rPr>
      <t>9A</t>
    </r>
    <r>
      <rPr>
        <sz val="9"/>
        <color rgb="FFE36C0A"/>
        <rFont val="华文细黑"/>
        <family val="3"/>
        <charset val="134"/>
      </rPr>
      <t>及地下室综合（公寓）、商业用房房地产</t>
    </r>
  </si>
  <si>
    <t>大写金额</t>
  </si>
  <si>
    <t>土地使用权证号</t>
  </si>
  <si>
    <t>建筑面积依据</t>
  </si>
  <si>
    <r>
      <t>建设内容</t>
    </r>
    <r>
      <rPr>
        <sz val="9"/>
        <color rgb="FF000000"/>
        <rFont val="Arial"/>
        <family val="2"/>
      </rPr>
      <t>/</t>
    </r>
    <r>
      <rPr>
        <sz val="9"/>
        <color rgb="FF000000"/>
        <rFont val="华文细黑"/>
        <family val="3"/>
        <charset val="134"/>
      </rPr>
      <t>楼号</t>
    </r>
  </si>
  <si>
    <t>工程进度情况</t>
  </si>
  <si>
    <t>项目名称</t>
    <phoneticPr fontId="143" type="noConversion"/>
  </si>
  <si>
    <t>《国有土地使用证》[京通国用（2014出）第00223号]</t>
  </si>
  <si>
    <t>《建设工程规划许可证》[2017规（通）建字0024]及附件、附图</t>
  </si>
  <si>
    <t>IV－02多功能用地项目</t>
    <phoneticPr fontId="143" type="noConversion"/>
  </si>
  <si>
    <t>地上办公</t>
    <phoneticPr fontId="143" type="noConversion"/>
  </si>
  <si>
    <t>地下办公</t>
    <phoneticPr fontId="143" type="noConversion"/>
  </si>
  <si>
    <t>地上商业</t>
    <phoneticPr fontId="143" type="noConversion"/>
  </si>
  <si>
    <t>仓储</t>
    <phoneticPr fontId="143" type="noConversion"/>
  </si>
  <si>
    <t>地下商业</t>
    <phoneticPr fontId="143" type="noConversion"/>
  </si>
  <si>
    <t>综合（公寓）</t>
    <phoneticPr fontId="143" type="noConversion"/>
  </si>
  <si>
    <t>地下车库</t>
    <phoneticPr fontId="143" type="noConversion"/>
  </si>
  <si>
    <t>设备用房</t>
    <phoneticPr fontId="143" type="noConversion"/>
  </si>
  <si>
    <t>《国有土地使用证》[京通国用（2014出）第00221号]</t>
  </si>
  <si>
    <t>《建设工程规划许可证》[2017规（通）建字0023]及附件、附图</t>
  </si>
  <si>
    <t>IV－05多功能用地项目</t>
    <phoneticPr fontId="143" type="noConversion"/>
  </si>
  <si>
    <t>《房屋面积测算技术报告书》</t>
  </si>
  <si>
    <t>《国有土地使用证》[京通国用（2015出）第00111号]</t>
    <phoneticPr fontId="143" type="noConversion"/>
  </si>
  <si>
    <t>8D</t>
    <phoneticPr fontId="143" type="noConversion"/>
  </si>
  <si>
    <t>《国有土地使用证》[京通国用（2015出）第00110号]</t>
    <phoneticPr fontId="143" type="noConversion"/>
  </si>
  <si>
    <t>《房屋面积测算技术报告书》</t>
    <phoneticPr fontId="143" type="noConversion"/>
  </si>
  <si>
    <t>9BC</t>
  </si>
  <si>
    <t>《国有土地使用证》[京通国用（2014出）第00222号]</t>
    <phoneticPr fontId="143" type="noConversion"/>
  </si>
  <si>
    <t>《建设工程规划许可证》[2017规（通）建字0046]及附件、附图</t>
    <phoneticPr fontId="143" type="noConversion"/>
  </si>
  <si>
    <t>IV－03多功能用地项目</t>
    <phoneticPr fontId="143" type="noConversion"/>
  </si>
  <si>
    <t>尚未出地面</t>
  </si>
  <si>
    <t>已全部建设完成</t>
  </si>
  <si>
    <t>尚未开工建设</t>
  </si>
  <si>
    <t>已取得《北京市房屋建筑和市政基础设施工程竣工验收备案表》</t>
  </si>
  <si>
    <t>《国有土地使用证》[京通国用（2015出）第00110、00111号]</t>
    <phoneticPr fontId="143" type="noConversion"/>
  </si>
  <si>
    <t>8BC、9A及地下室</t>
  </si>
  <si>
    <t>（分摊）出让国有建设用地使用权面积</t>
    <phoneticPr fontId="143" type="noConversion"/>
  </si>
  <si>
    <r>
      <t>北京市通州区运河核心区西岸</t>
    </r>
    <r>
      <rPr>
        <sz val="9"/>
        <rFont val="Arial"/>
        <family val="2"/>
      </rPr>
      <t>IV</t>
    </r>
    <r>
      <rPr>
        <sz val="9"/>
        <rFont val="华文细黑"/>
        <family val="3"/>
        <charset val="134"/>
      </rPr>
      <t>－</t>
    </r>
    <r>
      <rPr>
        <sz val="9"/>
        <rFont val="Arial"/>
        <family val="2"/>
      </rPr>
      <t>02</t>
    </r>
    <r>
      <rPr>
        <sz val="9"/>
        <rFont val="华文细黑"/>
        <family val="3"/>
        <charset val="134"/>
      </rPr>
      <t>多功能用地项目办公、商业、地下车库及仓储用房出让国有建设用地使用权及在建建筑物房地产</t>
    </r>
    <phoneticPr fontId="143" type="noConversion"/>
  </si>
  <si>
    <r>
      <t>北京市通州区运河核心区</t>
    </r>
    <r>
      <rPr>
        <sz val="9"/>
        <rFont val="Arial"/>
        <family val="2"/>
      </rPr>
      <t>IV</t>
    </r>
    <r>
      <rPr>
        <sz val="9"/>
        <rFont val="华文细黑"/>
        <family val="3"/>
        <charset val="134"/>
      </rPr>
      <t>－</t>
    </r>
    <r>
      <rPr>
        <sz val="9"/>
        <rFont val="Arial"/>
        <family val="2"/>
      </rPr>
      <t>05</t>
    </r>
    <r>
      <rPr>
        <sz val="9"/>
        <rFont val="华文细黑"/>
        <family val="3"/>
        <charset val="134"/>
      </rPr>
      <t>多功能用地项目办公、商业、地下车库及仓储用房出让国有建设用地使用权及在建建筑物房地产</t>
    </r>
    <phoneticPr fontId="143" type="noConversion"/>
  </si>
  <si>
    <t>北京市通州区运河核心区商业用房出让国有建设用地使用权及在建建筑物房地产</t>
    <phoneticPr fontId="143" type="noConversion"/>
  </si>
  <si>
    <r>
      <t>北京市通州区运河核心区</t>
    </r>
    <r>
      <rPr>
        <sz val="9"/>
        <rFont val="Arial"/>
        <family val="2"/>
      </rPr>
      <t>IV</t>
    </r>
    <r>
      <rPr>
        <sz val="9"/>
        <rFont val="华文细黑"/>
        <family val="3"/>
        <charset val="134"/>
      </rPr>
      <t>－</t>
    </r>
    <r>
      <rPr>
        <sz val="9"/>
        <rFont val="Arial"/>
        <family val="2"/>
      </rPr>
      <t>09</t>
    </r>
    <r>
      <rPr>
        <sz val="9"/>
        <rFont val="华文细黑"/>
        <family val="3"/>
        <charset val="134"/>
      </rPr>
      <t>多功能用地项目</t>
    </r>
    <r>
      <rPr>
        <sz val="9"/>
        <rFont val="Arial"/>
        <family val="2"/>
      </rPr>
      <t>9BC</t>
    </r>
    <r>
      <rPr>
        <sz val="9"/>
        <rFont val="华文细黑"/>
        <family val="3"/>
        <charset val="134"/>
      </rPr>
      <t>综合（公寓）、商业用房出让国有建设用地使用权及在建建筑物房地产</t>
    </r>
  </si>
  <si>
    <r>
      <t>北京市通州区运河核心区西岸</t>
    </r>
    <r>
      <rPr>
        <sz val="9"/>
        <rFont val="Arial"/>
        <family val="2"/>
      </rPr>
      <t>IV</t>
    </r>
    <r>
      <rPr>
        <sz val="9"/>
        <rFont val="华文细黑"/>
        <family val="3"/>
        <charset val="134"/>
      </rPr>
      <t>－</t>
    </r>
    <r>
      <rPr>
        <sz val="9"/>
        <rFont val="Arial"/>
        <family val="2"/>
      </rPr>
      <t>03</t>
    </r>
    <r>
      <rPr>
        <sz val="9"/>
        <rFont val="华文细黑"/>
        <family val="3"/>
        <charset val="134"/>
      </rPr>
      <t>多功能用地项目办公、商业、地下车库及仓储用房出让国有建设用地使用权</t>
    </r>
    <phoneticPr fontId="143" type="noConversion"/>
  </si>
  <si>
    <r>
      <t>北京市通州区运河核心区</t>
    </r>
    <r>
      <rPr>
        <sz val="9"/>
        <rFont val="Arial"/>
        <family val="2"/>
      </rPr>
      <t>IV</t>
    </r>
    <r>
      <rPr>
        <sz val="9"/>
        <rFont val="华文细黑"/>
        <family val="3"/>
        <charset val="134"/>
      </rPr>
      <t>－</t>
    </r>
    <r>
      <rPr>
        <sz val="9"/>
        <rFont val="Arial"/>
        <family val="2"/>
      </rPr>
      <t>08</t>
    </r>
    <r>
      <rPr>
        <sz val="9"/>
        <rFont val="华文细黑"/>
        <family val="3"/>
        <charset val="134"/>
      </rPr>
      <t>、</t>
    </r>
    <r>
      <rPr>
        <sz val="9"/>
        <rFont val="Arial"/>
        <family val="2"/>
      </rPr>
      <t>09</t>
    </r>
    <r>
      <rPr>
        <sz val="9"/>
        <rFont val="华文细黑"/>
        <family val="3"/>
        <charset val="134"/>
      </rPr>
      <t>多功能用地项目</t>
    </r>
    <r>
      <rPr>
        <sz val="9"/>
        <rFont val="Arial"/>
        <family val="2"/>
      </rPr>
      <t>8BC</t>
    </r>
    <r>
      <rPr>
        <sz val="9"/>
        <rFont val="华文细黑"/>
        <family val="3"/>
        <charset val="134"/>
      </rPr>
      <t>、</t>
    </r>
    <r>
      <rPr>
        <sz val="9"/>
        <rFont val="Arial"/>
        <family val="2"/>
      </rPr>
      <t>9A</t>
    </r>
    <r>
      <rPr>
        <sz val="9"/>
        <rFont val="华文细黑"/>
        <family val="3"/>
        <charset val="134"/>
      </rPr>
      <t>及地下室综合（公寓）、商业用房房地产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</si>
</sst>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
      <sz val="9"/>
      <color rgb="FF000000"/>
      <name val="华文细黑"/>
      <family val="3"/>
      <charset val="134"/>
    </font>
    <font>
      <sz val="9"/>
      <color rgb="FF000000"/>
      <name val="Arial"/>
      <family val="2"/>
    </font>
    <font>
      <sz val="9"/>
      <name val="华文细黑"/>
      <family val="3"/>
      <charset val="134"/>
    </font>
    <font>
      <sz val="9"/>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6" borderId="1" xfId="12" applyFont="1" applyFill="1" applyBorder="1" applyProtection="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59" xfId="0" applyFont="1" applyBorder="1" applyAlignment="1">
      <alignment vertical="center" wrapText="1"/>
    </xf>
    <xf numFmtId="0" fontId="258" fillId="0" borderId="157" xfId="0" applyFont="1" applyBorder="1" applyAlignment="1">
      <alignment vertical="center" wrapText="1"/>
    </xf>
    <xf numFmtId="0" fontId="257" fillId="0" borderId="159" xfId="0" applyFont="1" applyBorder="1" applyAlignment="1">
      <alignment vertical="center" wrapText="1"/>
    </xf>
    <xf numFmtId="0" fontId="256" fillId="0" borderId="159" xfId="0" applyFont="1" applyBorder="1" applyAlignment="1">
      <alignment horizontal="justify" vertical="center" wrapText="1"/>
    </xf>
    <xf numFmtId="0" fontId="256" fillId="0" borderId="156" xfId="0" applyFont="1" applyBorder="1" applyAlignment="1">
      <alignment vertical="center" wrapText="1"/>
    </xf>
    <xf numFmtId="0" fontId="256"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256" fillId="0" borderId="160" xfId="0" applyFont="1" applyBorder="1" applyAlignment="1">
      <alignment vertical="center" wrapText="1"/>
    </xf>
    <xf numFmtId="0" fontId="256" fillId="0" borderId="158"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182" fontId="256" fillId="0" borderId="161" xfId="0" applyNumberFormat="1" applyFont="1" applyBorder="1" applyAlignment="1">
      <alignment vertical="center" wrapText="1"/>
    </xf>
    <xf numFmtId="182" fontId="256" fillId="0" borderId="163" xfId="0" applyNumberFormat="1" applyFont="1" applyBorder="1" applyAlignment="1">
      <alignment vertical="center" wrapText="1"/>
    </xf>
    <xf numFmtId="0" fontId="260" fillId="0" borderId="168" xfId="0" applyFont="1" applyBorder="1" applyAlignment="1">
      <alignment horizontal="center" vertical="center"/>
    </xf>
    <xf numFmtId="0" fontId="261" fillId="0" borderId="168" xfId="0" applyFont="1" applyBorder="1" applyAlignment="1">
      <alignment horizontal="center" vertical="center" wrapText="1"/>
    </xf>
    <xf numFmtId="0" fontId="260" fillId="0" borderId="164" xfId="0" applyFont="1" applyBorder="1" applyAlignment="1">
      <alignment horizontal="center" vertical="center" wrapText="1"/>
    </xf>
    <xf numFmtId="0" fontId="260" fillId="0" borderId="165" xfId="0" applyFont="1" applyBorder="1" applyAlignment="1">
      <alignment horizontal="center" vertical="center" wrapText="1"/>
    </xf>
    <xf numFmtId="0" fontId="260" fillId="0" borderId="166" xfId="0" applyFont="1" applyBorder="1" applyAlignment="1">
      <alignment horizontal="center" vertical="center" wrapText="1"/>
    </xf>
    <xf numFmtId="0" fontId="260" fillId="0" borderId="169" xfId="0" applyFont="1" applyBorder="1" applyAlignment="1">
      <alignment horizontal="center" vertical="center"/>
    </xf>
    <xf numFmtId="0" fontId="260" fillId="0" borderId="170" xfId="0" applyFont="1" applyBorder="1" applyAlignment="1">
      <alignment horizontal="center" vertical="center"/>
    </xf>
    <xf numFmtId="0" fontId="260" fillId="0" borderId="167" xfId="0" applyFont="1" applyBorder="1" applyAlignment="1">
      <alignment horizontal="center" vertical="center"/>
    </xf>
    <xf numFmtId="0" fontId="260" fillId="0" borderId="164" xfId="0" applyFont="1" applyBorder="1" applyAlignment="1">
      <alignment horizontal="center" vertical="center"/>
    </xf>
    <xf numFmtId="0" fontId="260" fillId="0" borderId="165" xfId="0" applyFont="1" applyBorder="1" applyAlignment="1">
      <alignment horizontal="center" vertical="center"/>
    </xf>
    <xf numFmtId="0" fontId="260" fillId="0" borderId="166" xfId="0" applyFont="1" applyBorder="1" applyAlignment="1">
      <alignment horizontal="center" vertical="center"/>
    </xf>
    <xf numFmtId="0" fontId="260" fillId="0" borderId="168" xfId="0" applyFont="1" applyBorder="1" applyAlignment="1">
      <alignment horizontal="center" vertical="center" wrapText="1"/>
    </xf>
    <xf numFmtId="0" fontId="256" fillId="0" borderId="0" xfId="0" applyFont="1" applyBorder="1" applyAlignment="1">
      <alignment vertical="center" wrapText="1"/>
    </xf>
    <xf numFmtId="0" fontId="257" fillId="0" borderId="0" xfId="0" applyFont="1" applyBorder="1" applyAlignment="1">
      <alignment vertical="center" wrapText="1"/>
    </xf>
    <xf numFmtId="182" fontId="256" fillId="0" borderId="0" xfId="0" applyNumberFormat="1" applyFont="1" applyBorder="1" applyAlignment="1">
      <alignment vertical="center" wrapText="1"/>
    </xf>
    <xf numFmtId="0" fontId="262" fillId="0" borderId="164" xfId="0" applyFont="1" applyBorder="1" applyAlignment="1">
      <alignment horizontal="center" vertical="center" wrapText="1"/>
    </xf>
    <xf numFmtId="0" fontId="262" fillId="0" borderId="165" xfId="0" applyFont="1" applyBorder="1" applyAlignment="1">
      <alignment horizontal="center" vertical="center" wrapText="1"/>
    </xf>
    <xf numFmtId="0" fontId="262" fillId="0" borderId="166" xfId="0" applyFont="1" applyBorder="1" applyAlignment="1">
      <alignment horizontal="center" vertical="center" wrapText="1"/>
    </xf>
    <xf numFmtId="0" fontId="262" fillId="0" borderId="157" xfId="0" applyFont="1" applyBorder="1" applyAlignment="1">
      <alignment vertical="center" wrapText="1"/>
    </xf>
    <xf numFmtId="0" fontId="263" fillId="0" borderId="166"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8D&#22312;&#2431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22303;&#22320;&#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12289;09&#37096;&#20998;&#29616;&#2515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9&#22312;&#24314;&#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22312;&#24314;&#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409.58</v>
          </cell>
        </row>
        <row r="21">
          <cell r="F21">
            <v>4182.99</v>
          </cell>
        </row>
      </sheetData>
      <sheetData sheetId="14"/>
      <sheetData sheetId="15"/>
      <sheetData sheetId="16"/>
      <sheetData sheetId="17">
        <row r="118">
          <cell r="B118">
            <v>4182.99</v>
          </cell>
          <cell r="C118">
            <v>409.58</v>
          </cell>
          <cell r="H118">
            <v>12626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16193.67</v>
          </cell>
        </row>
        <row r="19">
          <cell r="E19">
            <v>148509</v>
          </cell>
        </row>
        <row r="20">
          <cell r="E20">
            <v>258</v>
          </cell>
        </row>
        <row r="21">
          <cell r="E21">
            <v>8402</v>
          </cell>
        </row>
        <row r="22">
          <cell r="E22">
            <v>13082.4</v>
          </cell>
        </row>
        <row r="23">
          <cell r="E23">
            <v>42769.1</v>
          </cell>
        </row>
        <row r="24">
          <cell r="E24">
            <v>500</v>
          </cell>
        </row>
        <row r="28">
          <cell r="E28">
            <v>6532.9</v>
          </cell>
        </row>
      </sheetData>
      <sheetData sheetId="14"/>
      <sheetData sheetId="15"/>
      <sheetData sheetId="16"/>
      <sheetData sheetId="17">
        <row r="118">
          <cell r="B118">
            <v>220053.4</v>
          </cell>
          <cell r="C118">
            <v>16193.67</v>
          </cell>
          <cell r="H118">
            <v>444922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及结果"/>
      <sheetName val="数据-汇总表"/>
      <sheetName val="数据-取费表"/>
      <sheetName val="估价对象房地状况"/>
      <sheetName val="系统读取表"/>
      <sheetName val="结果表"/>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row r="3">
          <cell r="A3">
            <v>2540.75</v>
          </cell>
        </row>
      </sheetData>
      <sheetData sheetId="12"/>
      <sheetData sheetId="13">
        <row r="135">
          <cell r="C135">
            <v>26242.780000000002</v>
          </cell>
          <cell r="D135">
            <v>145875</v>
          </cell>
        </row>
      </sheetData>
      <sheetData sheetId="14">
        <row r="3">
          <cell r="D3">
            <v>2540.75</v>
          </cell>
        </row>
        <row r="19">
          <cell r="E19">
            <v>705.79</v>
          </cell>
        </row>
        <row r="20">
          <cell r="E20">
            <v>3729.5800000000022</v>
          </cell>
        </row>
        <row r="21">
          <cell r="F21">
            <v>12322.49</v>
          </cell>
          <cell r="G21">
            <v>3424.56</v>
          </cell>
        </row>
        <row r="22">
          <cell r="F22">
            <v>2763.07</v>
          </cell>
          <cell r="G22">
            <v>3297.29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5108.2700000000004</v>
          </cell>
        </row>
        <row r="19">
          <cell r="F19">
            <v>45722.84</v>
          </cell>
        </row>
        <row r="21">
          <cell r="F21">
            <v>7845.89</v>
          </cell>
        </row>
      </sheetData>
      <sheetData sheetId="14"/>
      <sheetData sheetId="15"/>
      <sheetData sheetId="16"/>
      <sheetData sheetId="17">
        <row r="118">
          <cell r="B118">
            <v>53568.729999999996</v>
          </cell>
          <cell r="C118">
            <v>5108.2700000000004</v>
          </cell>
          <cell r="H118">
            <v>181750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73762</v>
          </cell>
        </row>
        <row r="20">
          <cell r="E20">
            <v>260.8</v>
          </cell>
        </row>
        <row r="21">
          <cell r="E21">
            <v>14664</v>
          </cell>
        </row>
        <row r="22">
          <cell r="E22">
            <v>1651.1</v>
          </cell>
        </row>
        <row r="23">
          <cell r="E23">
            <v>30569.3</v>
          </cell>
        </row>
        <row r="24">
          <cell r="E24">
            <v>1132.9000000000001</v>
          </cell>
        </row>
        <row r="28">
          <cell r="E28">
            <v>4330.1000000000004</v>
          </cell>
        </row>
      </sheetData>
      <sheetData sheetId="14"/>
      <sheetData sheetId="15"/>
      <sheetData sheetId="16"/>
      <sheetData sheetId="17">
        <row r="118">
          <cell r="B118">
            <v>126370.20000000001</v>
          </cell>
          <cell r="C118">
            <v>11023.92</v>
          </cell>
          <cell r="H118">
            <v>289045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估价对象为北京市出让国有建设用地使用权及在建建筑物房地产，为所有。根据《国有土地使用证》[]，估价对象（分摊）出让国有建设用地使用权面积为8949.22平方米，建筑面积为118787.11平方米。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该项目尚在开发建设中。根据《国有土地使用证》[]，估价对象（分摊）出让国有建设用地使用权面积为8949.22平方米，规划建筑面积为118787.11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2018年2月11日（评估专业人员实地查勘之日）</v>
      </c>
    </row>
    <row r="13" spans="1:2" s="1595" customFormat="1">
      <c r="A13" s="1593" t="s">
        <v>1227</v>
      </c>
      <c r="B13" s="1594" t="str">
        <f>'预评函-1'!A18</f>
        <v>本次估价的“房地产价值”是指在正常市场情况下，在价值时点2018年2月11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278763</v>
      </c>
    </row>
    <row r="21" spans="1:2" s="1595" customFormat="1">
      <c r="A21" s="1593" t="s">
        <v>1235</v>
      </c>
      <c r="B21" s="1594">
        <f ca="1">'预评函-2'!D7</f>
        <v>23467</v>
      </c>
    </row>
    <row r="22" spans="1:2" s="1595" customFormat="1">
      <c r="A22" s="1593" t="s">
        <v>1236</v>
      </c>
      <c r="B22" s="1594" t="str">
        <f ca="1">'预评函-2'!D6</f>
        <v>贰拾柒亿捌仟柒佰陆拾叁万元整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278763</v>
      </c>
    </row>
    <row r="31" spans="1:2" s="1595" customFormat="1">
      <c r="A31" s="1593" t="s">
        <v>1274</v>
      </c>
      <c r="B31" s="1594">
        <f ca="1">'预评函-2'!D15</f>
        <v>23467</v>
      </c>
    </row>
    <row r="32" spans="1:2" s="1595" customFormat="1">
      <c r="A32" s="1593" t="s">
        <v>1241</v>
      </c>
      <c r="B32" s="1594" t="str">
        <f ca="1">'预评函-2'!D14</f>
        <v>贰拾柒亿捌仟柒佰陆拾叁万元整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118787.11</v>
      </c>
    </row>
    <row r="44" spans="1:2" s="1595" customFormat="1">
      <c r="A44" s="1593" t="s">
        <v>1273</v>
      </c>
      <c r="B44" s="1594" t="str">
        <f>'预评函-3'!C2</f>
        <v>(分摊)土地面积</v>
      </c>
    </row>
    <row r="45" spans="1:2" s="1595" customFormat="1">
      <c r="A45" s="1593" t="s">
        <v>1245</v>
      </c>
      <c r="B45" s="1594">
        <f>'预评函-3'!C4</f>
        <v>8949.2199999999993</v>
      </c>
    </row>
    <row r="46" spans="1:2" s="1595" customFormat="1">
      <c r="A46" s="1593" t="s">
        <v>1271</v>
      </c>
      <c r="B46" s="1594" t="str">
        <f>'预评函-3'!D2</f>
        <v>出让国有建设用地使用权价值</v>
      </c>
    </row>
    <row r="47" spans="1:2" s="1595" customFormat="1">
      <c r="A47" s="1593" t="s">
        <v>1246</v>
      </c>
      <c r="B47" s="1594">
        <f ca="1">'预评函-3'!D4</f>
        <v>273188</v>
      </c>
    </row>
    <row r="48" spans="1:2" s="1595" customFormat="1">
      <c r="A48" s="1593" t="s">
        <v>1247</v>
      </c>
      <c r="B48" s="1594">
        <f ca="1">'预评函-3'!E4</f>
        <v>22998</v>
      </c>
    </row>
    <row r="49" spans="1:2" s="1595" customFormat="1">
      <c r="A49" s="1593" t="s">
        <v>1248</v>
      </c>
      <c r="B49" s="1594" t="str">
        <f ca="1">'预评函-3'!D5</f>
        <v>贰拾柒亿叁仟壹佰捌拾捌万元整</v>
      </c>
    </row>
    <row r="50" spans="1:2" s="1595" customFormat="1">
      <c r="A50" s="1593" t="s">
        <v>1272</v>
      </c>
      <c r="B50" s="1594" t="str">
        <f>'预评函-3'!F2</f>
        <v>在建建筑物价值</v>
      </c>
    </row>
    <row r="51" spans="1:2" s="1595" customFormat="1">
      <c r="A51" s="1593" t="s">
        <v>1249</v>
      </c>
      <c r="B51" s="1594">
        <f ca="1">'预评函-3'!F4</f>
        <v>5575</v>
      </c>
    </row>
    <row r="52" spans="1:2" s="1595" customFormat="1">
      <c r="A52" s="1593" t="s">
        <v>1250</v>
      </c>
      <c r="B52" s="1594">
        <f ca="1">'预评函-3'!G4</f>
        <v>469</v>
      </c>
    </row>
    <row r="53" spans="1:2" s="1595" customFormat="1">
      <c r="A53" s="1593" t="s">
        <v>1278</v>
      </c>
      <c r="B53" s="1594" t="str">
        <f ca="1">'预评函-3'!F5</f>
        <v>伍仟伍佰柒拾伍万元整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1144</v>
      </c>
      <c r="R1" s="2011" t="s">
        <v>1138</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1140</v>
      </c>
      <c r="S2" s="2017" t="s">
        <v>1708</v>
      </c>
      <c r="T2" s="2017" t="s">
        <v>1709</v>
      </c>
      <c r="U2" s="2017" t="s">
        <v>1708</v>
      </c>
      <c r="V2" s="2017" t="s">
        <v>1710</v>
      </c>
      <c r="W2" s="2017" t="s">
        <v>1708</v>
      </c>
    </row>
    <row r="3" spans="1:23">
      <c r="A3" s="2015" t="s">
        <v>1711</v>
      </c>
      <c r="B3" s="2018" t="s">
        <v>1145</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1139</v>
      </c>
      <c r="S3" s="2017" t="s">
        <v>1716</v>
      </c>
      <c r="T3" s="2017" t="s">
        <v>1717</v>
      </c>
      <c r="U3" s="2017" t="s">
        <v>1716</v>
      </c>
      <c r="V3" s="2017" t="s">
        <v>1718</v>
      </c>
      <c r="W3" s="2017" t="s">
        <v>1716</v>
      </c>
    </row>
    <row r="4" spans="1:23">
      <c r="A4" s="2015" t="s">
        <v>1719</v>
      </c>
      <c r="B4" s="2015" t="s">
        <v>1720</v>
      </c>
      <c r="C4" s="2016" t="s">
        <v>762</v>
      </c>
      <c r="D4" s="2017" t="s">
        <v>868</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1141</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1142</v>
      </c>
      <c r="S5" s="2017" t="s">
        <v>1731</v>
      </c>
      <c r="T5" s="2017" t="s">
        <v>1732</v>
      </c>
      <c r="U5" s="2017" t="s">
        <v>1731</v>
      </c>
      <c r="W5" s="2017" t="s">
        <v>1731</v>
      </c>
    </row>
    <row r="6" spans="1:23">
      <c r="A6" s="2015" t="s">
        <v>1733</v>
      </c>
      <c r="B6" s="2018" t="s">
        <v>1146</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1143</v>
      </c>
      <c r="S6" s="2017" t="s">
        <v>1736</v>
      </c>
      <c r="T6" s="2017"/>
      <c r="U6" s="2017" t="s">
        <v>1736</v>
      </c>
      <c r="W6" s="2017" t="s">
        <v>1736</v>
      </c>
    </row>
    <row r="7" spans="1:23">
      <c r="A7" s="2015" t="s">
        <v>1737</v>
      </c>
      <c r="B7" s="2018" t="s">
        <v>1147</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3181</v>
      </c>
      <c r="C17" s="2016"/>
    </row>
    <row r="18" spans="1:3">
      <c r="A18" s="2015" t="s">
        <v>1762</v>
      </c>
      <c r="B18" s="2015" t="s">
        <v>3182</v>
      </c>
      <c r="C18" s="2016"/>
    </row>
    <row r="19" spans="1:3">
      <c r="A19" s="2015" t="s">
        <v>1763</v>
      </c>
      <c r="B19" s="2015" t="s">
        <v>3183</v>
      </c>
      <c r="C19" s="2016"/>
    </row>
    <row r="20" spans="1:3">
      <c r="A20" s="2015" t="s">
        <v>1764</v>
      </c>
      <c r="B20" s="2015" t="s">
        <v>3185</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3" t="s">
        <v>864</v>
      </c>
      <c r="C54" s="2020" t="s">
        <v>1281</v>
      </c>
    </row>
    <row r="55" spans="1:4">
      <c r="A55" s="3020"/>
      <c r="B55" s="2023" t="s">
        <v>865</v>
      </c>
      <c r="C55" s="2020" t="s">
        <v>1282</v>
      </c>
    </row>
    <row r="56" spans="1:4">
      <c r="A56" s="3020"/>
      <c r="B56" s="2023" t="s">
        <v>866</v>
      </c>
      <c r="C56" s="2020" t="s">
        <v>1286</v>
      </c>
    </row>
    <row r="57" spans="1:4">
      <c r="A57" s="302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20" sqref="H20"/>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2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2"/>
      <c r="D1" s="3022"/>
      <c r="E1" s="3022"/>
      <c r="F1" s="3022"/>
      <c r="G1" s="3022"/>
      <c r="H1" s="3022"/>
      <c r="I1" s="302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1773</v>
      </c>
      <c r="B3" s="2037">
        <v>43142</v>
      </c>
      <c r="C3" s="2038" t="s">
        <v>1774</v>
      </c>
      <c r="D3" s="2037">
        <f>B3</f>
        <v>43142</v>
      </c>
      <c r="E3" s="2027"/>
      <c r="F3" s="2027"/>
      <c r="G3" s="2027"/>
      <c r="H3" s="2027"/>
      <c r="I3" s="2027"/>
      <c r="J3" s="2027"/>
      <c r="K3" s="2028"/>
      <c r="L3" s="2029"/>
      <c r="M3" s="2029"/>
      <c r="N3" s="2030"/>
      <c r="O3" s="2031"/>
      <c r="P3" s="2030"/>
      <c r="Q3" s="2030"/>
      <c r="R3" s="2030"/>
      <c r="S3" s="2032"/>
    </row>
    <row r="4" spans="1:19" ht="18" customHeight="1" thickBot="1">
      <c r="A4" s="2039" t="s">
        <v>1775</v>
      </c>
      <c r="B4" s="2040" t="s">
        <v>3039</v>
      </c>
      <c r="C4" s="1040">
        <f ca="1">SUMIF(注册房地产估价师,B4,估价师及机构信息!B3:B24)</f>
        <v>1120140022</v>
      </c>
      <c r="D4" s="2040" t="s">
        <v>3040</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3041</v>
      </c>
      <c r="C8" s="2057"/>
      <c r="D8" s="3024" t="s">
        <v>1780</v>
      </c>
      <c r="E8" s="2058" t="s">
        <v>3042</v>
      </c>
      <c r="F8" s="2059"/>
      <c r="G8" s="2027"/>
      <c r="H8" s="2027"/>
      <c r="I8" s="2027"/>
      <c r="J8" s="2043"/>
      <c r="K8" s="2044"/>
      <c r="L8" s="2029"/>
      <c r="M8" s="2029"/>
      <c r="N8" s="2030"/>
      <c r="O8" s="2031"/>
      <c r="P8" s="2030"/>
      <c r="Q8" s="2030"/>
      <c r="R8" s="2030"/>
    </row>
    <row r="9" spans="1:19" ht="18" customHeight="1" thickBot="1">
      <c r="A9" s="2041" t="s">
        <v>1781</v>
      </c>
      <c r="B9" s="2060" t="s">
        <v>3042</v>
      </c>
      <c r="C9" s="2061"/>
      <c r="D9" s="3025"/>
      <c r="E9" s="2060" t="s">
        <v>70</v>
      </c>
      <c r="F9" s="2062"/>
      <c r="G9" s="2063"/>
      <c r="H9" s="2063"/>
      <c r="I9" s="2063"/>
      <c r="J9" s="2043"/>
      <c r="K9" s="2055"/>
      <c r="L9" s="2029"/>
      <c r="M9" s="2029"/>
      <c r="N9" s="2030"/>
      <c r="O9" s="2031"/>
      <c r="P9" s="2030"/>
      <c r="Q9" s="2030"/>
      <c r="R9" s="2030"/>
    </row>
    <row r="10" spans="1:19" ht="18" customHeight="1" thickTop="1">
      <c r="A10" s="2064" t="s">
        <v>1782</v>
      </c>
      <c r="B10" s="2065" t="s">
        <v>3043</v>
      </c>
      <c r="C10" s="2066"/>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t="s">
        <v>3044</v>
      </c>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3045</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55225</v>
      </c>
      <c r="F13" s="2081">
        <v>58878</v>
      </c>
      <c r="G13" s="2081">
        <v>58878</v>
      </c>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50</v>
      </c>
      <c r="G14" s="1053">
        <v>50</v>
      </c>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33.1</v>
      </c>
      <c r="F15" s="1052">
        <f>IF(B12="出让",IF(F13="","",ROUNDDOWN(MIN((F13-$D$3)/365,F14),2)),F14)</f>
        <v>43.11</v>
      </c>
      <c r="G15" s="1052">
        <f>IF(B12="出让",IF(G13="","",ROUNDDOWN(MIN((G13-$D$3)/365,G14),2)),G14)</f>
        <v>43.11</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31"/>
      <c r="C16" s="3032"/>
      <c r="D16" s="3033"/>
      <c r="E16" s="2087" t="s">
        <v>1797</v>
      </c>
      <c r="F16" s="3034"/>
      <c r="G16" s="3035"/>
      <c r="H16" s="3035"/>
      <c r="I16" s="3036"/>
      <c r="J16" s="2030"/>
      <c r="K16" s="2084"/>
      <c r="L16" s="2085"/>
      <c r="M16" s="2085"/>
      <c r="N16" s="2086"/>
      <c r="O16" s="2085"/>
      <c r="P16" s="2086"/>
      <c r="Q16" s="2030"/>
      <c r="R16" s="2030"/>
    </row>
    <row r="17" spans="1:22" ht="18" customHeight="1">
      <c r="A17" s="2088" t="s">
        <v>1798</v>
      </c>
      <c r="B17" s="2036" t="s">
        <v>1799</v>
      </c>
      <c r="C17" s="1057">
        <f>'数据-汇总表'!E3</f>
        <v>118787.11</v>
      </c>
      <c r="D17" s="2089" t="s">
        <v>1800</v>
      </c>
      <c r="E17" s="3037" t="s">
        <v>1801</v>
      </c>
      <c r="F17" s="3038"/>
      <c r="G17" s="3038"/>
      <c r="H17" s="3038"/>
      <c r="I17" s="3039"/>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7">
        <f>'数据-汇总表'!D3</f>
        <v>8949.2199999999993</v>
      </c>
      <c r="D18" s="2092" t="s">
        <v>1800</v>
      </c>
      <c r="E18" s="3040" t="s">
        <v>1804</v>
      </c>
      <c r="F18" s="3041"/>
      <c r="G18" s="3041"/>
      <c r="H18" s="3041"/>
      <c r="I18" s="3042"/>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27" t="s">
        <v>1809</v>
      </c>
      <c r="C20" s="3028"/>
      <c r="D20" s="3029" t="s">
        <v>1810</v>
      </c>
      <c r="E20" s="3030"/>
      <c r="F20" s="2099" t="s">
        <v>1811</v>
      </c>
      <c r="G20" s="2043"/>
      <c r="H20" s="2043"/>
      <c r="I20" s="2043"/>
      <c r="J20" s="2043"/>
      <c r="K20" s="302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44"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44"/>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44"/>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45"/>
      <c r="B30" s="2036" t="s">
        <v>1828</v>
      </c>
      <c r="C30" s="3046"/>
      <c r="D30" s="3047"/>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8"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9"/>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9"/>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43" t="s">
        <v>1838</v>
      </c>
      <c r="T34" s="2136" t="str">
        <f>NUMBERSTRING(7-K34,1)&amp;"通"</f>
        <v>七通</v>
      </c>
      <c r="U34" s="2030"/>
      <c r="V34" s="2030"/>
    </row>
    <row r="35" spans="1:22" ht="18" customHeight="1">
      <c r="A35" s="2137"/>
      <c r="B35" s="3050" t="s">
        <v>1839</v>
      </c>
      <c r="C35" s="3050"/>
      <c r="D35" s="3050"/>
      <c r="E35" s="3050"/>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3"/>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t="s">
        <v>431</v>
      </c>
      <c r="C38" s="2144" t="s">
        <v>431</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H13" activePane="bottomRight" state="frozen"/>
      <selection activeCell="C50" sqref="C50"/>
      <selection pane="topRight" activeCell="C50" sqref="C50"/>
      <selection pane="bottomLeft" activeCell="C50" sqref="C50"/>
      <selection pane="bottomRight" activeCell="M10" sqref="M1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8949.2160000000003</v>
      </c>
      <c r="B3" s="14">
        <f>IF(C3="否",G5-AT5,G5)</f>
        <v>118787.11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118787.11</v>
      </c>
      <c r="H5" s="16">
        <f t="shared" ref="H5:AT5" si="0">SUM(H13:H656)</f>
        <v>111897.71</v>
      </c>
      <c r="I5" s="16">
        <f t="shared" si="0"/>
        <v>73762</v>
      </c>
      <c r="J5" s="16">
        <f t="shared" si="0"/>
        <v>0</v>
      </c>
      <c r="K5" s="16">
        <f t="shared" si="0"/>
        <v>10736</v>
      </c>
      <c r="L5" s="16">
        <f t="shared" si="0"/>
        <v>0</v>
      </c>
      <c r="M5" s="16">
        <f t="shared" si="0"/>
        <v>19749.8</v>
      </c>
      <c r="N5" s="16">
        <f t="shared" si="0"/>
        <v>0</v>
      </c>
      <c r="O5" s="16">
        <f t="shared" si="0"/>
        <v>5963.33</v>
      </c>
      <c r="P5" s="16">
        <f t="shared" si="0"/>
        <v>0</v>
      </c>
      <c r="Q5" s="16">
        <f t="shared" si="0"/>
        <v>285.77999999999997</v>
      </c>
      <c r="R5" s="16">
        <f t="shared" si="0"/>
        <v>0</v>
      </c>
      <c r="S5" s="16">
        <f t="shared" si="0"/>
        <v>1400.8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6889.4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6889.4</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118787.11</v>
      </c>
      <c r="BA5" s="18">
        <f t="shared" si="1"/>
        <v>111897.71</v>
      </c>
      <c r="BB5" s="18">
        <f t="shared" si="1"/>
        <v>73762</v>
      </c>
      <c r="BC5" s="18">
        <f t="shared" si="1"/>
        <v>10736</v>
      </c>
      <c r="BD5" s="18">
        <f t="shared" si="1"/>
        <v>19749.8</v>
      </c>
      <c r="BE5" s="18">
        <f t="shared" si="1"/>
        <v>5963.33</v>
      </c>
      <c r="BF5" s="18">
        <f t="shared" si="1"/>
        <v>285.77999999999997</v>
      </c>
      <c r="BG5" s="18">
        <f t="shared" si="1"/>
        <v>1400.8</v>
      </c>
      <c r="BH5" s="18">
        <f t="shared" si="1"/>
        <v>0</v>
      </c>
      <c r="BI5" s="18">
        <f t="shared" si="1"/>
        <v>0</v>
      </c>
      <c r="BJ5" s="18">
        <f t="shared" si="1"/>
        <v>0</v>
      </c>
      <c r="BK5" s="18">
        <f t="shared" si="1"/>
        <v>0</v>
      </c>
      <c r="BL5" s="18">
        <f t="shared" si="1"/>
        <v>6889.4</v>
      </c>
      <c r="BM5" s="18">
        <f t="shared" si="1"/>
        <v>0</v>
      </c>
      <c r="BN5" s="18">
        <f t="shared" si="1"/>
        <v>0</v>
      </c>
      <c r="BO5" s="18">
        <f t="shared" si="1"/>
        <v>0</v>
      </c>
      <c r="BP5" s="18">
        <f t="shared" si="1"/>
        <v>0</v>
      </c>
      <c r="BQ5" s="18">
        <f t="shared" si="1"/>
        <v>0</v>
      </c>
      <c r="BR5" s="18">
        <f t="shared" si="1"/>
        <v>6889.4</v>
      </c>
      <c r="BS5" s="18">
        <f t="shared" si="1"/>
        <v>0</v>
      </c>
      <c r="BT5" s="19">
        <f t="shared" si="1"/>
        <v>0</v>
      </c>
    </row>
    <row r="6" spans="1:72" s="2179" customFormat="1" ht="12.75">
      <c r="A6" s="15" t="s">
        <v>1876</v>
      </c>
      <c r="B6" s="2176"/>
      <c r="C6" s="2176"/>
      <c r="D6" s="2177"/>
      <c r="E6" s="16">
        <f>H6+AC6+AT6</f>
        <v>8949.2200000000012</v>
      </c>
      <c r="F6" s="16" t="s">
        <v>1</v>
      </c>
      <c r="G6" s="16" t="s">
        <v>2</v>
      </c>
      <c r="H6" s="20">
        <f>SUMIF(I$12:AB$12,"总值",I6:AB6)</f>
        <v>8430.1800000000021</v>
      </c>
      <c r="I6" s="16">
        <f t="shared" ref="I6:AB6" si="2">ROUND($A$3*I5/$B$3,2)</f>
        <v>5557.1</v>
      </c>
      <c r="J6" s="16">
        <f t="shared" si="2"/>
        <v>0</v>
      </c>
      <c r="K6" s="16">
        <f t="shared" si="2"/>
        <v>808.83</v>
      </c>
      <c r="L6" s="16">
        <f t="shared" si="2"/>
        <v>0</v>
      </c>
      <c r="M6" s="16">
        <f t="shared" si="2"/>
        <v>1487.92</v>
      </c>
      <c r="N6" s="16">
        <f t="shared" si="2"/>
        <v>0</v>
      </c>
      <c r="O6" s="16">
        <f t="shared" si="2"/>
        <v>449.27</v>
      </c>
      <c r="P6" s="16">
        <f t="shared" si="2"/>
        <v>0</v>
      </c>
      <c r="Q6" s="16">
        <f t="shared" si="2"/>
        <v>21.53</v>
      </c>
      <c r="R6" s="16">
        <f t="shared" si="2"/>
        <v>0</v>
      </c>
      <c r="S6" s="16">
        <f t="shared" si="2"/>
        <v>105.53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519.04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519.04</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8949.2199999999993</v>
      </c>
      <c r="AZ6" s="16" t="s">
        <v>3</v>
      </c>
      <c r="BA6" s="16">
        <f>ROUND($AY$6*BA5/$AZ$5,2)</f>
        <v>8430.18</v>
      </c>
      <c r="BB6" s="16">
        <f>ROUND($AY$6*BB5/$AZ$5,2)</f>
        <v>5557.1</v>
      </c>
      <c r="BC6" s="16">
        <f t="shared" ref="BC6:BH6" si="4">ROUND($AY$6*BC5/$AZ$5,2)</f>
        <v>808.83</v>
      </c>
      <c r="BD6" s="16">
        <f t="shared" si="4"/>
        <v>1487.92</v>
      </c>
      <c r="BE6" s="16">
        <f t="shared" si="4"/>
        <v>449.27</v>
      </c>
      <c r="BF6" s="16">
        <f t="shared" si="4"/>
        <v>21.53</v>
      </c>
      <c r="BG6" s="16">
        <f t="shared" si="4"/>
        <v>105.53</v>
      </c>
      <c r="BH6" s="16">
        <f t="shared" si="4"/>
        <v>0</v>
      </c>
      <c r="BI6" s="16">
        <f t="shared" ref="BI6:BT6" si="5">ROUND($AY$6*BI5/$AZ$5,2)</f>
        <v>0</v>
      </c>
      <c r="BJ6" s="16">
        <f t="shared" si="5"/>
        <v>0</v>
      </c>
      <c r="BK6" s="16">
        <f t="shared" si="5"/>
        <v>0</v>
      </c>
      <c r="BL6" s="16">
        <f t="shared" si="5"/>
        <v>519.04</v>
      </c>
      <c r="BM6" s="16">
        <f t="shared" si="5"/>
        <v>0</v>
      </c>
      <c r="BN6" s="16">
        <f t="shared" si="5"/>
        <v>0</v>
      </c>
      <c r="BO6" s="16">
        <f t="shared" si="5"/>
        <v>0</v>
      </c>
      <c r="BP6" s="16">
        <f t="shared" si="5"/>
        <v>0</v>
      </c>
      <c r="BQ6" s="16">
        <f t="shared" si="5"/>
        <v>0</v>
      </c>
      <c r="BR6" s="16">
        <f t="shared" si="5"/>
        <v>519.04</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5"/>
      <c r="H9" s="2192" t="s">
        <v>1895</v>
      </c>
      <c r="I9" s="2193" t="s">
        <v>3048</v>
      </c>
      <c r="J9" s="984"/>
      <c r="K9" s="2193" t="s">
        <v>3048</v>
      </c>
      <c r="L9" s="984"/>
      <c r="M9" s="2193" t="s">
        <v>3050</v>
      </c>
      <c r="N9" s="984"/>
      <c r="O9" s="2193" t="s">
        <v>3050</v>
      </c>
      <c r="P9" s="984"/>
      <c r="Q9" s="2193" t="s">
        <v>3050</v>
      </c>
      <c r="R9" s="984"/>
      <c r="S9" s="2193" t="s">
        <v>3050</v>
      </c>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2.75">
      <c r="A10" s="2184"/>
      <c r="B10" s="2184"/>
      <c r="C10" s="2184"/>
      <c r="D10" s="2184"/>
      <c r="E10" s="2184"/>
      <c r="F10" s="2184"/>
      <c r="G10" s="1295"/>
      <c r="H10" s="28"/>
      <c r="I10" s="2193" t="s">
        <v>27</v>
      </c>
      <c r="J10" s="984"/>
      <c r="K10" s="2199" t="s">
        <v>1371</v>
      </c>
      <c r="L10" s="984"/>
      <c r="M10" s="2199" t="s">
        <v>3157</v>
      </c>
      <c r="N10" s="984"/>
      <c r="O10" s="2199" t="s">
        <v>1371</v>
      </c>
      <c r="P10" s="984"/>
      <c r="Q10" s="2199" t="s">
        <v>27</v>
      </c>
      <c r="R10" s="984"/>
      <c r="S10" s="2199" t="s">
        <v>3057</v>
      </c>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办公</v>
      </c>
      <c r="BC11" s="2189" t="str">
        <f>K10</f>
        <v>商业</v>
      </c>
      <c r="BD11" s="2189" t="str">
        <f>M10</f>
        <v>车库—办公</v>
      </c>
      <c r="BE11" s="2189" t="str">
        <f>O10</f>
        <v>商业</v>
      </c>
      <c r="BF11" s="2189" t="str">
        <f>Q10</f>
        <v>办公</v>
      </c>
      <c r="BG11" s="2189" t="str">
        <f>S10</f>
        <v>仓储</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2155" t="s">
        <v>3046</v>
      </c>
      <c r="D13" s="2215" t="s">
        <v>3047</v>
      </c>
      <c r="E13" s="16">
        <f>IF($C$3="是",ROUND($A$3*G13/$B$3,2),ROUND($A$3*(G13-AT13)/$B$3,2))</f>
        <v>5557.1</v>
      </c>
      <c r="F13" s="32"/>
      <c r="G13" s="33">
        <f>H13+AC13+AT13</f>
        <v>73762</v>
      </c>
      <c r="H13" s="20">
        <f>SUMIF(I$12:AB$12,"总值",I13:AB13)</f>
        <v>73762</v>
      </c>
      <c r="I13" s="2216">
        <v>73762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5A商务办公楼</v>
      </c>
      <c r="AY13" s="1807">
        <f>ROUND($AY$6*AZ13/$AZ$5,2)</f>
        <v>5557.1</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3049</v>
      </c>
      <c r="D14" s="2215" t="s">
        <v>3047</v>
      </c>
      <c r="E14" s="16">
        <f>IF($C$3="是",ROUND($A$3*G14/$B$3,2),ROUND($A$3*(G14-AT14)/$B$3,2))</f>
        <v>808.83</v>
      </c>
      <c r="F14" s="32"/>
      <c r="G14" s="33">
        <f>H14+AC14+AT14</f>
        <v>10736</v>
      </c>
      <c r="H14" s="20">
        <f>SUMIF(I$12:AB$12,"总值",I14:AB14)</f>
        <v>10736</v>
      </c>
      <c r="I14" s="2216"/>
      <c r="J14" s="2216"/>
      <c r="K14" s="2216">
        <v>10736</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5B商业用房</v>
      </c>
      <c r="AY14" s="1807">
        <f>ROUND($AY$6*AZ14/$AZ$5,2)</f>
        <v>808.83</v>
      </c>
      <c r="AZ14" s="16">
        <f>BA14+BL14</f>
        <v>10736</v>
      </c>
      <c r="BA14" s="16">
        <f>SUM(BB14:BK14)</f>
        <v>10736</v>
      </c>
      <c r="BB14" s="16">
        <f>IF($D14="是",I14-J14,0)</f>
        <v>0</v>
      </c>
      <c r="BC14" s="16">
        <f>IF($D14="是",K14-L14,0)</f>
        <v>10736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949" t="s">
        <v>3051</v>
      </c>
      <c r="D15" s="2215" t="s">
        <v>3047</v>
      </c>
      <c r="E15" s="16">
        <f>IF($C$3="是",ROUND($A$3*G15/$B$3,2),ROUND($A$3*(G15-AT15)/$B$3,2))</f>
        <v>519.04</v>
      </c>
      <c r="F15" s="32"/>
      <c r="G15" s="33">
        <f>H15+AC15+AT15</f>
        <v>6889.4</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6889.4</v>
      </c>
      <c r="AD15" s="2217"/>
      <c r="AE15" s="2217"/>
      <c r="AF15" s="2217"/>
      <c r="AG15" s="2217"/>
      <c r="AH15" s="2217"/>
      <c r="AI15" s="2217"/>
      <c r="AJ15" s="2217"/>
      <c r="AK15" s="2217"/>
      <c r="AL15" s="2217"/>
      <c r="AM15" s="2217"/>
      <c r="AN15" s="2217">
        <v>6889.4</v>
      </c>
      <c r="AO15" s="2217"/>
      <c r="AP15" s="2217"/>
      <c r="AQ15" s="2217"/>
      <c r="AR15" s="2217"/>
      <c r="AS15" s="2217"/>
      <c r="AT15" s="2218"/>
      <c r="AU15" s="2219"/>
      <c r="AV15" s="11">
        <f t="shared" si="6"/>
        <v>0</v>
      </c>
      <c r="AW15" s="11">
        <f t="shared" si="6"/>
        <v>0</v>
      </c>
      <c r="AX15" s="11" t="str">
        <f t="shared" si="6"/>
        <v>设备机房</v>
      </c>
      <c r="AY15" s="1807">
        <f>ROUND($AY$6*AZ15/$AZ$5,2)</f>
        <v>519.04</v>
      </c>
      <c r="AZ15" s="16">
        <f>BA15+BL15</f>
        <v>6889.4</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6889.4</v>
      </c>
      <c r="BM15" s="16">
        <f>IF($D15="是",AD15-AE15,0)</f>
        <v>0</v>
      </c>
      <c r="BN15" s="16">
        <f>IF($D15="是",AF15-AG15,0)</f>
        <v>0</v>
      </c>
      <c r="BO15" s="16">
        <f>IF($D15="是",AH15-AI15,0)</f>
        <v>0</v>
      </c>
      <c r="BP15" s="16">
        <f>IF($D15="是",AJ15-AK15,0)</f>
        <v>0</v>
      </c>
      <c r="BQ15" s="16">
        <f>IF($D15="是",AL15-AM15,0)</f>
        <v>0</v>
      </c>
      <c r="BR15" s="16">
        <f>IF($D15="是",AN15-AO15,0)</f>
        <v>6889.4</v>
      </c>
      <c r="BS15" s="16">
        <f>IF($D15="是",AP15-AQ15,0)</f>
        <v>0</v>
      </c>
      <c r="BT15" s="22">
        <f>IF($D15="是",AR15-AS15,0)</f>
        <v>0</v>
      </c>
    </row>
    <row r="16" spans="1:72" s="2169" customFormat="1" ht="12.75">
      <c r="A16" s="1275"/>
      <c r="B16" s="1275"/>
      <c r="C16" s="2949" t="s">
        <v>3052</v>
      </c>
      <c r="D16" s="2215" t="s">
        <v>3047</v>
      </c>
      <c r="E16" s="16">
        <f>IF($C$3="是",ROUND($A$3*G16/$B$3,2),ROUND($A$3*(G16-AT16)/$B$3,2))</f>
        <v>1487.92</v>
      </c>
      <c r="F16" s="32"/>
      <c r="G16" s="33">
        <f>H16+AC16+AT16</f>
        <v>19749.8</v>
      </c>
      <c r="H16" s="20">
        <f>SUMIF(I$12:AB$12,"总值",I16:AB16)</f>
        <v>19749.8</v>
      </c>
      <c r="I16" s="2216"/>
      <c r="J16" s="2216"/>
      <c r="K16" s="2216"/>
      <c r="L16" s="2216"/>
      <c r="M16" s="2216">
        <v>19749.8</v>
      </c>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停车库</v>
      </c>
      <c r="AY16" s="1807">
        <f>ROUND($AY$6*AZ16/$AZ$5,2)</f>
        <v>1487.92</v>
      </c>
      <c r="AZ16" s="16">
        <f>BA16+BL16</f>
        <v>19749.8</v>
      </c>
      <c r="BA16" s="16">
        <f>SUM(BB16:BK16)</f>
        <v>19749.8</v>
      </c>
      <c r="BB16" s="16">
        <f>IF($D16="是",I16-J16,0)</f>
        <v>0</v>
      </c>
      <c r="BC16" s="16">
        <f>IF($D16="是",K16-L16,0)</f>
        <v>0</v>
      </c>
      <c r="BD16" s="16">
        <f>IF($D16="是",M16-N16,0)</f>
        <v>19749.8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949" t="s">
        <v>3053</v>
      </c>
      <c r="D17" s="2215" t="s">
        <v>3047</v>
      </c>
      <c r="E17" s="16">
        <f>IF($C$3="是",ROUND($A$3*G17/$B$3,2),ROUND($A$3*(G17-AT17)/$B$3,2))</f>
        <v>449.27</v>
      </c>
      <c r="F17" s="32"/>
      <c r="G17" s="33">
        <f>H17+AC17+AT17</f>
        <v>5963.33</v>
      </c>
      <c r="H17" s="20">
        <f>SUMIF(I$12:AB$12,"总值",I17:AB17)</f>
        <v>5963.33</v>
      </c>
      <c r="I17" s="2216"/>
      <c r="J17" s="2216"/>
      <c r="K17" s="2216"/>
      <c r="L17" s="2216"/>
      <c r="M17" s="2216"/>
      <c r="N17" s="2216"/>
      <c r="O17" s="2216">
        <v>5963.33</v>
      </c>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商业用房</v>
      </c>
      <c r="AY17" s="1807">
        <f>ROUND($AY$6*AZ17/$AZ$5,2)</f>
        <v>449.27</v>
      </c>
      <c r="AZ17" s="16">
        <f>BA17+BL17</f>
        <v>5963.33</v>
      </c>
      <c r="BA17" s="16">
        <f>SUM(BB17:BK17)</f>
        <v>5963.33</v>
      </c>
      <c r="BB17" s="16">
        <f>IF($D17="是",I17-J17,0)</f>
        <v>0</v>
      </c>
      <c r="BC17" s="16">
        <f>IF($D17="是",K17-L17,0)</f>
        <v>0</v>
      </c>
      <c r="BD17" s="16">
        <f>IF($D17="是",M17-N17,0)</f>
        <v>0</v>
      </c>
      <c r="BE17" s="16">
        <f>IF($D17="是",O17-P17,0)</f>
        <v>5963.33</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t="s">
        <v>3054</v>
      </c>
      <c r="D18" s="2215" t="s">
        <v>3047</v>
      </c>
      <c r="E18" s="35">
        <f t="shared" ref="E18:E112" si="7">IF($C$3="是",ROUND($A$3*G18/$B$3,2),ROUND($A$3*(G18-AT18)/$B$3,2))</f>
        <v>21.53</v>
      </c>
      <c r="F18" s="36"/>
      <c r="G18" s="37">
        <f t="shared" ref="G18:G109" si="8">H18+AC18+AT18</f>
        <v>285.77999999999997</v>
      </c>
      <c r="H18" s="38">
        <f t="shared" ref="H18:H109" si="9">SUMIF(I$12:AB$12,"总值",I18:AB18)</f>
        <v>285.77999999999997</v>
      </c>
      <c r="I18" s="39"/>
      <c r="J18" s="39"/>
      <c r="K18" s="39"/>
      <c r="L18" s="39"/>
      <c r="M18" s="39"/>
      <c r="N18" s="39"/>
      <c r="O18" s="39"/>
      <c r="P18" s="39"/>
      <c r="Q18" s="39">
        <v>285.77999999999997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t="str">
        <f t="shared" ref="AX18:AX112" si="13">C18</f>
        <v>办公用房</v>
      </c>
      <c r="AY18" s="42">
        <f t="shared" ref="AY18:AY109" si="14">ROUND($AY$6*AZ18/$AZ$5,2)</f>
        <v>21.53</v>
      </c>
      <c r="AZ18" s="35">
        <f t="shared" ref="AZ18:AZ109" si="15">BA18+BL18</f>
        <v>285.77999999999997</v>
      </c>
      <c r="BA18" s="35">
        <f t="shared" ref="BA18:BA109" si="16">SUM(BB18:BK18)</f>
        <v>285.77999999999997</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285.77999999999997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3055</v>
      </c>
      <c r="D19" s="2215" t="s">
        <v>3047</v>
      </c>
      <c r="E19" s="35">
        <f t="shared" si="7"/>
        <v>105.53</v>
      </c>
      <c r="F19" s="36"/>
      <c r="G19" s="37">
        <f t="shared" si="8"/>
        <v>1400.8</v>
      </c>
      <c r="H19" s="38">
        <f t="shared" si="9"/>
        <v>1400.8</v>
      </c>
      <c r="I19" s="39"/>
      <c r="J19" s="39"/>
      <c r="K19" s="39"/>
      <c r="L19" s="39"/>
      <c r="M19" s="39"/>
      <c r="N19" s="39"/>
      <c r="O19" s="39"/>
      <c r="P19" s="39"/>
      <c r="Q19" s="39"/>
      <c r="R19" s="39"/>
      <c r="S19" s="39">
        <v>1400.8</v>
      </c>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t="str">
        <f t="shared" si="13"/>
        <v>库房</v>
      </c>
      <c r="AY19" s="42">
        <f t="shared" si="14"/>
        <v>105.53</v>
      </c>
      <c r="AZ19" s="35">
        <f t="shared" si="15"/>
        <v>1400.8</v>
      </c>
      <c r="BA19" s="35">
        <f t="shared" si="16"/>
        <v>1400.8</v>
      </c>
      <c r="BB19" s="35">
        <f t="shared" si="17"/>
        <v>0</v>
      </c>
      <c r="BC19" s="35">
        <f t="shared" si="18"/>
        <v>0</v>
      </c>
      <c r="BD19" s="35">
        <f t="shared" si="19"/>
        <v>0</v>
      </c>
      <c r="BE19" s="35">
        <f t="shared" si="20"/>
        <v>0</v>
      </c>
      <c r="BF19" s="35">
        <f t="shared" si="21"/>
        <v>0</v>
      </c>
      <c r="BG19" s="35">
        <f t="shared" si="22"/>
        <v>1400.8</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t="s">
        <v>3047</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t="s">
        <v>3047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t="s">
        <v>3047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t="s">
        <v>3047</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t="s">
        <v>3047</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t="s">
        <v>3047</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t="s">
        <v>3047</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E24"/>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62" t="s">
        <v>1935</v>
      </c>
      <c r="B2" s="3062"/>
      <c r="C2" s="3062"/>
      <c r="D2" s="970" t="s">
        <v>1911</v>
      </c>
      <c r="E2" s="2229" t="s">
        <v>1912</v>
      </c>
      <c r="F2" s="1395"/>
      <c r="G2" s="2230"/>
      <c r="H2" s="2231"/>
      <c r="I2" s="2232" t="s">
        <v>1936</v>
      </c>
      <c r="J2" s="1395"/>
      <c r="K2" s="1395"/>
      <c r="L2" s="1395"/>
      <c r="M2" s="1395"/>
      <c r="N2" s="1430"/>
      <c r="O2" s="1395"/>
      <c r="P2" s="1395"/>
    </row>
    <row r="3" spans="1:16" ht="15.75" thickBot="1">
      <c r="A3" s="3063" t="s">
        <v>1909</v>
      </c>
      <c r="B3" s="3063"/>
      <c r="C3" s="3063"/>
      <c r="D3" s="46">
        <f>'数据-基础表'!AY6</f>
        <v>8949.2199999999993</v>
      </c>
      <c r="E3" s="46">
        <f>'数据-基础表'!AZ5</f>
        <v>118787.11</v>
      </c>
      <c r="F3" s="1395"/>
      <c r="G3" s="1402"/>
      <c r="H3" s="1250" t="s">
        <v>1910</v>
      </c>
      <c r="I3" s="55">
        <f>ROUND('数据-基础表'!B3/'数据-基础表'!A3,2)</f>
        <v>13.27</v>
      </c>
      <c r="J3" s="1395"/>
      <c r="K3" s="1395"/>
      <c r="L3" s="1395"/>
      <c r="M3" s="1395"/>
      <c r="N3" s="1430"/>
      <c r="O3" s="1395"/>
      <c r="P3" s="1395"/>
    </row>
    <row r="4" spans="1:16" ht="15">
      <c r="A4" s="3064"/>
      <c r="B4" s="3065"/>
      <c r="C4" s="3066"/>
      <c r="D4" s="2233" t="s">
        <v>1911</v>
      </c>
      <c r="E4" s="2234" t="s">
        <v>1912</v>
      </c>
      <c r="F4" s="1395"/>
      <c r="G4" s="2235" t="s">
        <v>1937</v>
      </c>
      <c r="H4" s="1250" t="s">
        <v>1917</v>
      </c>
      <c r="I4" s="55">
        <f>ROUND(SUMIF('数据-基础表'!I9:AS9,"地上",'数据-基础表'!I5:AS5)/'数据-基础表'!A3,2)</f>
        <v>9.44</v>
      </c>
      <c r="J4" s="1395"/>
      <c r="K4" s="1395"/>
      <c r="L4" s="1395"/>
      <c r="M4" s="1395"/>
      <c r="N4" s="1430"/>
      <c r="O4" s="1395"/>
      <c r="P4" s="1395"/>
    </row>
    <row r="5" spans="1:16">
      <c r="A5" s="47" t="s">
        <v>1913</v>
      </c>
      <c r="B5" s="3067" t="s">
        <v>1914</v>
      </c>
      <c r="C5" s="3067"/>
      <c r="D5" s="48">
        <f>ROUND($D$3*E5/$E$3,2)</f>
        <v>0</v>
      </c>
      <c r="E5" s="49">
        <f>SUMIF('数据-基础表'!$11:$11,"住宅",'数据-基础表'!$5:$5)</f>
        <v>0</v>
      </c>
      <c r="F5" s="1395"/>
      <c r="G5" s="1402"/>
      <c r="H5" s="1250" t="s">
        <v>1910</v>
      </c>
      <c r="I5" s="55">
        <f>ROUND(E31/D31,2)</f>
        <v>13.27</v>
      </c>
      <c r="J5" s="1395"/>
      <c r="K5" s="1395"/>
      <c r="L5" s="1395"/>
      <c r="M5" s="1395"/>
      <c r="N5" s="1395"/>
      <c r="O5" s="1395"/>
      <c r="P5" s="1395"/>
    </row>
    <row r="6" spans="1:16" ht="15" thickBot="1">
      <c r="A6" s="2236"/>
      <c r="B6" s="3067" t="s">
        <v>1915</v>
      </c>
      <c r="C6" s="3067"/>
      <c r="D6" s="48">
        <f>ROUND($D$3*E6/$E$3,2)</f>
        <v>8949.2199999999993</v>
      </c>
      <c r="E6" s="49">
        <f>E3-E5</f>
        <v>118787.11</v>
      </c>
      <c r="F6" s="1395"/>
      <c r="G6" s="2237" t="s">
        <v>1916</v>
      </c>
      <c r="H6" s="1402" t="s">
        <v>1917</v>
      </c>
      <c r="I6" s="942">
        <f>ROUND(F31/D31,2)</f>
        <v>9.44</v>
      </c>
      <c r="J6" s="1395"/>
      <c r="K6" s="1395"/>
      <c r="L6" s="1395"/>
      <c r="M6" s="1395"/>
      <c r="N6" s="1395"/>
      <c r="O6" s="1395"/>
      <c r="P6" s="1395"/>
    </row>
    <row r="7" spans="1:16" ht="15">
      <c r="A7" s="3059"/>
      <c r="B7" s="3060"/>
      <c r="C7" s="3061"/>
      <c r="D7" s="2233" t="s">
        <v>1911</v>
      </c>
      <c r="E7" s="2238" t="s">
        <v>1918</v>
      </c>
      <c r="F7" s="1395"/>
      <c r="G7" s="2230" t="s">
        <v>1919</v>
      </c>
      <c r="H7" s="64"/>
      <c r="I7" s="420">
        <f>I6</f>
        <v>9.44</v>
      </c>
      <c r="J7" s="1395"/>
      <c r="K7" s="1395"/>
      <c r="L7" s="1395"/>
      <c r="M7" s="1395"/>
      <c r="N7" s="1395"/>
      <c r="O7" s="1395"/>
      <c r="P7" s="1395"/>
    </row>
    <row r="8" spans="1:16">
      <c r="A8" s="47" t="s">
        <v>1920</v>
      </c>
      <c r="B8" s="50" t="s">
        <v>1921</v>
      </c>
      <c r="C8" s="48" t="s">
        <v>1922</v>
      </c>
      <c r="D8" s="48">
        <f t="shared" ref="D8:D15" si="0">ROUND($D$3*E8/$E$3,2)</f>
        <v>6365.94</v>
      </c>
      <c r="E8" s="51">
        <f>SUMIF('数据-基础表'!BB10:BK10,"地上",'数据-基础表'!BB5:BK5)</f>
        <v>84498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449.27</v>
      </c>
      <c r="E10" s="51">
        <f>SUMPRODUCT(('数据-基础表'!BB10:BK10="地下")*('数据-基础表'!BB11:BK11="商业")*('数据-基础表'!BB5:BK5))</f>
        <v>5963.33</v>
      </c>
      <c r="F10" s="1395"/>
      <c r="G10" s="2239"/>
      <c r="H10" s="2239"/>
      <c r="I10" s="1395"/>
      <c r="J10" s="1395"/>
      <c r="K10" s="1395"/>
      <c r="L10" s="1395"/>
      <c r="M10" s="1395"/>
      <c r="N10" s="1395"/>
      <c r="O10" s="1395"/>
      <c r="P10" s="1395"/>
    </row>
    <row r="11" spans="1:16">
      <c r="A11" s="2240"/>
      <c r="B11" s="2241"/>
      <c r="C11" s="48" t="s">
        <v>1924</v>
      </c>
      <c r="D11" s="48">
        <f t="shared" si="0"/>
        <v>21.53</v>
      </c>
      <c r="E11" s="51">
        <f>SUMPRODUCT(('数据-基础表'!BB10:BK10="地下")*('数据-基础表'!BB11:BK11="办公")*('数据-基础表'!BB5:BK5))+'数据-基础表'!BP5</f>
        <v>285.77999999999997</v>
      </c>
      <c r="F11" s="1395"/>
      <c r="G11" s="2239"/>
      <c r="H11" s="2239"/>
      <c r="I11" s="1395"/>
      <c r="J11" s="1395"/>
      <c r="K11" s="1395"/>
      <c r="L11" s="1395"/>
      <c r="M11" s="1395"/>
      <c r="N11" s="1395"/>
      <c r="O11" s="1395"/>
      <c r="P11" s="1395"/>
    </row>
    <row r="12" spans="1:16">
      <c r="A12" s="2240"/>
      <c r="B12" s="2241"/>
      <c r="C12" s="48" t="s">
        <v>1925</v>
      </c>
      <c r="D12" s="48">
        <f t="shared" si="0"/>
        <v>105.53</v>
      </c>
      <c r="E12" s="51">
        <f>SUMPRODUCT(('数据-基础表'!BB10:BK10="地下")*('数据-基础表'!BB11:BK11="仓储")*('数据-基础表'!BB5:BK5))</f>
        <v>1400.8</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1487.92</v>
      </c>
      <c r="E15" s="51">
        <f>SUMPRODUCT(('数据-基础表'!BB10:BK10="地下")*('数据-基础表'!BB11:BK11="车库—办公")*('数据-基础表'!BB5:BK5))</f>
        <v>19749.8</v>
      </c>
      <c r="F15" s="1395"/>
      <c r="G15" s="2239"/>
      <c r="H15" s="2239"/>
      <c r="I15" s="1395"/>
      <c r="J15" s="1395"/>
      <c r="K15" s="1395"/>
      <c r="L15" s="1395"/>
      <c r="M15" s="1395"/>
      <c r="N15" s="1395"/>
      <c r="O15" s="1395"/>
      <c r="P15" s="1395"/>
    </row>
    <row r="16" spans="1:16" ht="15.75" thickBot="1">
      <c r="A16" s="2236"/>
      <c r="B16" s="2241"/>
      <c r="C16" s="50" t="s">
        <v>1927</v>
      </c>
      <c r="D16" s="50">
        <f>SUM(D8:D15)</f>
        <v>8430.1899999999987</v>
      </c>
      <c r="E16" s="53">
        <f>SUM(E8:E15)</f>
        <v>111897.71</v>
      </c>
      <c r="F16" s="1395"/>
      <c r="G16" s="2239"/>
      <c r="H16" s="2242" t="s">
        <v>1939</v>
      </c>
      <c r="I16" s="2243"/>
      <c r="J16" s="1395"/>
      <c r="K16" s="3056" t="s">
        <v>1939</v>
      </c>
      <c r="L16" s="3057"/>
      <c r="M16" s="3057"/>
      <c r="N16" s="3057"/>
      <c r="O16" s="3057"/>
      <c r="P16" s="3058"/>
    </row>
    <row r="17" spans="1:19" ht="15">
      <c r="A17" s="2244" t="s">
        <v>1940</v>
      </c>
      <c r="B17" s="2245" t="s">
        <v>1941</v>
      </c>
      <c r="C17" s="2246" t="s">
        <v>1942</v>
      </c>
      <c r="D17" s="2247" t="s">
        <v>1930</v>
      </c>
      <c r="E17" s="2248" t="s">
        <v>1931</v>
      </c>
      <c r="F17" s="2249"/>
      <c r="G17" s="2250"/>
      <c r="H17" s="2251" t="s">
        <v>1943</v>
      </c>
      <c r="I17" s="2252" t="s">
        <v>1928</v>
      </c>
      <c r="J17" s="1395"/>
      <c r="K17" s="3053" t="s">
        <v>1944</v>
      </c>
      <c r="L17" s="3054"/>
      <c r="M17" s="3055"/>
      <c r="N17" s="3053" t="s">
        <v>1945</v>
      </c>
      <c r="O17" s="3054"/>
      <c r="P17" s="3055"/>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1" t="s">
        <v>3060</v>
      </c>
      <c r="D19" s="48">
        <f>ROUND($D$3*E19/$E$3,2)</f>
        <v>5557.1</v>
      </c>
      <c r="E19" s="56">
        <f t="shared" ref="E19:E26" si="1">SUM(F19:G19)</f>
        <v>73762</v>
      </c>
      <c r="F19" s="57">
        <f>'数据-基础表'!I13</f>
        <v>73762</v>
      </c>
      <c r="G19" s="58"/>
      <c r="H19" s="723">
        <f>ROUND($D$3*I19/$E$3,2)</f>
        <v>342.14</v>
      </c>
      <c r="I19" s="51">
        <f t="shared" ref="I19:I26" si="2">IF($I$17="自定义",P19,M19)</f>
        <v>4541.43</v>
      </c>
      <c r="J19" s="1395"/>
      <c r="K19" s="1394">
        <f t="shared" ref="K19:K26" si="3">ROUND(E$28*E19/E$27,2)</f>
        <v>4541.43</v>
      </c>
      <c r="L19" s="1250">
        <f t="shared" ref="L19:L26" si="4">ROUND(IF(COUNTIF(C19,"*住宅*")&gt;0,E$29*E19/E$32,0),2)</f>
        <v>0</v>
      </c>
      <c r="M19" s="1406">
        <f>K19+L19</f>
        <v>4541.43</v>
      </c>
      <c r="N19" s="2262"/>
      <c r="O19" s="2263"/>
      <c r="P19" s="1406">
        <f>N19+O19</f>
        <v>0</v>
      </c>
      <c r="R19" s="1250">
        <f t="shared" ref="R19:S26" si="5">D19+H19</f>
        <v>5899.2400000000007</v>
      </c>
      <c r="S19" s="1251">
        <f t="shared" si="5"/>
        <v>78303.429999999993</v>
      </c>
    </row>
    <row r="20" spans="1:19">
      <c r="A20" s="2264"/>
      <c r="B20" s="50" t="s">
        <v>1957</v>
      </c>
      <c r="C20" s="2951" t="s">
        <v>3062</v>
      </c>
      <c r="D20" s="48">
        <f t="shared" ref="D20:D26" si="6">ROUND($D$3*E20/$E$3,2)</f>
        <v>21.53</v>
      </c>
      <c r="E20" s="56">
        <f t="shared" si="1"/>
        <v>285.77999999999997</v>
      </c>
      <c r="F20" s="57"/>
      <c r="G20" s="58">
        <f>'数据-基础表'!H18</f>
        <v>285.77999999999997</v>
      </c>
      <c r="H20" s="723">
        <f t="shared" ref="H20:H26" si="7">ROUND($D$3*I20/$E$3,2)</f>
        <v>1.33</v>
      </c>
      <c r="I20" s="51">
        <f t="shared" si="2"/>
        <v>17.600000000000001</v>
      </c>
      <c r="J20" s="1395"/>
      <c r="K20" s="1394">
        <f t="shared" si="3"/>
        <v>17.600000000000001</v>
      </c>
      <c r="L20" s="1250">
        <f t="shared" si="4"/>
        <v>0</v>
      </c>
      <c r="M20" s="1406">
        <f t="shared" ref="M20:M26" si="8">K20+L20</f>
        <v>17.600000000000001</v>
      </c>
      <c r="N20" s="2262"/>
      <c r="O20" s="2263"/>
      <c r="P20" s="1406">
        <f t="shared" ref="P20:P26" si="9">N20+O20</f>
        <v>0</v>
      </c>
      <c r="R20" s="1250">
        <f t="shared" si="5"/>
        <v>22.86</v>
      </c>
      <c r="S20" s="1251">
        <f t="shared" si="5"/>
        <v>303.38</v>
      </c>
    </row>
    <row r="21" spans="1:19">
      <c r="A21" s="2264"/>
      <c r="B21" s="50" t="s">
        <v>1957</v>
      </c>
      <c r="C21" s="2951" t="s">
        <v>3064</v>
      </c>
      <c r="D21" s="48">
        <f t="shared" si="6"/>
        <v>808.83</v>
      </c>
      <c r="E21" s="56">
        <f t="shared" si="1"/>
        <v>10736</v>
      </c>
      <c r="F21" s="57">
        <f>'数据-基础表'!H14</f>
        <v>10736</v>
      </c>
      <c r="G21" s="58"/>
      <c r="H21" s="723">
        <f t="shared" si="7"/>
        <v>49.8</v>
      </c>
      <c r="I21" s="51">
        <f t="shared" si="2"/>
        <v>661</v>
      </c>
      <c r="J21" s="1395"/>
      <c r="K21" s="1394">
        <f t="shared" si="3"/>
        <v>661</v>
      </c>
      <c r="L21" s="1250">
        <f t="shared" si="4"/>
        <v>0</v>
      </c>
      <c r="M21" s="1406">
        <f t="shared" si="8"/>
        <v>661</v>
      </c>
      <c r="N21" s="2262"/>
      <c r="O21" s="2263"/>
      <c r="P21" s="1406">
        <f t="shared" si="9"/>
        <v>0</v>
      </c>
      <c r="R21" s="1250">
        <f t="shared" si="5"/>
        <v>858.63</v>
      </c>
      <c r="S21" s="1251">
        <f t="shared" si="5"/>
        <v>11397</v>
      </c>
    </row>
    <row r="22" spans="1:19">
      <c r="A22" s="2264"/>
      <c r="B22" s="50" t="s">
        <v>1957</v>
      </c>
      <c r="C22" s="2952" t="s">
        <v>3066</v>
      </c>
      <c r="D22" s="48">
        <f t="shared" si="6"/>
        <v>449.27</v>
      </c>
      <c r="E22" s="56">
        <f t="shared" si="1"/>
        <v>5963.33</v>
      </c>
      <c r="F22" s="61"/>
      <c r="G22" s="62">
        <f>'数据-基础表'!H17</f>
        <v>5963.33</v>
      </c>
      <c r="H22" s="723">
        <f t="shared" si="7"/>
        <v>27.66</v>
      </c>
      <c r="I22" s="51">
        <f t="shared" si="2"/>
        <v>367.15</v>
      </c>
      <c r="J22" s="1395"/>
      <c r="K22" s="1394">
        <f t="shared" si="3"/>
        <v>367.15</v>
      </c>
      <c r="L22" s="1250">
        <f t="shared" si="4"/>
        <v>0</v>
      </c>
      <c r="M22" s="1406">
        <f t="shared" si="8"/>
        <v>367.15</v>
      </c>
      <c r="N22" s="2262"/>
      <c r="O22" s="2263"/>
      <c r="P22" s="1406">
        <f t="shared" si="9"/>
        <v>0</v>
      </c>
      <c r="R22" s="1250">
        <f t="shared" si="5"/>
        <v>476.93</v>
      </c>
      <c r="S22" s="1251">
        <f t="shared" si="5"/>
        <v>6330.48</v>
      </c>
    </row>
    <row r="23" spans="1:19">
      <c r="A23" s="2264"/>
      <c r="B23" s="50" t="s">
        <v>1957</v>
      </c>
      <c r="C23" s="2952" t="s">
        <v>3058</v>
      </c>
      <c r="D23" s="48">
        <f>ROUND($D$3*E23/$E$3,2)</f>
        <v>1487.92</v>
      </c>
      <c r="E23" s="56">
        <f>SUM(F23:G23)</f>
        <v>19749.8</v>
      </c>
      <c r="F23" s="61"/>
      <c r="G23" s="62">
        <f>'数据-基础表'!H16</f>
        <v>19749.8</v>
      </c>
      <c r="H23" s="723">
        <f>ROUND($D$3*I23/$E$3,2)</f>
        <v>91.61</v>
      </c>
      <c r="I23" s="51">
        <f t="shared" si="2"/>
        <v>1215.97</v>
      </c>
      <c r="J23" s="1395"/>
      <c r="K23" s="1394">
        <f t="shared" si="3"/>
        <v>1215.97</v>
      </c>
      <c r="L23" s="1250">
        <f t="shared" si="4"/>
        <v>0</v>
      </c>
      <c r="M23" s="1406">
        <f t="shared" si="8"/>
        <v>1215.97</v>
      </c>
      <c r="N23" s="2262"/>
      <c r="O23" s="2263"/>
      <c r="P23" s="1406">
        <f t="shared" si="9"/>
        <v>0</v>
      </c>
      <c r="R23" s="1250">
        <f t="shared" si="5"/>
        <v>1579.53</v>
      </c>
      <c r="S23" s="1251">
        <f t="shared" si="5"/>
        <v>20965.77</v>
      </c>
    </row>
    <row r="24" spans="1:19">
      <c r="A24" s="2264"/>
      <c r="B24" s="50" t="s">
        <v>1957</v>
      </c>
      <c r="C24" s="2952" t="s">
        <v>3067</v>
      </c>
      <c r="D24" s="48">
        <f>ROUND($D$3*E24/$E$3,2)</f>
        <v>105.53</v>
      </c>
      <c r="E24" s="56">
        <f>SUM(F24:G24)</f>
        <v>1400.8</v>
      </c>
      <c r="F24" s="61"/>
      <c r="G24" s="62">
        <f>'数据-基础表'!H19</f>
        <v>1400.8</v>
      </c>
      <c r="H24" s="723">
        <f>ROUND($D$3*I24/$E$3,2)</f>
        <v>6.5</v>
      </c>
      <c r="I24" s="51">
        <f t="shared" si="2"/>
        <v>86.25</v>
      </c>
      <c r="J24" s="1395"/>
      <c r="K24" s="1394">
        <f t="shared" si="3"/>
        <v>86.25</v>
      </c>
      <c r="L24" s="1250">
        <f t="shared" si="4"/>
        <v>0</v>
      </c>
      <c r="M24" s="1406">
        <f t="shared" si="8"/>
        <v>86.25</v>
      </c>
      <c r="N24" s="2262"/>
      <c r="O24" s="2263"/>
      <c r="P24" s="1406">
        <f t="shared" si="9"/>
        <v>0</v>
      </c>
      <c r="R24" s="1250">
        <f t="shared" si="5"/>
        <v>112.03</v>
      </c>
      <c r="S24" s="1251">
        <f t="shared" si="5"/>
        <v>1487.05</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8430.18</v>
      </c>
      <c r="E27" s="1397">
        <f>IF(SUM(E19:E26)='数据-基础表'!BA5,SUM(E19:E26),IF(F27="地上面积有误","面积有误","地下面积有误"))</f>
        <v>111897.71</v>
      </c>
      <c r="F27" s="1396">
        <f>IF(SUM(F19:F26)=E8,SUM(F19:F26),"地上面积有误")</f>
        <v>84498</v>
      </c>
      <c r="G27" s="1398">
        <f>SUM(G19:G26)</f>
        <v>27399.71</v>
      </c>
      <c r="H27" s="1399">
        <f>SUM(H19:H26)</f>
        <v>519.04</v>
      </c>
      <c r="I27" s="1400">
        <f>SUM(I19:I26)</f>
        <v>6889.4000000000005</v>
      </c>
      <c r="J27" s="1395"/>
      <c r="K27" s="1403">
        <f>SUM(K19:K26)</f>
        <v>6889.4000000000005</v>
      </c>
      <c r="L27" s="1404">
        <f>SUM(L19:L26)</f>
        <v>0</v>
      </c>
      <c r="M27" s="1407">
        <f>SUM(M19:M26)</f>
        <v>6889.4000000000005</v>
      </c>
      <c r="N27" s="1403">
        <f t="shared" ref="N27:O27" si="10">SUM(N19:N26)</f>
        <v>0</v>
      </c>
      <c r="O27" s="1404">
        <f t="shared" si="10"/>
        <v>0</v>
      </c>
      <c r="P27" s="1405">
        <f>SUM(P19:P26)</f>
        <v>0</v>
      </c>
      <c r="R27" s="1252">
        <f>IF(SUM(R19:R26)=$D$3,SUM(R19:R26),SUM(R19:R26)&amp;"误差"&amp;ROUND(SUM(R19:R26)-$D$3,2))</f>
        <v>8949.2200000000012</v>
      </c>
      <c r="S27" s="1250">
        <f>IF(SUM(S19:S26)=$E$3,SUM(S19:S26),SUM(S19:S26)&amp;"误差"&amp;ROUND(SUM(S19:S26)-E3,2))</f>
        <v>118787.11</v>
      </c>
    </row>
    <row r="28" spans="1:19">
      <c r="A28" s="2264"/>
      <c r="B28" s="50" t="s">
        <v>1959</v>
      </c>
      <c r="C28" s="1262" t="s">
        <v>1960</v>
      </c>
      <c r="D28" s="48">
        <f>ROUND($D$3*E28/$E$3,2)</f>
        <v>519.04</v>
      </c>
      <c r="E28" s="56">
        <f>SUM(F28:G28)</f>
        <v>6889.4</v>
      </c>
      <c r="F28" s="64">
        <f>'数据-基础表'!BQ5+'数据-基础表'!BS5</f>
        <v>0</v>
      </c>
      <c r="G28" s="65">
        <f>'数据-基础表'!BR5+'数据-基础表'!BT5</f>
        <v>6889.4</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519.04</v>
      </c>
      <c r="E30" s="1396">
        <f>SUM(E28:E29)</f>
        <v>6889.4</v>
      </c>
      <c r="F30" s="1396">
        <f>SUM(F28:F29)</f>
        <v>0</v>
      </c>
      <c r="G30" s="1398">
        <f>SUM(G28:G29)</f>
        <v>6889.4</v>
      </c>
      <c r="H30" s="1395"/>
      <c r="I30" s="1395"/>
      <c r="J30" s="1395"/>
      <c r="K30" s="1395"/>
      <c r="L30" s="1395"/>
      <c r="M30" s="1395"/>
      <c r="N30" s="1395"/>
      <c r="O30" s="1395"/>
      <c r="P30" s="1395"/>
    </row>
    <row r="31" spans="1:19" ht="15.75" thickBot="1">
      <c r="A31" s="2270"/>
      <c r="B31" s="2271"/>
      <c r="C31" s="1010" t="s">
        <v>1962</v>
      </c>
      <c r="D31" s="729">
        <f>D27+D30</f>
        <v>8949.2200000000012</v>
      </c>
      <c r="E31" s="729">
        <f>E27+E30</f>
        <v>118787.11</v>
      </c>
      <c r="F31" s="730">
        <f>F27+F30</f>
        <v>84498</v>
      </c>
      <c r="G31" s="731">
        <f>G27+G30</f>
        <v>34289.11</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tabSelected="1" topLeftCell="F55" workbookViewId="0">
      <selection activeCell="G56" sqref="G56:G65"/>
    </sheetView>
  </sheetViews>
  <sheetFormatPr defaultRowHeight="13.5"/>
  <cols>
    <col min="7" max="7" width="15.875" customWidth="1"/>
    <col min="11" max="15" width="13.25" customWidth="1"/>
  </cols>
  <sheetData>
    <row r="1" spans="1:17" s="2954" customFormat="1" ht="36" customHeight="1">
      <c r="A1" s="2954" t="s">
        <v>3073</v>
      </c>
      <c r="B1" s="2954" t="s">
        <v>3074</v>
      </c>
      <c r="C1" s="2954" t="s">
        <v>3075</v>
      </c>
      <c r="D1" s="2954" t="s">
        <v>3076</v>
      </c>
      <c r="E1" s="2954" t="s">
        <v>3077</v>
      </c>
      <c r="F1" s="2954" t="s">
        <v>3078</v>
      </c>
      <c r="G1" s="2954" t="s">
        <v>3079</v>
      </c>
      <c r="H1" s="2954" t="s">
        <v>3080</v>
      </c>
      <c r="I1" s="2954" t="s">
        <v>3081</v>
      </c>
      <c r="J1" s="2954" t="s">
        <v>3082</v>
      </c>
      <c r="K1" s="2954" t="s">
        <v>3083</v>
      </c>
      <c r="P1" s="2954" t="s">
        <v>3084</v>
      </c>
      <c r="Q1" s="2954" t="s">
        <v>3085</v>
      </c>
    </row>
    <row r="2" spans="1:17" s="2954" customFormat="1" ht="36" customHeight="1">
      <c r="A2" s="2954" t="s">
        <v>3086</v>
      </c>
      <c r="B2" s="2954" t="s">
        <v>3043</v>
      </c>
      <c r="C2" s="2954" t="s">
        <v>3087</v>
      </c>
      <c r="D2" s="2954">
        <v>35230.230000000003</v>
      </c>
      <c r="E2" s="2954">
        <v>88076</v>
      </c>
      <c r="F2" s="2954">
        <v>2.5</v>
      </c>
      <c r="G2" s="2954" t="s">
        <v>3088</v>
      </c>
      <c r="H2" s="2954" t="s">
        <v>3089</v>
      </c>
      <c r="I2" s="2954">
        <v>62000</v>
      </c>
      <c r="J2" s="2954">
        <v>62000</v>
      </c>
      <c r="K2" s="2954">
        <v>7039.38</v>
      </c>
      <c r="P2" s="2954">
        <v>0</v>
      </c>
      <c r="Q2" s="2954" t="s">
        <v>3090</v>
      </c>
    </row>
    <row r="3" spans="1:17" s="2955" customFormat="1" ht="36" customHeight="1">
      <c r="A3" s="2955" t="s">
        <v>3091</v>
      </c>
      <c r="B3" s="2955" t="s">
        <v>3043</v>
      </c>
      <c r="C3" s="2955" t="s">
        <v>3087</v>
      </c>
      <c r="D3" s="2955">
        <v>39744.120000000003</v>
      </c>
      <c r="E3" s="2955">
        <v>119232</v>
      </c>
      <c r="F3" s="2955">
        <v>3</v>
      </c>
      <c r="G3" s="2955" t="s">
        <v>3088</v>
      </c>
      <c r="H3" s="2955" t="s">
        <v>3092</v>
      </c>
      <c r="I3" s="2955">
        <v>227000</v>
      </c>
      <c r="J3" s="2955">
        <v>292000</v>
      </c>
      <c r="K3" s="2955">
        <v>24490.06</v>
      </c>
      <c r="P3" s="2955">
        <v>28.63</v>
      </c>
      <c r="Q3" s="2955" t="s">
        <v>3093</v>
      </c>
    </row>
    <row r="4" spans="1:17" s="2954" customFormat="1" ht="36" customHeight="1">
      <c r="A4" s="2954" t="s">
        <v>3094</v>
      </c>
      <c r="B4" s="2954" t="s">
        <v>3043</v>
      </c>
      <c r="C4" s="2954" t="s">
        <v>3087</v>
      </c>
      <c r="D4" s="2954">
        <v>92055.95</v>
      </c>
      <c r="E4" s="2954">
        <v>92056</v>
      </c>
      <c r="F4" s="2954">
        <v>1</v>
      </c>
      <c r="G4" s="2954" t="s">
        <v>3095</v>
      </c>
      <c r="H4" s="2954" t="s">
        <v>3096</v>
      </c>
      <c r="I4" s="2954" t="s">
        <v>1331</v>
      </c>
      <c r="J4" s="2954">
        <v>285373.59000000003</v>
      </c>
      <c r="K4" s="2954">
        <v>31000</v>
      </c>
      <c r="P4" s="2954" t="s">
        <v>1331</v>
      </c>
      <c r="Q4" s="2954" t="s">
        <v>3097</v>
      </c>
    </row>
    <row r="5" spans="1:17" s="2955" customFormat="1" ht="60" customHeight="1">
      <c r="A5" s="2955" t="s">
        <v>3098</v>
      </c>
      <c r="B5" s="2955" t="s">
        <v>3043</v>
      </c>
      <c r="C5" s="2955" t="s">
        <v>3087</v>
      </c>
      <c r="D5" s="2955">
        <v>46165.91</v>
      </c>
      <c r="E5" s="2955">
        <v>92332</v>
      </c>
      <c r="F5" s="2955">
        <v>2</v>
      </c>
      <c r="G5" s="2955" t="s">
        <v>3088</v>
      </c>
      <c r="H5" s="2955" t="s">
        <v>3099</v>
      </c>
      <c r="I5" s="2955">
        <v>176000</v>
      </c>
      <c r="J5" s="2955">
        <v>225000</v>
      </c>
      <c r="K5" s="2955">
        <v>24368.58</v>
      </c>
      <c r="P5" s="2955">
        <v>27.84</v>
      </c>
      <c r="Q5" s="2955" t="s">
        <v>3100</v>
      </c>
    </row>
    <row r="6" spans="1:17" s="2955" customFormat="1" ht="36" customHeight="1">
      <c r="A6" s="2955" t="s">
        <v>3101</v>
      </c>
      <c r="B6" s="2955" t="s">
        <v>3043</v>
      </c>
      <c r="C6" s="2955" t="s">
        <v>3087</v>
      </c>
      <c r="D6" s="2955">
        <v>38100</v>
      </c>
      <c r="E6" s="2955">
        <v>76200</v>
      </c>
      <c r="F6" s="2955">
        <v>2</v>
      </c>
      <c r="G6" s="2955" t="s">
        <v>3088</v>
      </c>
      <c r="H6" s="2955" t="s">
        <v>3099</v>
      </c>
      <c r="I6" s="2955">
        <v>145000</v>
      </c>
      <c r="J6" s="2955">
        <v>204000</v>
      </c>
      <c r="K6" s="2955">
        <v>26771.65</v>
      </c>
      <c r="P6" s="2955">
        <v>40.69</v>
      </c>
      <c r="Q6" s="2955" t="s">
        <v>3102</v>
      </c>
    </row>
    <row r="7" spans="1:17" s="2954" customFormat="1" ht="36" customHeight="1">
      <c r="A7" s="2954" t="s">
        <v>3103</v>
      </c>
      <c r="B7" s="2954" t="s">
        <v>3043</v>
      </c>
      <c r="C7" s="2954" t="s">
        <v>3087</v>
      </c>
      <c r="D7" s="2954">
        <v>2070793</v>
      </c>
      <c r="E7" s="2954">
        <v>1642730</v>
      </c>
      <c r="F7" s="2954">
        <v>0.79</v>
      </c>
      <c r="G7" s="2954" t="s">
        <v>3088</v>
      </c>
      <c r="H7" s="2954" t="s">
        <v>3104</v>
      </c>
      <c r="I7" s="2954">
        <v>870000</v>
      </c>
      <c r="J7" s="2954">
        <v>870000</v>
      </c>
      <c r="K7" s="2954">
        <v>5296.06</v>
      </c>
      <c r="P7" s="2954">
        <v>0</v>
      </c>
      <c r="Q7" s="2954" t="s">
        <v>3105</v>
      </c>
    </row>
    <row r="8" spans="1:17" s="2954" customFormat="1" ht="49.5" customHeight="1">
      <c r="A8" s="2954" t="s">
        <v>3106</v>
      </c>
      <c r="B8" s="2954" t="s">
        <v>3043</v>
      </c>
      <c r="C8" s="2954" t="s">
        <v>3087</v>
      </c>
      <c r="D8" s="2954">
        <v>18313.7</v>
      </c>
      <c r="E8" s="2954">
        <v>119400</v>
      </c>
      <c r="F8" s="2954">
        <v>6.52</v>
      </c>
      <c r="G8" s="2954" t="s">
        <v>3095</v>
      </c>
      <c r="H8" s="2954" t="s">
        <v>3107</v>
      </c>
      <c r="I8" s="2954" t="s">
        <v>1331</v>
      </c>
      <c r="J8" s="2954">
        <v>415000</v>
      </c>
      <c r="K8" s="2954">
        <v>34757.120000000003</v>
      </c>
      <c r="P8" s="2954" t="s">
        <v>1331</v>
      </c>
      <c r="Q8" s="2954" t="s">
        <v>3108</v>
      </c>
    </row>
    <row r="9" spans="1:17" s="2954" customFormat="1" ht="36" customHeight="1">
      <c r="A9" s="2954" t="s">
        <v>3109</v>
      </c>
      <c r="B9" s="2954" t="s">
        <v>3043</v>
      </c>
      <c r="C9" s="2954" t="s">
        <v>3087</v>
      </c>
      <c r="D9" s="2954">
        <v>166012.29999999999</v>
      </c>
      <c r="E9" s="2954">
        <v>332025</v>
      </c>
      <c r="F9" s="2954">
        <v>2</v>
      </c>
      <c r="G9" s="2954" t="s">
        <v>3088</v>
      </c>
      <c r="H9" s="2954" t="s">
        <v>3110</v>
      </c>
      <c r="I9" s="2954">
        <v>240045</v>
      </c>
      <c r="J9" s="2954">
        <v>240045</v>
      </c>
      <c r="K9" s="2954">
        <v>7229.72</v>
      </c>
      <c r="P9" s="2954">
        <v>0</v>
      </c>
      <c r="Q9" s="2954" t="s">
        <v>3111</v>
      </c>
    </row>
    <row r="10" spans="1:17" s="2954" customFormat="1" ht="36" customHeight="1">
      <c r="A10" s="2954" t="s">
        <v>3112</v>
      </c>
      <c r="B10" s="2954" t="s">
        <v>3043</v>
      </c>
      <c r="C10" s="2954" t="s">
        <v>3087</v>
      </c>
      <c r="D10" s="2954">
        <v>65873.39</v>
      </c>
      <c r="E10" s="2954">
        <v>164683</v>
      </c>
      <c r="F10" s="2954">
        <v>2.5</v>
      </c>
      <c r="G10" s="2954" t="s">
        <v>3088</v>
      </c>
      <c r="H10" s="2954" t="s">
        <v>3113</v>
      </c>
      <c r="I10" s="2954">
        <v>78000</v>
      </c>
      <c r="J10" s="2954">
        <v>108000</v>
      </c>
      <c r="K10" s="2954">
        <v>6558.05</v>
      </c>
      <c r="P10" s="2954">
        <v>38.46</v>
      </c>
      <c r="Q10" s="2954" t="s">
        <v>3114</v>
      </c>
    </row>
    <row r="11" spans="1:17" s="2954" customFormat="1" ht="36" customHeight="1">
      <c r="A11" s="2954" t="s">
        <v>3115</v>
      </c>
      <c r="B11" s="2954" t="s">
        <v>3043</v>
      </c>
      <c r="C11" s="2954" t="s">
        <v>3087</v>
      </c>
      <c r="D11" s="2954">
        <v>9542.5300000000007</v>
      </c>
      <c r="E11" s="2954">
        <v>36580</v>
      </c>
      <c r="F11" s="2954">
        <v>3.83</v>
      </c>
      <c r="G11" s="2954" t="s">
        <v>3088</v>
      </c>
      <c r="H11" s="2954" t="s">
        <v>3116</v>
      </c>
      <c r="I11" s="2954">
        <v>120000</v>
      </c>
      <c r="J11" s="2954">
        <v>169500</v>
      </c>
      <c r="K11" s="2954">
        <v>46336.800000000003</v>
      </c>
      <c r="P11" s="2954">
        <v>41.25</v>
      </c>
      <c r="Q11" s="2954" t="s">
        <v>3117</v>
      </c>
    </row>
    <row r="12" spans="1:17" s="2954" customFormat="1" ht="46.5" customHeight="1">
      <c r="A12" s="2954" t="s">
        <v>3118</v>
      </c>
      <c r="B12" s="2954" t="s">
        <v>3043</v>
      </c>
      <c r="C12" s="2954" t="s">
        <v>3087</v>
      </c>
      <c r="D12" s="2954">
        <v>47100</v>
      </c>
      <c r="E12" s="2954">
        <v>450000</v>
      </c>
      <c r="F12" s="2954">
        <v>9.5500000000000007</v>
      </c>
      <c r="G12" s="2954" t="s">
        <v>3095</v>
      </c>
      <c r="H12" s="2954" t="s">
        <v>3119</v>
      </c>
      <c r="I12" s="2954" t="s">
        <v>1331</v>
      </c>
      <c r="J12" s="2954">
        <v>503990</v>
      </c>
      <c r="K12" s="2954">
        <v>11199.78</v>
      </c>
      <c r="P12" s="2954" t="s">
        <v>1331</v>
      </c>
      <c r="Q12" s="2954" t="s">
        <v>3120</v>
      </c>
    </row>
    <row r="13" spans="1:17" s="2954" customFormat="1" ht="36" customHeight="1">
      <c r="A13" s="2954" t="s">
        <v>3121</v>
      </c>
      <c r="B13" s="2954" t="s">
        <v>3043</v>
      </c>
      <c r="C13" s="2954" t="s">
        <v>3087</v>
      </c>
      <c r="D13" s="2954">
        <v>37656</v>
      </c>
      <c r="E13" s="2954">
        <v>131600</v>
      </c>
      <c r="F13" s="2954">
        <v>3.49</v>
      </c>
      <c r="G13" s="2954" t="s">
        <v>3095</v>
      </c>
      <c r="H13" s="2954" t="s">
        <v>3122</v>
      </c>
      <c r="I13" s="2954" t="s">
        <v>1331</v>
      </c>
      <c r="J13" s="2954">
        <v>151603.20000000001</v>
      </c>
      <c r="K13" s="2954">
        <v>11520</v>
      </c>
      <c r="P13" s="2954" t="s">
        <v>1331</v>
      </c>
      <c r="Q13" s="2954" t="s">
        <v>3123</v>
      </c>
    </row>
    <row r="14" spans="1:17" s="2954" customFormat="1" ht="36" customHeight="1">
      <c r="A14" s="2954" t="s">
        <v>3124</v>
      </c>
      <c r="B14" s="2954" t="s">
        <v>3043</v>
      </c>
      <c r="C14" s="2954" t="s">
        <v>3087</v>
      </c>
      <c r="D14" s="2954">
        <v>14124.26</v>
      </c>
      <c r="E14" s="2954">
        <v>119961</v>
      </c>
      <c r="F14" s="2954">
        <v>8.49</v>
      </c>
      <c r="G14" s="2954" t="s">
        <v>3095</v>
      </c>
      <c r="H14" s="2954" t="s">
        <v>3122</v>
      </c>
      <c r="I14" s="2954" t="s">
        <v>1331</v>
      </c>
      <c r="J14" s="2954">
        <v>135700</v>
      </c>
      <c r="K14" s="2954">
        <v>11312.01</v>
      </c>
      <c r="P14" s="2954" t="s">
        <v>1331</v>
      </c>
      <c r="Q14" s="2954" t="s">
        <v>3125</v>
      </c>
    </row>
    <row r="15" spans="1:17" s="2954" customFormat="1" ht="36" customHeight="1">
      <c r="A15" s="2954" t="s">
        <v>3126</v>
      </c>
      <c r="B15" s="2954" t="s">
        <v>3043</v>
      </c>
      <c r="C15" s="2954" t="s">
        <v>3087</v>
      </c>
      <c r="D15" s="2954">
        <v>39645</v>
      </c>
      <c r="E15" s="2954">
        <v>189500</v>
      </c>
      <c r="F15" s="2954">
        <v>4.78</v>
      </c>
      <c r="G15" s="2954" t="s">
        <v>3095</v>
      </c>
      <c r="H15" s="2954" t="s">
        <v>3122</v>
      </c>
      <c r="I15" s="2954" t="s">
        <v>1331</v>
      </c>
      <c r="J15" s="2954">
        <v>218304</v>
      </c>
      <c r="K15" s="2954">
        <v>11520</v>
      </c>
      <c r="P15" s="2954" t="s">
        <v>1331</v>
      </c>
      <c r="Q15" s="2954" t="s">
        <v>3127</v>
      </c>
    </row>
    <row r="16" spans="1:17" s="2954" customFormat="1" ht="36" customHeight="1">
      <c r="A16" s="2954" t="s">
        <v>3128</v>
      </c>
      <c r="B16" s="2954" t="s">
        <v>3043</v>
      </c>
      <c r="C16" s="2954" t="s">
        <v>3087</v>
      </c>
      <c r="D16" s="2954">
        <v>9200</v>
      </c>
      <c r="E16" s="2954">
        <v>78139</v>
      </c>
      <c r="F16" s="2954">
        <v>8.49</v>
      </c>
      <c r="G16" s="2954" t="s">
        <v>3095</v>
      </c>
      <c r="H16" s="2954" t="s">
        <v>3122</v>
      </c>
      <c r="I16" s="2954" t="s">
        <v>1331</v>
      </c>
      <c r="J16" s="2954">
        <v>88400</v>
      </c>
      <c r="K16" s="2954">
        <v>11313.17</v>
      </c>
      <c r="P16" s="2954" t="s">
        <v>1331</v>
      </c>
      <c r="Q16" s="2954" t="s">
        <v>3125</v>
      </c>
    </row>
    <row r="21" spans="3:7">
      <c r="C21" s="2971" t="s">
        <v>3176</v>
      </c>
    </row>
    <row r="22" spans="3:7">
      <c r="C22" s="2971" t="s">
        <v>3177</v>
      </c>
      <c r="D22" s="2971" t="s">
        <v>3178</v>
      </c>
      <c r="E22" s="2971" t="s">
        <v>3180</v>
      </c>
      <c r="F22" s="2971" t="s">
        <v>3179</v>
      </c>
      <c r="G22" s="2971"/>
    </row>
    <row r="23" spans="3:7">
      <c r="C23">
        <v>1</v>
      </c>
      <c r="D23">
        <f>'数据-汇总表'!F21/4</f>
        <v>2684</v>
      </c>
      <c r="E23">
        <v>1</v>
      </c>
      <c r="F23">
        <v>10</v>
      </c>
    </row>
    <row r="24" spans="3:7">
      <c r="C24">
        <v>2</v>
      </c>
      <c r="D24">
        <f>D23</f>
        <v>2684</v>
      </c>
      <c r="E24">
        <v>0.65</v>
      </c>
      <c r="F24">
        <f>$F$23*E24</f>
        <v>6.5</v>
      </c>
    </row>
    <row r="25" spans="3:7">
      <c r="C25">
        <v>3</v>
      </c>
      <c r="D25">
        <f>D24</f>
        <v>2684</v>
      </c>
      <c r="E25">
        <v>0.6</v>
      </c>
      <c r="F25">
        <f t="shared" ref="F25:F26" si="0">$F$23*E25</f>
        <v>6</v>
      </c>
    </row>
    <row r="26" spans="3:7">
      <c r="C26">
        <v>4</v>
      </c>
      <c r="D26">
        <f>D25</f>
        <v>2684</v>
      </c>
      <c r="E26">
        <v>0.55000000000000004</v>
      </c>
      <c r="F26">
        <f t="shared" si="0"/>
        <v>5.5</v>
      </c>
    </row>
    <row r="27" spans="3:7">
      <c r="D27">
        <f>SUM(D23:D26)</f>
        <v>10736</v>
      </c>
      <c r="F27">
        <f>(F23*D23+F24*D24+F25*D25+F26*D26)/D27</f>
        <v>7</v>
      </c>
    </row>
    <row r="29" spans="3:7">
      <c r="C29" s="2971" t="s">
        <v>3184</v>
      </c>
    </row>
    <row r="30" spans="3:7">
      <c r="C30">
        <f>'数据-取费表'!K10/433</f>
        <v>45.611547344110853</v>
      </c>
      <c r="D30">
        <f ca="1">C30*收益法车库!B3/10000</f>
        <v>36.703612147806005</v>
      </c>
    </row>
    <row r="32" spans="3:7" ht="14.25" thickBot="1"/>
    <row r="33" spans="3:19" ht="12.75" customHeight="1" thickTop="1">
      <c r="C33" s="3310" t="s">
        <v>3225</v>
      </c>
      <c r="D33" s="3310" t="s">
        <v>3226</v>
      </c>
      <c r="E33" s="3312" t="s">
        <v>3227</v>
      </c>
      <c r="F33" s="3314" t="s">
        <v>3228</v>
      </c>
      <c r="G33" s="3315"/>
      <c r="H33" s="3314" t="s">
        <v>3229</v>
      </c>
      <c r="I33" s="3315"/>
      <c r="J33" s="3314" t="s">
        <v>3230</v>
      </c>
      <c r="K33" s="3315"/>
      <c r="L33" s="3333"/>
      <c r="M33" s="3333"/>
      <c r="N33" s="3333"/>
      <c r="O33" s="3333"/>
    </row>
    <row r="34" spans="3:19" ht="12.75" customHeight="1">
      <c r="C34" s="3311"/>
      <c r="D34" s="3311"/>
      <c r="E34" s="3313"/>
      <c r="F34" s="3306" t="s">
        <v>3231</v>
      </c>
      <c r="G34" s="3306" t="s">
        <v>3232</v>
      </c>
      <c r="H34" s="3306" t="s">
        <v>3233</v>
      </c>
      <c r="I34" s="3306" t="s">
        <v>3232</v>
      </c>
      <c r="J34" s="3306" t="s">
        <v>3233</v>
      </c>
      <c r="K34" s="3306" t="s">
        <v>3232</v>
      </c>
      <c r="L34" s="3333"/>
      <c r="M34" s="3333"/>
      <c r="N34" s="3333"/>
      <c r="O34" s="3333"/>
    </row>
    <row r="35" spans="3:19" ht="12.75" customHeight="1">
      <c r="C35" s="3307" t="s">
        <v>3234</v>
      </c>
      <c r="D35" s="3308">
        <v>126370.2</v>
      </c>
      <c r="E35" s="3308">
        <v>11023.92</v>
      </c>
      <c r="F35" s="3308">
        <v>283264</v>
      </c>
      <c r="G35" s="3308">
        <v>22416</v>
      </c>
      <c r="H35" s="3308">
        <v>5781</v>
      </c>
      <c r="I35" s="3308">
        <v>457</v>
      </c>
      <c r="J35" s="3308">
        <v>289045</v>
      </c>
      <c r="K35" s="3308">
        <v>22873</v>
      </c>
      <c r="L35" s="3334"/>
      <c r="M35" s="3334"/>
      <c r="N35" s="3334"/>
      <c r="O35" s="3334"/>
    </row>
    <row r="36" spans="3:19" ht="12.75" customHeight="1">
      <c r="C36" s="3307" t="s">
        <v>3235</v>
      </c>
      <c r="D36" s="3308">
        <v>118787.11</v>
      </c>
      <c r="E36" s="3308">
        <v>8949.2199999999993</v>
      </c>
      <c r="F36" s="3308">
        <v>273188</v>
      </c>
      <c r="G36" s="3308">
        <v>22998</v>
      </c>
      <c r="H36" s="3308">
        <v>5575</v>
      </c>
      <c r="I36" s="3308">
        <v>469</v>
      </c>
      <c r="J36" s="3308">
        <v>278763</v>
      </c>
      <c r="K36" s="3308">
        <v>23467</v>
      </c>
      <c r="L36" s="3334"/>
      <c r="M36" s="3334"/>
      <c r="N36" s="3334"/>
      <c r="O36" s="3334"/>
    </row>
    <row r="37" spans="3:19" ht="12.75" customHeight="1">
      <c r="C37" s="3307" t="s">
        <v>3236</v>
      </c>
      <c r="D37" s="3308">
        <v>4182.99</v>
      </c>
      <c r="E37" s="3308">
        <v>409.58</v>
      </c>
      <c r="F37" s="3308">
        <v>10934</v>
      </c>
      <c r="G37" s="3308">
        <v>26139</v>
      </c>
      <c r="H37" s="3308">
        <v>1692</v>
      </c>
      <c r="I37" s="3308">
        <v>4045</v>
      </c>
      <c r="J37" s="3308">
        <v>12626</v>
      </c>
      <c r="K37" s="3308">
        <v>30184</v>
      </c>
      <c r="L37" s="3334"/>
      <c r="M37" s="3334"/>
      <c r="N37" s="3334"/>
      <c r="O37" s="3334"/>
    </row>
    <row r="38" spans="3:19" ht="12.75" customHeight="1">
      <c r="C38" s="3307" t="s">
        <v>3237</v>
      </c>
      <c r="D38" s="3308">
        <v>53568.73</v>
      </c>
      <c r="E38" s="3308">
        <v>5108.2700000000004</v>
      </c>
      <c r="F38" s="3308">
        <v>157577</v>
      </c>
      <c r="G38" s="3308">
        <v>29415</v>
      </c>
      <c r="H38" s="3308">
        <v>24173</v>
      </c>
      <c r="I38" s="3308">
        <v>4513</v>
      </c>
      <c r="J38" s="3308">
        <v>181750</v>
      </c>
      <c r="K38" s="3308">
        <v>33928</v>
      </c>
      <c r="L38" s="3334"/>
      <c r="M38" s="3334"/>
      <c r="N38" s="3334"/>
      <c r="O38" s="3334"/>
    </row>
    <row r="39" spans="3:19" ht="12.75" customHeight="1">
      <c r="C39" s="3307" t="s">
        <v>3238</v>
      </c>
      <c r="D39" s="3308">
        <v>220053.4</v>
      </c>
      <c r="E39" s="3308">
        <v>16193.67</v>
      </c>
      <c r="F39" s="3309" t="s">
        <v>70</v>
      </c>
      <c r="G39" s="3309" t="s">
        <v>70</v>
      </c>
      <c r="H39" s="3309" t="s">
        <v>70</v>
      </c>
      <c r="I39" s="3309" t="s">
        <v>70</v>
      </c>
      <c r="J39" s="3308">
        <v>444922</v>
      </c>
      <c r="K39" s="3308">
        <v>20219</v>
      </c>
      <c r="L39" s="3334"/>
      <c r="M39" s="3334"/>
      <c r="N39" s="3334"/>
      <c r="O39" s="3334"/>
    </row>
    <row r="40" spans="3:19" ht="12.75" customHeight="1">
      <c r="C40" s="3307" t="s">
        <v>3239</v>
      </c>
      <c r="D40" s="3308">
        <v>26242.78</v>
      </c>
      <c r="E40" s="3308">
        <v>2540.75</v>
      </c>
      <c r="F40" s="3306" t="s">
        <v>70</v>
      </c>
      <c r="G40" s="3306" t="s">
        <v>70</v>
      </c>
      <c r="H40" s="3306" t="s">
        <v>70</v>
      </c>
      <c r="I40" s="3306" t="s">
        <v>70</v>
      </c>
      <c r="J40" s="3308">
        <v>145875</v>
      </c>
      <c r="K40" s="3308">
        <v>55587</v>
      </c>
      <c r="L40" s="3334"/>
      <c r="M40" s="3334"/>
      <c r="N40" s="3334"/>
      <c r="O40" s="3334"/>
    </row>
    <row r="41" spans="3:19" ht="12.75" customHeight="1">
      <c r="C41" s="3307" t="s">
        <v>37</v>
      </c>
      <c r="D41" s="3308">
        <f>SUM(D35:D40)</f>
        <v>549205.21</v>
      </c>
      <c r="E41" s="3308">
        <f t="shared" ref="E41:J41" si="1">SUM(E35:E40)</f>
        <v>44225.41</v>
      </c>
      <c r="F41" s="3308">
        <f t="shared" si="1"/>
        <v>724963</v>
      </c>
      <c r="G41" s="3308"/>
      <c r="H41" s="3308">
        <f t="shared" si="1"/>
        <v>37221</v>
      </c>
      <c r="I41" s="3308"/>
      <c r="J41" s="3308">
        <f t="shared" si="1"/>
        <v>1352981</v>
      </c>
      <c r="K41" s="3308"/>
      <c r="L41" s="3334"/>
      <c r="M41" s="3334"/>
      <c r="N41" s="3334"/>
      <c r="O41" s="3334"/>
    </row>
    <row r="42" spans="3:19" ht="12.75" customHeight="1" thickBot="1">
      <c r="C42" s="3316" t="s">
        <v>3240</v>
      </c>
      <c r="D42" s="3317"/>
      <c r="E42" s="3318"/>
      <c r="F42" s="3319">
        <f>F41*10000</f>
        <v>7249630000</v>
      </c>
      <c r="G42" s="3320"/>
      <c r="H42" s="3319">
        <f t="shared" ref="H42" si="2">H41*10000</f>
        <v>372210000</v>
      </c>
      <c r="I42" s="3320"/>
      <c r="J42" s="3319">
        <f t="shared" ref="J42" si="3">J41*10000</f>
        <v>13529810000</v>
      </c>
      <c r="K42" s="3320"/>
      <c r="L42" s="3335"/>
      <c r="M42" s="3335"/>
      <c r="N42" s="3335"/>
      <c r="O42" s="3335"/>
    </row>
    <row r="43" spans="3:19" ht="14.25" thickTop="1"/>
    <row r="44" spans="3:19" ht="14.25" thickBot="1"/>
    <row r="45" spans="3:19" ht="19.5" customHeight="1" thickBot="1">
      <c r="C45" s="3336" t="s">
        <v>3245</v>
      </c>
      <c r="D45" s="3323" t="s">
        <v>3241</v>
      </c>
      <c r="E45" s="3323" t="s">
        <v>3242</v>
      </c>
      <c r="F45" s="3323" t="s">
        <v>3243</v>
      </c>
      <c r="G45" s="3323" t="s">
        <v>3275</v>
      </c>
      <c r="H45" s="3327" t="s">
        <v>3226</v>
      </c>
      <c r="I45" s="3326"/>
      <c r="J45" s="3326"/>
      <c r="K45" s="3326"/>
      <c r="L45" s="3326"/>
      <c r="M45" s="3326"/>
      <c r="N45" s="3326"/>
      <c r="O45" s="3326"/>
      <c r="P45" s="3326"/>
      <c r="Q45" s="3326"/>
      <c r="R45" s="3326"/>
      <c r="S45" s="3329" t="s">
        <v>3244</v>
      </c>
    </row>
    <row r="46" spans="3:19" ht="19.5" customHeight="1" thickBot="1">
      <c r="C46" s="3337"/>
      <c r="D46" s="3324"/>
      <c r="E46" s="3324"/>
      <c r="F46" s="3324"/>
      <c r="G46" s="3324"/>
      <c r="H46" s="3329" t="s">
        <v>37</v>
      </c>
      <c r="I46" s="3327" t="s">
        <v>38</v>
      </c>
      <c r="J46" s="3326"/>
      <c r="K46" s="3326"/>
      <c r="L46" s="3326"/>
      <c r="M46" s="3326"/>
      <c r="N46" s="3326"/>
      <c r="O46" s="3326"/>
      <c r="P46" s="3328"/>
      <c r="Q46" s="3327" t="s">
        <v>39</v>
      </c>
      <c r="R46" s="3326"/>
      <c r="S46" s="3330"/>
    </row>
    <row r="47" spans="3:19" ht="19.5" customHeight="1" thickBot="1">
      <c r="C47" s="3338"/>
      <c r="D47" s="3325"/>
      <c r="E47" s="3325"/>
      <c r="F47" s="3325"/>
      <c r="G47" s="3325"/>
      <c r="H47" s="3331"/>
      <c r="I47" s="3321" t="s">
        <v>40</v>
      </c>
      <c r="J47" s="3321" t="s">
        <v>3249</v>
      </c>
      <c r="K47" s="3321" t="s">
        <v>3250</v>
      </c>
      <c r="L47" s="3321" t="s">
        <v>3251</v>
      </c>
      <c r="M47" s="3321" t="s">
        <v>3253</v>
      </c>
      <c r="N47" s="3321" t="s">
        <v>3254</v>
      </c>
      <c r="O47" s="3321" t="s">
        <v>3255</v>
      </c>
      <c r="P47" s="3321" t="s">
        <v>3252</v>
      </c>
      <c r="Q47" s="3321" t="s">
        <v>40</v>
      </c>
      <c r="R47" s="3321" t="s">
        <v>3256</v>
      </c>
      <c r="S47" s="3331"/>
    </row>
    <row r="48" spans="3:19" ht="19.5" customHeight="1" thickBot="1">
      <c r="C48" s="3339" t="s">
        <v>3276</v>
      </c>
      <c r="D48" s="3332" t="s">
        <v>3246</v>
      </c>
      <c r="E48" s="3332" t="s">
        <v>3247</v>
      </c>
      <c r="F48" s="3332" t="s">
        <v>3248</v>
      </c>
      <c r="G48" s="3332">
        <f>[5]结果表!$C$118</f>
        <v>11023.92</v>
      </c>
      <c r="H48" s="3321">
        <f>I48+Q48</f>
        <v>126370.20000000001</v>
      </c>
      <c r="I48" s="3321">
        <f>SUM(J48:P48)</f>
        <v>122040.1</v>
      </c>
      <c r="J48" s="3321">
        <f>'[5]数据-汇总表'!$E$19</f>
        <v>73762</v>
      </c>
      <c r="K48" s="3321">
        <f>'[5]数据-汇总表'!$E$20</f>
        <v>260.8</v>
      </c>
      <c r="L48" s="3321">
        <f>'[5]数据-汇总表'!$E$21</f>
        <v>14664</v>
      </c>
      <c r="M48" s="3321">
        <f>'[5]数据-汇总表'!$E$22</f>
        <v>1651.1</v>
      </c>
      <c r="N48" s="3321">
        <v>0</v>
      </c>
      <c r="O48" s="3321">
        <f>'[5]数据-汇总表'!$E$23</f>
        <v>30569.3</v>
      </c>
      <c r="P48" s="3321">
        <f>'[5]数据-汇总表'!$E$24</f>
        <v>1132.9000000000001</v>
      </c>
      <c r="Q48" s="3321">
        <f>R48</f>
        <v>4330.1000000000004</v>
      </c>
      <c r="R48" s="3321">
        <f>'[5]数据-汇总表'!$E$28</f>
        <v>4330.1000000000004</v>
      </c>
      <c r="S48" s="3332" t="s">
        <v>3269</v>
      </c>
    </row>
    <row r="49" spans="3:19" ht="19.5" customHeight="1" thickBot="1">
      <c r="C49" s="3339" t="s">
        <v>3277</v>
      </c>
      <c r="D49" s="3332" t="s">
        <v>3257</v>
      </c>
      <c r="E49" s="3332" t="s">
        <v>3258</v>
      </c>
      <c r="F49" s="3332" t="s">
        <v>3259</v>
      </c>
      <c r="G49" s="3332">
        <f>'数据-汇总表'!D3</f>
        <v>8949.2199999999993</v>
      </c>
      <c r="H49" s="3321">
        <f t="shared" ref="H49:H54" si="4">I49+Q49</f>
        <v>118787.11</v>
      </c>
      <c r="I49" s="3321">
        <f t="shared" ref="I49:I54" si="5">SUM(J49:P49)</f>
        <v>111897.71</v>
      </c>
      <c r="J49" s="3321">
        <f>'数据-汇总表'!E19</f>
        <v>73762</v>
      </c>
      <c r="K49" s="3321">
        <f>'数据-汇总表'!E20</f>
        <v>285.77999999999997</v>
      </c>
      <c r="L49" s="3321">
        <f>'数据-汇总表'!E21</f>
        <v>10736</v>
      </c>
      <c r="M49" s="3321">
        <f>'数据-汇总表'!E22</f>
        <v>5963.33</v>
      </c>
      <c r="N49" s="3321"/>
      <c r="O49" s="3321">
        <f>'数据-汇总表'!E23</f>
        <v>19749.8</v>
      </c>
      <c r="P49" s="3321">
        <f>'数据-汇总表'!E24</f>
        <v>1400.8</v>
      </c>
      <c r="Q49" s="3321">
        <f t="shared" ref="Q49:Q54" si="6">R49</f>
        <v>6889.4</v>
      </c>
      <c r="R49" s="3321">
        <f>'数据-汇总表'!E28</f>
        <v>6889.4</v>
      </c>
      <c r="S49" s="3332" t="s">
        <v>3269</v>
      </c>
    </row>
    <row r="50" spans="3:19" ht="19.5" customHeight="1" thickBot="1">
      <c r="C50" s="3339" t="s">
        <v>3278</v>
      </c>
      <c r="D50" s="3332" t="s">
        <v>3261</v>
      </c>
      <c r="E50" s="3332" t="s">
        <v>3260</v>
      </c>
      <c r="F50" s="3332" t="s">
        <v>3262</v>
      </c>
      <c r="G50" s="3332">
        <f>'[1]数据-汇总表'!$D$3</f>
        <v>409.58</v>
      </c>
      <c r="H50" s="3321">
        <f t="shared" si="4"/>
        <v>4182.99</v>
      </c>
      <c r="I50" s="3321">
        <f t="shared" si="5"/>
        <v>4182.99</v>
      </c>
      <c r="J50" s="3321"/>
      <c r="K50" s="3321"/>
      <c r="L50" s="3321">
        <f>'[1]数据-汇总表'!$F$21</f>
        <v>4182.99</v>
      </c>
      <c r="M50" s="3321"/>
      <c r="N50" s="3321"/>
      <c r="O50" s="3321"/>
      <c r="P50" s="3321"/>
      <c r="Q50" s="3321">
        <f t="shared" si="6"/>
        <v>0</v>
      </c>
      <c r="R50" s="3321"/>
      <c r="S50" s="3332" t="s">
        <v>3270</v>
      </c>
    </row>
    <row r="51" spans="3:19" ht="19.5" customHeight="1" thickBot="1">
      <c r="C51" s="3339" t="s">
        <v>3279</v>
      </c>
      <c r="D51" s="3332" t="s">
        <v>3263</v>
      </c>
      <c r="E51" s="3332" t="s">
        <v>3264</v>
      </c>
      <c r="F51" s="3332" t="s">
        <v>3265</v>
      </c>
      <c r="G51" s="3332">
        <f>'[4]数据-汇总表'!$D$3</f>
        <v>5108.2700000000004</v>
      </c>
      <c r="H51" s="3321">
        <f t="shared" si="4"/>
        <v>53568.729999999996</v>
      </c>
      <c r="I51" s="3321">
        <f t="shared" si="5"/>
        <v>53568.729999999996</v>
      </c>
      <c r="J51" s="3321"/>
      <c r="K51" s="3321"/>
      <c r="L51" s="3321">
        <f>'[4]数据-汇总表'!$F$21</f>
        <v>7845.89</v>
      </c>
      <c r="M51" s="3321"/>
      <c r="N51" s="3321">
        <f>'[4]数据-汇总表'!$F$19</f>
        <v>45722.84</v>
      </c>
      <c r="O51" s="3321"/>
      <c r="P51" s="3321"/>
      <c r="Q51" s="3321">
        <f t="shared" si="6"/>
        <v>0</v>
      </c>
      <c r="R51" s="3321"/>
      <c r="S51" s="3332" t="s">
        <v>3270</v>
      </c>
    </row>
    <row r="52" spans="3:19" ht="19.5" customHeight="1" thickBot="1">
      <c r="C52" s="3339" t="s">
        <v>3280</v>
      </c>
      <c r="D52" s="3332" t="s">
        <v>3266</v>
      </c>
      <c r="E52" s="3332" t="s">
        <v>3267</v>
      </c>
      <c r="F52" s="3332" t="s">
        <v>3268</v>
      </c>
      <c r="G52" s="3322">
        <f>'[2]数据-汇总表'!$D$3</f>
        <v>16193.67</v>
      </c>
      <c r="H52" s="3321">
        <f t="shared" si="4"/>
        <v>220053.4</v>
      </c>
      <c r="I52" s="3321">
        <f t="shared" si="5"/>
        <v>213520.5</v>
      </c>
      <c r="J52" s="3321">
        <f>'[2]数据-汇总表'!$E$19</f>
        <v>148509</v>
      </c>
      <c r="K52" s="3321">
        <f>'[2]数据-汇总表'!$E$20</f>
        <v>258</v>
      </c>
      <c r="L52" s="3321">
        <f>'[2]数据-汇总表'!$E$21</f>
        <v>8402</v>
      </c>
      <c r="M52" s="3321">
        <f>'[2]数据-汇总表'!$E$22</f>
        <v>13082.4</v>
      </c>
      <c r="N52" s="3321"/>
      <c r="O52" s="3321">
        <f>'[2]数据-汇总表'!$E$23</f>
        <v>42769.1</v>
      </c>
      <c r="P52" s="3321">
        <f>'[2]数据-汇总表'!$E$24</f>
        <v>500</v>
      </c>
      <c r="Q52" s="3321">
        <f t="shared" si="6"/>
        <v>6532.9</v>
      </c>
      <c r="R52" s="3321">
        <f>'[2]数据-汇总表'!$E$28</f>
        <v>6532.9</v>
      </c>
      <c r="S52" s="3332" t="s">
        <v>3271</v>
      </c>
    </row>
    <row r="53" spans="3:19" ht="19.5" customHeight="1" thickBot="1">
      <c r="C53" s="3339" t="s">
        <v>3281</v>
      </c>
      <c r="D53" s="3332" t="s">
        <v>3273</v>
      </c>
      <c r="E53" s="3332" t="s">
        <v>3264</v>
      </c>
      <c r="F53" s="3332" t="s">
        <v>3274</v>
      </c>
      <c r="G53" s="3322">
        <f>'[3]数据-汇总表'!$D$3</f>
        <v>2540.75</v>
      </c>
      <c r="H53" s="3321">
        <f t="shared" si="4"/>
        <v>26242.780000000002</v>
      </c>
      <c r="I53" s="3321">
        <f t="shared" si="5"/>
        <v>26242.780000000002</v>
      </c>
      <c r="J53" s="3321"/>
      <c r="K53" s="3321"/>
      <c r="L53" s="3321">
        <f>'[3]数据-汇总表'!$F$21+'[3]数据-汇总表'!$F$22</f>
        <v>15085.56</v>
      </c>
      <c r="M53" s="3321">
        <f>'[3]数据-汇总表'!$G$21+'[3]数据-汇总表'!$G$22</f>
        <v>6721.85</v>
      </c>
      <c r="N53" s="3321">
        <f>'[3]数据-汇总表'!$E$19+'[3]数据-汇总表'!$E$20</f>
        <v>4435.3700000000026</v>
      </c>
      <c r="O53" s="3321"/>
      <c r="P53" s="3321"/>
      <c r="Q53" s="3321">
        <f t="shared" si="6"/>
        <v>0</v>
      </c>
      <c r="R53" s="3321"/>
      <c r="S53" s="3332" t="s">
        <v>3272</v>
      </c>
    </row>
    <row r="54" spans="3:19" ht="19.5" customHeight="1" thickBot="1">
      <c r="C54" s="3340"/>
      <c r="D54" s="3327" t="s">
        <v>37</v>
      </c>
      <c r="E54" s="3326"/>
      <c r="F54" s="3328"/>
      <c r="G54" s="3321">
        <f>SUM(G48:G53)</f>
        <v>44225.41</v>
      </c>
      <c r="H54" s="3321">
        <f>SUM(H48:H53)</f>
        <v>549205.21</v>
      </c>
      <c r="I54" s="3321">
        <f t="shared" ref="I54:R54" si="7">SUM(I48:I53)</f>
        <v>531452.80999999994</v>
      </c>
      <c r="J54" s="3321">
        <f t="shared" si="7"/>
        <v>296033</v>
      </c>
      <c r="K54" s="3321">
        <f t="shared" si="7"/>
        <v>804.57999999999993</v>
      </c>
      <c r="L54" s="3321">
        <f t="shared" si="7"/>
        <v>60916.439999999995</v>
      </c>
      <c r="M54" s="3321">
        <f t="shared" si="7"/>
        <v>27418.68</v>
      </c>
      <c r="N54" s="3321">
        <f t="shared" si="7"/>
        <v>50158.21</v>
      </c>
      <c r="O54" s="3321">
        <f t="shared" si="7"/>
        <v>93088.2</v>
      </c>
      <c r="P54" s="3321">
        <f t="shared" si="7"/>
        <v>3033.7</v>
      </c>
      <c r="Q54" s="3321">
        <f t="shared" si="7"/>
        <v>17752.400000000001</v>
      </c>
      <c r="R54" s="3321">
        <f t="shared" si="7"/>
        <v>17752.400000000001</v>
      </c>
      <c r="S54" s="3332"/>
    </row>
  </sheetData>
  <mergeCells count="21">
    <mergeCell ref="S45:S47"/>
    <mergeCell ref="H46:H47"/>
    <mergeCell ref="I46:P46"/>
    <mergeCell ref="Q46:R46"/>
    <mergeCell ref="D54:F54"/>
    <mergeCell ref="C45:C47"/>
    <mergeCell ref="D45:D47"/>
    <mergeCell ref="E45:E47"/>
    <mergeCell ref="F45:F47"/>
    <mergeCell ref="G45:G47"/>
    <mergeCell ref="H45:R45"/>
    <mergeCell ref="J33:K33"/>
    <mergeCell ref="C42:E42"/>
    <mergeCell ref="J42:K42"/>
    <mergeCell ref="F42:G42"/>
    <mergeCell ref="H42:I42"/>
    <mergeCell ref="D33:D34"/>
    <mergeCell ref="E33:E34"/>
    <mergeCell ref="C33:C34"/>
    <mergeCell ref="F33:G33"/>
    <mergeCell ref="H33:I33"/>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4" sqref="E2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7" t="s">
        <v>1965</v>
      </c>
      <c r="B2" s="1269">
        <f>项目基本情况!D3</f>
        <v>43142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1985</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6" t="s">
        <v>2006</v>
      </c>
      <c r="AP5" s="1252"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地上办公</v>
      </c>
      <c r="B6" s="2308" t="str">
        <f>IF(A6=0,"","经营性")</f>
        <v>经营性</v>
      </c>
      <c r="C6" s="2309" t="s">
        <v>27</v>
      </c>
      <c r="D6" s="1054">
        <f>SUMIF(项目基本情况!D$12:I$12,C6,项目基本情况!D$14:I$14)</f>
        <v>50</v>
      </c>
      <c r="E6" s="1051">
        <f>IF(B6="","",SUMIF(项目基本情况!D$12:I$12,C6,项目基本情况!D$13:I$13))</f>
        <v>58878</v>
      </c>
      <c r="F6" s="72">
        <f>SUMIF(项目基本情况!D$12:I$12,C6,项目基本情况!D$15:I$15)</f>
        <v>43.11</v>
      </c>
      <c r="G6" s="73">
        <f>IF(ISERROR(ROUND(POWER(1+H6,D6-F6)*(POWER(1+H6,F6)-1)/(POWER(1+H6,D6)-1),3)),0,ROUND(POWER(1+H6,D6-F6)*(POWER(1+H6,F6)-1)/(POWER(1+H6,D6)-1),3))</f>
        <v>0.96199999999999997</v>
      </c>
      <c r="H6" s="2953">
        <f>I6-0.5%</f>
        <v>0.05</v>
      </c>
      <c r="I6" s="802">
        <v>5.5E-2</v>
      </c>
      <c r="J6" s="74">
        <v>8.5000000000000006E-2</v>
      </c>
      <c r="K6" s="1254">
        <f>SUMIF('数据-汇总表'!C$19:C$33,A6,'数据-汇总表'!E$19:E$33)</f>
        <v>73762</v>
      </c>
      <c r="L6" s="803">
        <v>2800</v>
      </c>
      <c r="M6" s="75">
        <f t="shared" ref="M6:M14" si="0">ROUND(K6*L6/10000,0)</f>
        <v>20653</v>
      </c>
      <c r="N6" s="801">
        <v>0.1</v>
      </c>
      <c r="O6" s="75">
        <f>IF($N$5="成新度","——",ROUND(M6*N6,0))</f>
        <v>2065</v>
      </c>
      <c r="P6" s="76">
        <f>IF($N$5="成新度","——",M6-O6)</f>
        <v>18588</v>
      </c>
      <c r="Q6" s="804">
        <v>0.25</v>
      </c>
      <c r="R6" s="77">
        <f ca="1">SUMIF('数据-汇总表'!C$19:C$33,A6,'数据-汇总表'!R$19:R$27)</f>
        <v>5899.2400000000007</v>
      </c>
      <c r="S6" s="54">
        <f>IF('数据-汇总表'!$I$17="按面积比例",SUMIF('数据-汇总表'!C$19:C$33,A6,'数据-汇总表'!K$19:K$33),SUMIF('数据-汇总表'!C$19:C$33,A6,'数据-汇总表'!N$19:N$33))</f>
        <v>4541.43</v>
      </c>
      <c r="T6" s="1446">
        <f>ROUND($L$14*S6/10000,0)</f>
        <v>999</v>
      </c>
      <c r="U6" s="78"/>
      <c r="V6" s="79"/>
      <c r="W6" s="79"/>
      <c r="X6" s="1264"/>
      <c r="Y6" s="80"/>
      <c r="Z6" s="81"/>
      <c r="AA6" s="74"/>
      <c r="AB6" s="74"/>
      <c r="AC6" s="1264"/>
      <c r="AD6" s="82"/>
      <c r="AE6" s="1265" t="e">
        <f ca="1">IF(AN6="",0,SUMIF(INDIRECT("'"&amp;AN6&amp;"'"&amp;"!E:E"),$AE$5,INDIRECT("'"&amp;AN6&amp;"'"&amp;"!F:F")))</f>
        <v>#REF!</v>
      </c>
      <c r="AF6" s="1805"/>
      <c r="AG6" s="147">
        <f>IF(AF6="",0,AE6-AF6)</f>
        <v>0</v>
      </c>
      <c r="AH6" s="83"/>
      <c r="AI6" s="85">
        <v>365</v>
      </c>
      <c r="AJ6" s="86"/>
      <c r="AK6" s="87"/>
      <c r="AL6" s="88"/>
      <c r="AM6" s="89"/>
      <c r="AN6" s="2310" t="s">
        <v>3162</v>
      </c>
      <c r="AO6" s="55" t="e">
        <f ca="1">SUMIF(INDIRECT("'"&amp;AN6&amp;"'"&amp;"!A:A"),"总价",INDIRECT("'"&amp;AN6&amp;"'"&amp;"!B:B"))</f>
        <v>#REF!</v>
      </c>
      <c r="AP6" s="2311">
        <f>IF(C6="住宅",K6*L6,0)</f>
        <v>0</v>
      </c>
      <c r="AQ6" s="55">
        <f>ROUND($L$14*$N$14*S6/10000,0)</f>
        <v>100</v>
      </c>
      <c r="AR6" s="55">
        <f>ROUND($L$14*(1-$N$14)*S6/10000,0)</f>
        <v>899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地下办公</v>
      </c>
      <c r="B7" s="2308" t="str">
        <f t="shared" ref="B7:B13" si="1">IF(A7=0,"","经营性")</f>
        <v>经营性</v>
      </c>
      <c r="C7" s="2309" t="s">
        <v>27</v>
      </c>
      <c r="D7" s="1054">
        <f>SUMIF(项目基本情况!D$12:I$12,C7,项目基本情况!D$14:I$14)</f>
        <v>50</v>
      </c>
      <c r="E7" s="1051">
        <f>IF(B7="","",SUMIF(项目基本情况!D$12:I$12,C7,项目基本情况!D$13:I$13))</f>
        <v>58878</v>
      </c>
      <c r="F7" s="72">
        <f>SUMIF(项目基本情况!D$12:I$12,C7,项目基本情况!D$15:I$15)</f>
        <v>43.11</v>
      </c>
      <c r="G7" s="73">
        <f t="shared" ref="G7:G11" si="2">IF(ISERROR(ROUND(POWER(1+H7,D7-F7)*(POWER(1+H7,F7)-1)/(POWER(1+H7,D7)-1),3)),0,ROUND(POWER(1+H7,D7-F7)*(POWER(1+H7,F7)-1)/(POWER(1+H7,D7)-1),3))</f>
        <v>0.96199999999999997</v>
      </c>
      <c r="H7" s="2953">
        <f t="shared" ref="H7:H11" si="3">I7-0.5%</f>
        <v>0.05</v>
      </c>
      <c r="I7" s="802">
        <f>I6</f>
        <v>5.5E-2</v>
      </c>
      <c r="J7" s="74">
        <f>J6</f>
        <v>8.5000000000000006E-2</v>
      </c>
      <c r="K7" s="1254">
        <f>SUMIF('数据-汇总表'!C$19:C$33,A7,'数据-汇总表'!E$19:E$33)</f>
        <v>285.77999999999997</v>
      </c>
      <c r="L7" s="803">
        <f>L6</f>
        <v>2800</v>
      </c>
      <c r="M7" s="75">
        <f t="shared" si="0"/>
        <v>80</v>
      </c>
      <c r="N7" s="801">
        <f>N6</f>
        <v>0.1</v>
      </c>
      <c r="O7" s="75">
        <f t="shared" ref="O7:O14" si="4">IF($N$5="成新度","——",ROUND(M7*N7,0))</f>
        <v>8</v>
      </c>
      <c r="P7" s="76">
        <f t="shared" ref="P7:P14" si="5">IF($N$5="成新度","——",M7-O7)</f>
        <v>72</v>
      </c>
      <c r="Q7" s="804">
        <f>Q6</f>
        <v>0.25</v>
      </c>
      <c r="R7" s="77">
        <f ca="1">SUMIF('数据-汇总表'!C$19:C$33,A7,'数据-汇总表'!R$19:R$27)</f>
        <v>22.86</v>
      </c>
      <c r="S7" s="54">
        <f>IF('数据-汇总表'!$I$17="按面积比例",SUMIF('数据-汇总表'!C$19:C$33,A7,'数据-汇总表'!K$19:K$33),SUMIF('数据-汇总表'!C$19:C$33,A7,'数据-汇总表'!N$19:N$33))</f>
        <v>17.600000000000001</v>
      </c>
      <c r="T7" s="1446">
        <f t="shared" ref="T7:T13" si="6">ROUND($L$14*S7/10000,0)</f>
        <v>4</v>
      </c>
      <c r="U7" s="78"/>
      <c r="V7" s="79"/>
      <c r="W7" s="79"/>
      <c r="X7" s="1264"/>
      <c r="Y7" s="80"/>
      <c r="Z7" s="81"/>
      <c r="AA7" s="74"/>
      <c r="AB7" s="74"/>
      <c r="AC7" s="1264"/>
      <c r="AD7" s="82"/>
      <c r="AE7" s="1265">
        <f t="shared" ref="AE7:AE13" ca="1" si="7">IF(AN7="",0,SUMIF(INDIRECT("'"&amp;AN7&amp;"'"&amp;"!E:E"),$AE$5,INDIRECT("'"&amp;AN7&amp;"'"&amp;"!F:F")))</f>
        <v>0</v>
      </c>
      <c r="AF7" s="1805"/>
      <c r="AG7" s="147">
        <f t="shared" ref="AG7:AG13" si="8">IF(AF7="",0,AE7-AF7)</f>
        <v>0</v>
      </c>
      <c r="AH7" s="83"/>
      <c r="AI7" s="85">
        <v>365</v>
      </c>
      <c r="AJ7" s="86"/>
      <c r="AK7" s="87"/>
      <c r="AL7" s="88"/>
      <c r="AM7" s="89"/>
      <c r="AN7" s="2310"/>
      <c r="AO7" s="55" t="e">
        <f t="shared" ref="AO7:AO13" ca="1" si="9">SUMIF(INDIRECT("'"&amp;AN7&amp;"'"&amp;"!A:A"),"总价",INDIRECT("'"&amp;AN7&amp;"'"&amp;"!B:B"))</f>
        <v>#REF!</v>
      </c>
      <c r="AP7" s="2311">
        <f t="shared" ref="AP7:AP13" si="10">IF(C7="住宅",K7*L7,0)</f>
        <v>0</v>
      </c>
      <c r="AQ7" s="55">
        <f t="shared" ref="AQ7:AQ13" si="11">ROUND($L$14*$N$14*S7/10000,0)</f>
        <v>0</v>
      </c>
      <c r="AR7" s="55">
        <f t="shared" ref="AR7:AR13" si="12">ROUND($L$14*(1-$N$14)*S7/10000,0)</f>
        <v>3</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地上商业</v>
      </c>
      <c r="B8" s="2308" t="str">
        <f t="shared" si="1"/>
        <v>经营性</v>
      </c>
      <c r="C8" s="2309" t="s">
        <v>1371</v>
      </c>
      <c r="D8" s="1054">
        <f>SUMIF(项目基本情况!D$12:I$12,C8,项目基本情况!D$14:I$14)</f>
        <v>40</v>
      </c>
      <c r="E8" s="1051">
        <f>IF(B8="","",SUMIF(项目基本情况!D$12:I$12,C8,项目基本情况!D$13:I$13))</f>
        <v>55225</v>
      </c>
      <c r="F8" s="72">
        <f>SUMIF(项目基本情况!D$12:I$12,C8,项目基本情况!D$15:I$15)</f>
        <v>33.1</v>
      </c>
      <c r="G8" s="73">
        <f t="shared" si="2"/>
        <v>0.94099999999999995</v>
      </c>
      <c r="H8" s="2953">
        <f t="shared" si="3"/>
        <v>5.5E-2</v>
      </c>
      <c r="I8" s="802">
        <v>0.06</v>
      </c>
      <c r="J8" s="74">
        <f>J7</f>
        <v>8.5000000000000006E-2</v>
      </c>
      <c r="K8" s="1254">
        <f>SUMIF('数据-汇总表'!C$19:C$33,A8,'数据-汇总表'!E$19:E$33)</f>
        <v>10736</v>
      </c>
      <c r="L8" s="803">
        <f>L7</f>
        <v>2800</v>
      </c>
      <c r="M8" s="75">
        <f>ROUND(K8*L8/10000,0)</f>
        <v>3006</v>
      </c>
      <c r="N8" s="801">
        <f>N7</f>
        <v>0.1</v>
      </c>
      <c r="O8" s="75">
        <f t="shared" si="4"/>
        <v>301</v>
      </c>
      <c r="P8" s="76">
        <f t="shared" si="5"/>
        <v>2705</v>
      </c>
      <c r="Q8" s="804">
        <v>0.25</v>
      </c>
      <c r="R8" s="77">
        <f ca="1">SUMIF('数据-汇总表'!C$19:C$33,A8,'数据-汇总表'!R$19:R$27)</f>
        <v>858.63</v>
      </c>
      <c r="S8" s="54">
        <f>IF('数据-汇总表'!$I$17="按面积比例",SUMIF('数据-汇总表'!C$19:C$33,A8,'数据-汇总表'!K$19:K$33),SUMIF('数据-汇总表'!C$19:C$33,A8,'数据-汇总表'!N$19:N$33))</f>
        <v>661</v>
      </c>
      <c r="T8" s="1446">
        <f t="shared" si="6"/>
        <v>145</v>
      </c>
      <c r="U8" s="805">
        <f>W25</f>
        <v>7</v>
      </c>
      <c r="V8" s="806">
        <v>0.03</v>
      </c>
      <c r="W8" s="806">
        <v>0.1</v>
      </c>
      <c r="X8" s="1264"/>
      <c r="Y8" s="807">
        <v>1</v>
      </c>
      <c r="Z8" s="81"/>
      <c r="AA8" s="74"/>
      <c r="AB8" s="74"/>
      <c r="AC8" s="1264"/>
      <c r="AD8" s="82"/>
      <c r="AE8" s="1265">
        <f t="shared" ca="1" si="7"/>
        <v>30.6</v>
      </c>
      <c r="AF8" s="1805"/>
      <c r="AG8" s="147">
        <f t="shared" si="8"/>
        <v>0</v>
      </c>
      <c r="AH8" s="808"/>
      <c r="AI8" s="85">
        <v>365</v>
      </c>
      <c r="AJ8" s="86"/>
      <c r="AK8" s="809">
        <v>1.4999999999999999E-2</v>
      </c>
      <c r="AL8" s="810">
        <v>1.5E-3</v>
      </c>
      <c r="AM8" s="811">
        <v>0.01</v>
      </c>
      <c r="AN8" s="2310" t="s">
        <v>3181</v>
      </c>
      <c r="AO8" s="55">
        <f t="shared" ca="1" si="9"/>
        <v>42657</v>
      </c>
      <c r="AP8" s="2311">
        <f t="shared" si="10"/>
        <v>0</v>
      </c>
      <c r="AQ8" s="55">
        <f t="shared" si="11"/>
        <v>15</v>
      </c>
      <c r="AR8" s="55">
        <f t="shared" si="12"/>
        <v>131</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地下商业</v>
      </c>
      <c r="B9" s="2308" t="str">
        <f t="shared" si="1"/>
        <v>经营性</v>
      </c>
      <c r="C9" s="2309" t="s">
        <v>1371</v>
      </c>
      <c r="D9" s="1054">
        <f>SUMIF(项目基本情况!D$12:I$12,C9,项目基本情况!D$14:I$14)</f>
        <v>40</v>
      </c>
      <c r="E9" s="1051">
        <f>IF(B9="","",SUMIF(项目基本情况!D$12:I$12,C9,项目基本情况!D$13:I$13))</f>
        <v>55225</v>
      </c>
      <c r="F9" s="72">
        <f>SUMIF(项目基本情况!D$12:I$12,C9,项目基本情况!D$15:I$15)</f>
        <v>33.1</v>
      </c>
      <c r="G9" s="73">
        <f t="shared" si="2"/>
        <v>0.94099999999999995</v>
      </c>
      <c r="H9" s="2953">
        <f t="shared" si="3"/>
        <v>5.5E-2</v>
      </c>
      <c r="I9" s="74">
        <f>I8</f>
        <v>0.06</v>
      </c>
      <c r="J9" s="74">
        <f t="shared" ref="J9:J11" si="13">J8</f>
        <v>8.5000000000000006E-2</v>
      </c>
      <c r="K9" s="1254">
        <f>SUMIF('数据-汇总表'!C$19:C$33,A9,'数据-汇总表'!E$19:E$33)</f>
        <v>5963.33</v>
      </c>
      <c r="L9" s="803">
        <f>L8</f>
        <v>2800</v>
      </c>
      <c r="M9" s="75">
        <f t="shared" si="0"/>
        <v>1670</v>
      </c>
      <c r="N9" s="801">
        <f>N8</f>
        <v>0.1</v>
      </c>
      <c r="O9" s="75">
        <f t="shared" si="4"/>
        <v>167</v>
      </c>
      <c r="P9" s="76">
        <f t="shared" si="5"/>
        <v>1503</v>
      </c>
      <c r="Q9" s="90">
        <f>Q8</f>
        <v>0.25</v>
      </c>
      <c r="R9" s="77">
        <f ca="1">SUMIF('数据-汇总表'!C$19:C$33,A9,'数据-汇总表'!R$19:R$27)</f>
        <v>476.93</v>
      </c>
      <c r="S9" s="54">
        <f>IF('数据-汇总表'!$I$17="按面积比例",SUMIF('数据-汇总表'!C$19:C$33,A9,'数据-汇总表'!K$19:K$33),SUMIF('数据-汇总表'!C$19:C$33,A9,'数据-汇总表'!N$19:N$33))</f>
        <v>367.15</v>
      </c>
      <c r="T9" s="1446">
        <f t="shared" si="6"/>
        <v>81</v>
      </c>
      <c r="U9" s="78">
        <f>案例!F23*0.5</f>
        <v>5</v>
      </c>
      <c r="V9" s="79">
        <f>V8</f>
        <v>0.03</v>
      </c>
      <c r="W9" s="79">
        <f>W8</f>
        <v>0.1</v>
      </c>
      <c r="X9" s="1264"/>
      <c r="Y9" s="80">
        <f>Y8</f>
        <v>1</v>
      </c>
      <c r="Z9" s="81"/>
      <c r="AA9" s="74"/>
      <c r="AB9" s="74"/>
      <c r="AC9" s="1264"/>
      <c r="AD9" s="82"/>
      <c r="AE9" s="1265">
        <f t="shared" ca="1" si="7"/>
        <v>30.6</v>
      </c>
      <c r="AF9" s="1805"/>
      <c r="AG9" s="147">
        <f t="shared" si="8"/>
        <v>0</v>
      </c>
      <c r="AH9" s="83"/>
      <c r="AI9" s="85">
        <v>365</v>
      </c>
      <c r="AJ9" s="86"/>
      <c r="AK9" s="87">
        <f>AK8</f>
        <v>1.4999999999999999E-2</v>
      </c>
      <c r="AL9" s="88">
        <f>AL8</f>
        <v>1.5E-3</v>
      </c>
      <c r="AM9" s="89">
        <f>AM8</f>
        <v>0.01</v>
      </c>
      <c r="AN9" s="2310" t="s">
        <v>3182</v>
      </c>
      <c r="AO9" s="55">
        <f t="shared" ca="1" si="9"/>
        <v>16505</v>
      </c>
      <c r="AP9" s="2311">
        <f t="shared" si="10"/>
        <v>0</v>
      </c>
      <c r="AQ9" s="55">
        <f t="shared" si="11"/>
        <v>8</v>
      </c>
      <c r="AR9" s="55">
        <f t="shared" si="12"/>
        <v>73</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t="str">
        <f>'数据-汇总表'!C23</f>
        <v>车库</v>
      </c>
      <c r="B10" s="2308" t="str">
        <f t="shared" si="1"/>
        <v>经营性</v>
      </c>
      <c r="C10" s="2309" t="s">
        <v>3056</v>
      </c>
      <c r="D10" s="1054">
        <f>SUMIF(项目基本情况!D$12:I$12,C10,项目基本情况!D$14:I$14)</f>
        <v>50</v>
      </c>
      <c r="E10" s="1051">
        <f>IF(B10="","",SUMIF(项目基本情况!D$12:I$12,C10,项目基本情况!D$13:I$13))</f>
        <v>58878</v>
      </c>
      <c r="F10" s="72">
        <f>SUMIF(项目基本情况!D$12:I$12,C10,项目基本情况!D$15:I$15)</f>
        <v>43.11</v>
      </c>
      <c r="G10" s="73">
        <f t="shared" si="2"/>
        <v>0.95599999999999996</v>
      </c>
      <c r="H10" s="2953">
        <f t="shared" si="3"/>
        <v>4.5000000000000005E-2</v>
      </c>
      <c r="I10" s="74">
        <v>0.05</v>
      </c>
      <c r="J10" s="74">
        <f t="shared" si="13"/>
        <v>8.5000000000000006E-2</v>
      </c>
      <c r="K10" s="1254">
        <f>SUMIF('数据-汇总表'!C$19:C$33,A10,'数据-汇总表'!E$19:E$33)</f>
        <v>19749.8</v>
      </c>
      <c r="L10" s="803">
        <v>2200</v>
      </c>
      <c r="M10" s="75">
        <f t="shared" si="0"/>
        <v>4345</v>
      </c>
      <c r="N10" s="801">
        <f>N9</f>
        <v>0.1</v>
      </c>
      <c r="O10" s="75">
        <f t="shared" si="4"/>
        <v>435</v>
      </c>
      <c r="P10" s="76">
        <f t="shared" si="5"/>
        <v>3910</v>
      </c>
      <c r="Q10" s="90">
        <v>0.1</v>
      </c>
      <c r="R10" s="77">
        <f ca="1">SUMIF('数据-汇总表'!C$19:C$33,A10,'数据-汇总表'!R$19:R$27)</f>
        <v>1579.53</v>
      </c>
      <c r="S10" s="54">
        <f>IF('数据-汇总表'!$I$17="按面积比例",SUMIF('数据-汇总表'!C$19:C$33,A10,'数据-汇总表'!K$19:K$33),SUMIF('数据-汇总表'!C$19:C$33,A10,'数据-汇总表'!N$19:N$33))</f>
        <v>1215.97</v>
      </c>
      <c r="T10" s="1446">
        <f t="shared" si="6"/>
        <v>268</v>
      </c>
      <c r="U10" s="78">
        <v>1.5</v>
      </c>
      <c r="V10" s="79">
        <v>1.4999999999999999E-2</v>
      </c>
      <c r="W10" s="79">
        <v>0.1</v>
      </c>
      <c r="X10" s="1264"/>
      <c r="Y10" s="80">
        <v>1</v>
      </c>
      <c r="Z10" s="81"/>
      <c r="AA10" s="74"/>
      <c r="AB10" s="74"/>
      <c r="AC10" s="1264"/>
      <c r="AD10" s="82"/>
      <c r="AE10" s="1265">
        <f t="shared" ca="1" si="7"/>
        <v>40.61</v>
      </c>
      <c r="AF10" s="1805"/>
      <c r="AG10" s="147">
        <f t="shared" si="8"/>
        <v>0</v>
      </c>
      <c r="AH10" s="83"/>
      <c r="AI10" s="85">
        <v>365</v>
      </c>
      <c r="AJ10" s="86"/>
      <c r="AK10" s="87">
        <f>AK9</f>
        <v>1.4999999999999999E-2</v>
      </c>
      <c r="AL10" s="87">
        <f t="shared" ref="AL10:AM11" si="14">AL9</f>
        <v>1.5E-3</v>
      </c>
      <c r="AM10" s="87">
        <f t="shared" si="14"/>
        <v>0.01</v>
      </c>
      <c r="AN10" s="2310" t="s">
        <v>3183</v>
      </c>
      <c r="AO10" s="55">
        <f t="shared" ca="1" si="9"/>
        <v>15892</v>
      </c>
      <c r="AP10" s="2311">
        <f t="shared" si="10"/>
        <v>0</v>
      </c>
      <c r="AQ10" s="55">
        <f t="shared" si="11"/>
        <v>27</v>
      </c>
      <c r="AR10" s="55">
        <f t="shared" si="12"/>
        <v>241</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t="str">
        <f>'数据-汇总表'!C24</f>
        <v>仓储</v>
      </c>
      <c r="B11" s="2308" t="str">
        <f t="shared" si="1"/>
        <v>经营性</v>
      </c>
      <c r="C11" s="2309" t="s">
        <v>27</v>
      </c>
      <c r="D11" s="1054">
        <f>SUMIF(项目基本情况!D$12:I$12,C11,项目基本情况!D$14:I$14)</f>
        <v>50</v>
      </c>
      <c r="E11" s="1051">
        <f>IF(B11="","",SUMIF(项目基本情况!D$12:I$12,C11,项目基本情况!D$13:I$13))</f>
        <v>58878</v>
      </c>
      <c r="F11" s="72">
        <f>SUMIF(项目基本情况!D$12:I$12,C11,项目基本情况!D$15:I$15)</f>
        <v>43.11</v>
      </c>
      <c r="G11" s="73">
        <f t="shared" si="2"/>
        <v>0.95599999999999996</v>
      </c>
      <c r="H11" s="2953">
        <f t="shared" si="3"/>
        <v>4.5000000000000005E-2</v>
      </c>
      <c r="I11" s="74">
        <v>0.05</v>
      </c>
      <c r="J11" s="74">
        <f t="shared" si="13"/>
        <v>8.5000000000000006E-2</v>
      </c>
      <c r="K11" s="1254">
        <f>SUMIF('数据-汇总表'!C$19:C$33,A11,'数据-汇总表'!E$19:E$33)</f>
        <v>1400.8</v>
      </c>
      <c r="L11" s="91">
        <f>L10</f>
        <v>2200</v>
      </c>
      <c r="M11" s="75">
        <f t="shared" si="0"/>
        <v>308</v>
      </c>
      <c r="N11" s="92">
        <f>N10</f>
        <v>0.1</v>
      </c>
      <c r="O11" s="75">
        <f t="shared" si="4"/>
        <v>31</v>
      </c>
      <c r="P11" s="76">
        <f t="shared" si="5"/>
        <v>277</v>
      </c>
      <c r="Q11" s="90">
        <v>0.05</v>
      </c>
      <c r="R11" s="77">
        <f ca="1">SUMIF('数据-汇总表'!C$19:C$33,A11,'数据-汇总表'!R$19:R$27)</f>
        <v>112.03</v>
      </c>
      <c r="S11" s="54">
        <f>IF('数据-汇总表'!$I$17="按面积比例",SUMIF('数据-汇总表'!C$19:C$33,A11,'数据-汇总表'!K$19:K$33),SUMIF('数据-汇总表'!C$19:C$33,A11,'数据-汇总表'!N$19:N$33))</f>
        <v>86.25</v>
      </c>
      <c r="T11" s="1446">
        <f t="shared" si="6"/>
        <v>19</v>
      </c>
      <c r="U11" s="78">
        <v>1.6</v>
      </c>
      <c r="V11" s="74">
        <f>V10</f>
        <v>1.4999999999999999E-2</v>
      </c>
      <c r="W11" s="74">
        <f>W10</f>
        <v>0.1</v>
      </c>
      <c r="X11" s="1264"/>
      <c r="Y11" s="80">
        <f>Y10</f>
        <v>1</v>
      </c>
      <c r="Z11" s="93"/>
      <c r="AA11" s="74"/>
      <c r="AB11" s="74"/>
      <c r="AC11" s="1264"/>
      <c r="AD11" s="82"/>
      <c r="AE11" s="1265">
        <f t="shared" ca="1" si="7"/>
        <v>40.61</v>
      </c>
      <c r="AF11" s="1805"/>
      <c r="AG11" s="147">
        <f t="shared" si="8"/>
        <v>0</v>
      </c>
      <c r="AH11" s="83"/>
      <c r="AI11" s="85">
        <v>365</v>
      </c>
      <c r="AJ11" s="86"/>
      <c r="AK11" s="94">
        <f>AK10</f>
        <v>1.4999999999999999E-2</v>
      </c>
      <c r="AL11" s="94">
        <f t="shared" si="14"/>
        <v>1.5E-3</v>
      </c>
      <c r="AM11" s="94">
        <f t="shared" si="14"/>
        <v>0.01</v>
      </c>
      <c r="AN11" s="2310" t="s">
        <v>3185</v>
      </c>
      <c r="AO11" s="55">
        <f t="shared" ca="1" si="9"/>
        <v>1239</v>
      </c>
      <c r="AP11" s="2311">
        <f t="shared" si="10"/>
        <v>0</v>
      </c>
      <c r="AQ11" s="55">
        <f t="shared" si="11"/>
        <v>2</v>
      </c>
      <c r="AR11" s="55">
        <f t="shared" si="12"/>
        <v>17</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46">
        <f t="shared" si="6"/>
        <v>0</v>
      </c>
      <c r="U12" s="83"/>
      <c r="V12" s="74"/>
      <c r="W12" s="74"/>
      <c r="X12" s="1264"/>
      <c r="Y12" s="80"/>
      <c r="Z12" s="93"/>
      <c r="AA12" s="74"/>
      <c r="AB12" s="74"/>
      <c r="AC12" s="1264"/>
      <c r="AD12" s="82"/>
      <c r="AE12" s="1265">
        <f t="shared" ca="1" si="7"/>
        <v>0</v>
      </c>
      <c r="AF12" s="1805"/>
      <c r="AG12" s="147">
        <f t="shared" si="8"/>
        <v>0</v>
      </c>
      <c r="AH12" s="83"/>
      <c r="AI12" s="85">
        <v>365</v>
      </c>
      <c r="AJ12" s="86"/>
      <c r="AK12" s="94"/>
      <c r="AL12" s="95"/>
      <c r="AM12" s="96"/>
      <c r="AN12" s="2310"/>
      <c r="AO12" s="55" t="e">
        <f t="shared" ca="1" si="9"/>
        <v>#REF!</v>
      </c>
      <c r="AP12" s="2311">
        <f t="shared" si="10"/>
        <v>0</v>
      </c>
      <c r="AQ12" s="55">
        <f t="shared" si="11"/>
        <v>0</v>
      </c>
      <c r="AR12" s="55">
        <f t="shared" si="12"/>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46">
        <f t="shared" si="6"/>
        <v>0</v>
      </c>
      <c r="U13" s="78"/>
      <c r="V13" s="79"/>
      <c r="W13" s="79"/>
      <c r="X13" s="1264"/>
      <c r="Y13" s="80"/>
      <c r="Z13" s="81"/>
      <c r="AA13" s="74"/>
      <c r="AB13" s="74"/>
      <c r="AC13" s="1264"/>
      <c r="AD13" s="82"/>
      <c r="AE13" s="1265">
        <f t="shared" ca="1" si="7"/>
        <v>0</v>
      </c>
      <c r="AF13" s="1805"/>
      <c r="AG13" s="147">
        <f t="shared" si="8"/>
        <v>0</v>
      </c>
      <c r="AH13" s="83"/>
      <c r="AI13" s="85"/>
      <c r="AJ13" s="86"/>
      <c r="AK13" s="87"/>
      <c r="AL13" s="88"/>
      <c r="AM13" s="89"/>
      <c r="AN13" s="2310"/>
      <c r="AO13" s="55" t="e">
        <f t="shared" ca="1" si="9"/>
        <v>#REF!</v>
      </c>
      <c r="AP13" s="2311">
        <f t="shared" si="10"/>
        <v>0</v>
      </c>
      <c r="AQ13" s="55">
        <f t="shared" si="11"/>
        <v>0</v>
      </c>
      <c r="AR13" s="55">
        <f t="shared" si="12"/>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4"/>
      <c r="E14" s="1051"/>
      <c r="F14" s="72"/>
      <c r="G14" s="73"/>
      <c r="H14" s="1253"/>
      <c r="I14" s="1253"/>
      <c r="J14" s="1253"/>
      <c r="K14" s="1254">
        <f>SUMIF('数据-汇总表'!C$19:C$33,A14,'数据-汇总表'!E$19:E$33)</f>
        <v>6889.4</v>
      </c>
      <c r="L14" s="91">
        <f>L10</f>
        <v>2200</v>
      </c>
      <c r="M14" s="75">
        <f t="shared" si="0"/>
        <v>1516</v>
      </c>
      <c r="N14" s="92">
        <f>N11</f>
        <v>0.1</v>
      </c>
      <c r="O14" s="75">
        <f t="shared" si="4"/>
        <v>152</v>
      </c>
      <c r="P14" s="76">
        <f t="shared" si="5"/>
        <v>1364</v>
      </c>
      <c r="Q14" s="1257"/>
      <c r="R14" s="77"/>
      <c r="S14" s="54"/>
      <c r="T14" s="1446"/>
      <c r="U14" s="723"/>
      <c r="V14" s="1259"/>
      <c r="W14" s="1259"/>
      <c r="X14" s="1260"/>
      <c r="Y14" s="1261"/>
      <c r="Z14" s="1262"/>
      <c r="AA14" s="1263"/>
      <c r="AB14" s="1263"/>
      <c r="AC14" s="1264"/>
      <c r="AD14" s="1260"/>
      <c r="AE14" s="1265"/>
      <c r="AF14" s="55"/>
      <c r="AG14" s="147"/>
      <c r="AH14" s="1265"/>
      <c r="AI14" s="1816"/>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6"/>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7"/>
      <c r="C16" s="1008"/>
      <c r="D16" s="2315"/>
      <c r="E16" s="97"/>
      <c r="F16" s="97"/>
      <c r="G16" s="98">
        <f>ROUND(SUMPRODUCT(G6:G13,K6:K13)/SUMPRODUCT((G6:G13&gt;0)*(K6:K13)),3)</f>
        <v>0.95799999999999996</v>
      </c>
      <c r="H16" s="99">
        <f>ROUND(SUMPRODUCT(H6:H13,K6:K13)/SUMPRODUCT((H6:H13&gt;0)*(K6:K13)),3)</f>
        <v>0.05</v>
      </c>
      <c r="I16" s="100"/>
      <c r="J16" s="100"/>
      <c r="K16" s="101">
        <f>SUM(K6:K15)</f>
        <v>118787.11</v>
      </c>
      <c r="L16" s="102">
        <f>ROUND(M16*10000/SUM(K6:K14),0)</f>
        <v>2658</v>
      </c>
      <c r="M16" s="102">
        <f>SUM(M6:M14)</f>
        <v>31578</v>
      </c>
      <c r="N16" s="103">
        <f>ROUND(SUMPRODUCT(M6:M14,N6:N14)/M16,3)</f>
        <v>0.1</v>
      </c>
      <c r="O16" s="102">
        <f>SUM(O6:O14)</f>
        <v>3159</v>
      </c>
      <c r="P16" s="102">
        <f>SUM(P6:P14)</f>
        <v>28419</v>
      </c>
      <c r="Q16" s="104">
        <f>ROUND(SUMPRODUCT(Q6:Q13,K6:K13)/SUMPRODUCT((Q6:Q13&gt;0)*(K6:K13)),2)</f>
        <v>0.22</v>
      </c>
      <c r="R16" s="1258">
        <f ca="1">SUM(R6:R13)</f>
        <v>8949.2200000000012</v>
      </c>
      <c r="S16" s="105">
        <f>SUM(S6:S13)</f>
        <v>6889.4000000000005</v>
      </c>
      <c r="T16" s="106">
        <f>IF(SUMIF(T6:T13,"&lt;9E307")=M14,SUMIF(T6:T13,"&lt;9E307"),"有误，请检查")</f>
        <v>1516</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2016</v>
      </c>
      <c r="B19" s="112">
        <v>0</v>
      </c>
      <c r="C19" s="2278" t="s">
        <v>2017</v>
      </c>
      <c r="D19" s="2279"/>
      <c r="E19" s="2278"/>
      <c r="F19" s="2278"/>
      <c r="G19" s="2278"/>
      <c r="H19" s="2278"/>
      <c r="I19" s="2278"/>
      <c r="J19" s="2278"/>
      <c r="K19" s="168"/>
      <c r="L19" s="168"/>
      <c r="M19" s="1583"/>
      <c r="N19" s="1583"/>
      <c r="O19" s="1583"/>
      <c r="P19" s="1583"/>
      <c r="Q19" s="1583"/>
      <c r="R19" s="1583"/>
      <c r="S19" s="1583"/>
      <c r="T19" s="1944" t="s">
        <v>3176</v>
      </c>
      <c r="U19" s="2976"/>
      <c r="V19" s="2976"/>
      <c r="W19" s="2976"/>
      <c r="X19" s="1583"/>
      <c r="Y19" s="1583"/>
      <c r="Z19" s="1583"/>
      <c r="AA19" s="1583"/>
      <c r="AB19" s="1583"/>
      <c r="AC19" s="1583"/>
      <c r="AD19" s="1583"/>
      <c r="AE19" s="1583"/>
      <c r="AF19" s="1583"/>
      <c r="AG19" s="1583"/>
      <c r="AH19" s="1583"/>
      <c r="AI19" s="1583"/>
      <c r="AJ19" s="1583"/>
      <c r="AK19" s="1583"/>
      <c r="AL19" s="1583"/>
      <c r="AM19" s="1583"/>
    </row>
    <row r="20" spans="1:67" ht="14.25">
      <c r="A20" s="2318" t="s">
        <v>2018</v>
      </c>
      <c r="B20" s="113">
        <v>3</v>
      </c>
      <c r="C20" s="2278" t="s">
        <v>2019</v>
      </c>
      <c r="D20" s="2279"/>
      <c r="E20" s="2278"/>
      <c r="F20" s="2278"/>
      <c r="G20" s="2278"/>
      <c r="H20" s="2278"/>
      <c r="I20" s="2278"/>
      <c r="J20" s="2278"/>
      <c r="K20" s="168"/>
      <c r="L20" s="168"/>
      <c r="M20" s="1583"/>
      <c r="N20" s="1583"/>
      <c r="O20" s="1583"/>
      <c r="P20" s="1583"/>
      <c r="Q20" s="1583"/>
      <c r="R20" s="1583"/>
      <c r="S20" s="1583"/>
      <c r="T20" s="1944" t="s">
        <v>3177</v>
      </c>
      <c r="U20" s="1944" t="s">
        <v>3178</v>
      </c>
      <c r="V20" s="1944" t="s">
        <v>3180</v>
      </c>
      <c r="W20" s="1944" t="s">
        <v>3179</v>
      </c>
      <c r="X20" s="1583"/>
      <c r="Y20" s="1583"/>
      <c r="Z20" s="1583"/>
      <c r="AA20" s="1583"/>
      <c r="AB20" s="1583"/>
      <c r="AC20" s="1583"/>
      <c r="AD20" s="1583"/>
      <c r="AE20" s="1583"/>
      <c r="AF20" s="1583"/>
      <c r="AG20" s="1583"/>
      <c r="AH20" s="1583"/>
      <c r="AI20" s="1583"/>
      <c r="AJ20" s="1583"/>
      <c r="AK20" s="1583"/>
      <c r="AL20" s="1583"/>
      <c r="AM20" s="1583"/>
    </row>
    <row r="21" spans="1:67" ht="14.25">
      <c r="A21" s="2319" t="s">
        <v>2020</v>
      </c>
      <c r="B21" s="113">
        <v>0.5</v>
      </c>
      <c r="C21" s="2278"/>
      <c r="D21" s="2279"/>
      <c r="E21" s="2278"/>
      <c r="F21" s="2278"/>
      <c r="G21" s="2278"/>
      <c r="H21" s="2278"/>
      <c r="I21" s="2278"/>
      <c r="J21" s="2278"/>
      <c r="K21" s="168"/>
      <c r="L21" s="168"/>
      <c r="M21" s="1583"/>
      <c r="N21" s="1583"/>
      <c r="O21" s="1583"/>
      <c r="P21" s="1583"/>
      <c r="Q21" s="1583"/>
      <c r="R21" s="1583"/>
      <c r="S21" s="1583"/>
      <c r="T21" s="2976">
        <v>1</v>
      </c>
      <c r="U21" s="2976">
        <f>'数据-汇总表'!E21/4</f>
        <v>2684</v>
      </c>
      <c r="V21" s="2976">
        <v>1</v>
      </c>
      <c r="W21" s="2976">
        <v>10</v>
      </c>
      <c r="X21" s="1583"/>
      <c r="Y21" s="1583"/>
      <c r="Z21" s="1583"/>
      <c r="AA21" s="1583"/>
      <c r="AB21" s="1583"/>
      <c r="AC21" s="1583"/>
      <c r="AD21" s="1583"/>
      <c r="AE21" s="1583"/>
      <c r="AF21" s="1583"/>
      <c r="AG21" s="1583"/>
      <c r="AH21" s="1583"/>
      <c r="AI21" s="1583"/>
      <c r="AJ21" s="1583"/>
      <c r="AK21" s="1583"/>
      <c r="AL21" s="1583"/>
      <c r="AM21" s="1583"/>
    </row>
    <row r="22" spans="1:67" ht="14.25">
      <c r="A22" s="2318" t="s">
        <v>2021</v>
      </c>
      <c r="B22" s="114">
        <f>B19+B20</f>
        <v>3</v>
      </c>
      <c r="C22" s="2278"/>
      <c r="D22" s="2279"/>
      <c r="E22" s="2278"/>
      <c r="F22" s="2278"/>
      <c r="G22" s="2278"/>
      <c r="H22" s="2278"/>
      <c r="I22" s="2278"/>
      <c r="J22" s="2278"/>
      <c r="K22" s="168"/>
      <c r="L22" s="168"/>
      <c r="M22" s="1583"/>
      <c r="N22" s="1583"/>
      <c r="O22" s="1583"/>
      <c r="P22" s="1583"/>
      <c r="Q22" s="1583"/>
      <c r="R22" s="1583"/>
      <c r="S22" s="1583"/>
      <c r="T22" s="2976">
        <v>2</v>
      </c>
      <c r="U22" s="2976">
        <f>U21</f>
        <v>2684</v>
      </c>
      <c r="V22" s="2976">
        <v>0.65</v>
      </c>
      <c r="W22" s="2976">
        <f>$W$21*V22</f>
        <v>6.5</v>
      </c>
      <c r="X22" s="1583"/>
      <c r="Y22" s="1583"/>
      <c r="Z22" s="1583"/>
      <c r="AA22" s="1583"/>
      <c r="AB22" s="1583"/>
      <c r="AC22" s="1583"/>
      <c r="AD22" s="1583"/>
      <c r="AE22" s="1583"/>
      <c r="AF22" s="1583"/>
      <c r="AG22" s="1583"/>
      <c r="AH22" s="1583"/>
      <c r="AI22" s="1583"/>
      <c r="AJ22" s="1583"/>
      <c r="AK22" s="1583"/>
      <c r="AL22" s="1583"/>
      <c r="AM22" s="1583"/>
    </row>
    <row r="23" spans="1:67" ht="14.25">
      <c r="A23" s="2319" t="s">
        <v>2022</v>
      </c>
      <c r="B23" s="114">
        <f>B19+B21</f>
        <v>0.5</v>
      </c>
      <c r="C23" s="2278"/>
      <c r="D23" s="2279"/>
      <c r="E23" s="2278"/>
      <c r="F23" s="2278"/>
      <c r="G23" s="2278"/>
      <c r="H23" s="2278"/>
      <c r="I23" s="2278"/>
      <c r="J23" s="2278"/>
      <c r="K23" s="168"/>
      <c r="L23" s="168"/>
      <c r="M23" s="1583"/>
      <c r="N23" s="1583"/>
      <c r="O23" s="1583"/>
      <c r="P23" s="1583"/>
      <c r="Q23" s="1583"/>
      <c r="R23" s="1583"/>
      <c r="S23" s="1583"/>
      <c r="T23" s="2976">
        <v>3</v>
      </c>
      <c r="U23" s="2976">
        <f>U22</f>
        <v>2684</v>
      </c>
      <c r="V23" s="2976">
        <v>0.6</v>
      </c>
      <c r="W23" s="2976">
        <f t="shared" ref="W23:W24" si="15">$W$21*V23</f>
        <v>6</v>
      </c>
      <c r="X23" s="1583"/>
      <c r="Y23" s="1583"/>
      <c r="Z23" s="1583"/>
      <c r="AA23" s="1583"/>
      <c r="AB23" s="1583"/>
      <c r="AC23" s="1583"/>
      <c r="AD23" s="1583"/>
      <c r="AE23" s="1583"/>
      <c r="AF23" s="1583"/>
      <c r="AG23" s="1583"/>
      <c r="AH23" s="1583"/>
      <c r="AI23" s="1583"/>
      <c r="AJ23" s="1583"/>
      <c r="AK23" s="1583"/>
      <c r="AL23" s="1583"/>
      <c r="AM23" s="1583"/>
    </row>
    <row r="24" spans="1:67" ht="15" thickBot="1">
      <c r="A24" s="2320" t="s">
        <v>2023</v>
      </c>
      <c r="B24" s="115">
        <f>B20-B21</f>
        <v>2.5</v>
      </c>
      <c r="C24" s="2278"/>
      <c r="D24" s="2279"/>
      <c r="E24" s="2278"/>
      <c r="F24" s="2278"/>
      <c r="G24" s="2278"/>
      <c r="H24" s="2278"/>
      <c r="I24" s="2278"/>
      <c r="J24" s="2278"/>
      <c r="K24" s="168"/>
      <c r="L24" s="168"/>
      <c r="M24" s="1583"/>
      <c r="N24" s="1583"/>
      <c r="O24" s="1583"/>
      <c r="P24" s="1583"/>
      <c r="Q24" s="1583"/>
      <c r="R24" s="1583"/>
      <c r="S24" s="1583"/>
      <c r="T24" s="2976">
        <v>4</v>
      </c>
      <c r="U24" s="2976">
        <f>U23</f>
        <v>2684</v>
      </c>
      <c r="V24" s="2976">
        <v>0.55000000000000004</v>
      </c>
      <c r="W24" s="2976">
        <f t="shared" si="15"/>
        <v>5.5</v>
      </c>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81"/>
      <c r="C25" s="2278"/>
      <c r="D25" s="2279"/>
      <c r="E25" s="2278"/>
      <c r="F25" s="2278"/>
      <c r="G25" s="2278"/>
      <c r="H25" s="2278"/>
      <c r="I25" s="2278"/>
      <c r="J25" s="2278"/>
      <c r="K25" s="168"/>
      <c r="L25" s="168"/>
      <c r="M25" s="1583"/>
      <c r="N25" s="1583"/>
      <c r="O25" s="1583"/>
      <c r="P25" s="1583"/>
      <c r="Q25" s="1583"/>
      <c r="R25" s="1583"/>
      <c r="S25" s="1583"/>
      <c r="T25" s="2976"/>
      <c r="U25" s="2976">
        <f>SUM(U21:U24)</f>
        <v>10736</v>
      </c>
      <c r="V25" s="2976"/>
      <c r="W25" s="2976">
        <f>(W21*U21+W22*U22+W23*U23+W24*U24)/U25</f>
        <v>7</v>
      </c>
      <c r="X25" s="1583"/>
      <c r="Y25" s="1583"/>
      <c r="Z25" s="1583"/>
      <c r="AA25" s="1583"/>
      <c r="AB25" s="1583"/>
      <c r="AC25" s="1583"/>
      <c r="AD25" s="1583"/>
      <c r="AE25" s="1583"/>
      <c r="AF25" s="1583"/>
      <c r="AG25" s="1583"/>
      <c r="AH25" s="1583"/>
      <c r="AI25" s="1583"/>
      <c r="AJ25" s="1583"/>
      <c r="AK25" s="1583"/>
      <c r="AL25" s="1583"/>
      <c r="AM25" s="1583"/>
    </row>
    <row r="26" spans="1:67" ht="15" thickBot="1">
      <c r="A26" s="2277" t="s">
        <v>2024</v>
      </c>
      <c r="B26" s="2321" t="s">
        <v>2025</v>
      </c>
      <c r="C26" s="2322" t="s">
        <v>2026</v>
      </c>
      <c r="D26" s="2279"/>
      <c r="E26" s="2278"/>
      <c r="F26" s="2278"/>
      <c r="G26" s="2278"/>
      <c r="H26" s="2278"/>
      <c r="I26" s="2278"/>
      <c r="J26" s="2278"/>
      <c r="K26" s="168"/>
      <c r="L26" s="168"/>
      <c r="M26" s="1583"/>
      <c r="N26" s="1583"/>
      <c r="O26" s="1583"/>
      <c r="P26" s="1583"/>
      <c r="Q26" s="1583"/>
      <c r="R26" s="1583"/>
      <c r="S26" s="1583"/>
      <c r="T26" s="2976"/>
      <c r="U26" s="2976"/>
      <c r="V26" s="2976"/>
      <c r="W26" s="2976"/>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2027</v>
      </c>
      <c r="B27" s="116"/>
      <c r="C27" s="1765" t="s">
        <v>2028</v>
      </c>
      <c r="D27" s="2324"/>
      <c r="E27" s="1430"/>
      <c r="F27" s="1430"/>
      <c r="G27" s="2278"/>
      <c r="H27" s="2278"/>
      <c r="I27" s="2278"/>
      <c r="J27" s="2278"/>
      <c r="K27" s="168"/>
      <c r="L27" s="168"/>
      <c r="M27" s="1583"/>
      <c r="N27" s="1583"/>
      <c r="O27" s="1583"/>
      <c r="P27" s="1583"/>
      <c r="Q27" s="1583"/>
      <c r="R27" s="1583"/>
      <c r="S27" s="1583"/>
      <c r="T27" s="1944" t="s">
        <v>3184</v>
      </c>
      <c r="U27" s="1944" t="s">
        <v>3221</v>
      </c>
      <c r="V27" s="2976"/>
      <c r="W27" s="2976"/>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200</v>
      </c>
      <c r="C28" s="2327"/>
      <c r="D28" s="2324"/>
      <c r="E28" s="1430"/>
      <c r="F28" s="1430"/>
      <c r="G28" s="2278"/>
      <c r="H28" s="2278"/>
      <c r="I28" s="2278"/>
      <c r="J28" s="2278"/>
      <c r="K28" s="168"/>
      <c r="L28" s="168"/>
      <c r="M28" s="1583"/>
      <c r="N28" s="1583"/>
      <c r="O28" s="1583"/>
      <c r="P28" s="1583"/>
      <c r="Q28" s="1583"/>
      <c r="R28" s="1583"/>
      <c r="S28" s="1583"/>
      <c r="T28" s="2976">
        <f>'数据-汇总表'!E23/433</f>
        <v>45.611547344110853</v>
      </c>
      <c r="U28" s="2976">
        <f ca="1">T28*收益法车库!B3/10000</f>
        <v>36.703612147806005</v>
      </c>
      <c r="V28" s="2976"/>
      <c r="W28" s="2976"/>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 ca="1">成本法!C10</f>
        <v>2376</v>
      </c>
      <c r="C29" s="1765" t="s">
        <v>2031</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200</v>
      </c>
      <c r="C31" s="1765"/>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4" t="s">
        <v>2036</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0.05</v>
      </c>
      <c r="C34" s="1764" t="s">
        <v>2038</v>
      </c>
      <c r="D34" s="2279" t="s">
        <v>2039</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4" t="s">
        <v>2041</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4" t="s">
        <v>2043</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2044</v>
      </c>
      <c r="B37" s="124">
        <v>0.02</v>
      </c>
      <c r="C37" s="1764" t="s">
        <v>2045</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2046</v>
      </c>
      <c r="B38" s="122">
        <v>0.02</v>
      </c>
      <c r="C38" s="1764" t="s">
        <v>2045</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2047</v>
      </c>
      <c r="B39" s="362">
        <f ca="1">存贷款利率!I1</f>
        <v>1.4999999999999999E-2</v>
      </c>
      <c r="C39" s="1764"/>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2048</v>
      </c>
      <c r="B40" s="1303">
        <f ca="1">存贷款利率!G1</f>
        <v>4.7500000000000001E-2</v>
      </c>
      <c r="C40" s="1764" t="s">
        <v>2049</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2050</v>
      </c>
      <c r="B41" s="125">
        <f>B42+B43</f>
        <v>5.5000000000000007E-2</v>
      </c>
      <c r="C41" s="1765"/>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2051</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2052</v>
      </c>
      <c r="B43" s="127">
        <f>B42*(B44+B45+B46)+B47</f>
        <v>5.000000000000001E-3</v>
      </c>
      <c r="C43" s="1765"/>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2053</v>
      </c>
      <c r="B44" s="128">
        <v>0.05</v>
      </c>
      <c r="C44" s="1764" t="s">
        <v>2054</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2055</v>
      </c>
      <c r="B45" s="126">
        <v>0.03</v>
      </c>
      <c r="C45" s="1765" t="s">
        <v>2056</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2057</v>
      </c>
      <c r="B46" s="126">
        <v>0.02</v>
      </c>
      <c r="C46" s="1765" t="s">
        <v>2058</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2059</v>
      </c>
      <c r="B47" s="129"/>
      <c r="C47" s="1765" t="s">
        <v>2060</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2061</v>
      </c>
      <c r="B48" s="130">
        <v>0.03</v>
      </c>
      <c r="C48" s="1772" t="s">
        <v>2062</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2063</v>
      </c>
      <c r="B49" s="126">
        <v>5.0000000000000001E-4</v>
      </c>
      <c r="C49" s="1772" t="s">
        <v>2064</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2065</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2066</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2067</v>
      </c>
      <c r="B52" s="133">
        <f>SUMIF(A54:A63,B53,B54:B63)</f>
        <v>1.5</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2068</v>
      </c>
      <c r="B53" s="2337" t="s">
        <v>56</v>
      </c>
      <c r="C53" s="1430" t="s">
        <v>2069</v>
      </c>
      <c r="D53" s="2338" t="s">
        <v>2070</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2071</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2072</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2073</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2074</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2075</v>
      </c>
      <c r="B58" s="84"/>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2076</v>
      </c>
      <c r="B59" s="84">
        <v>1.5</v>
      </c>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2077</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2078</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2079</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2080</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068" t="s">
        <v>2081</v>
      </c>
      <c r="B1" s="3069"/>
      <c r="C1" s="3069"/>
      <c r="D1" s="3069"/>
      <c r="E1" s="3069"/>
      <c r="F1" s="3069"/>
      <c r="G1" s="306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956" t="s">
        <v>3130</v>
      </c>
      <c r="D3" s="2371"/>
      <c r="E3" s="431" t="s">
        <v>2084</v>
      </c>
      <c r="F3" s="2372" t="s">
        <v>2086</v>
      </c>
      <c r="G3" s="2373" t="s">
        <v>2087</v>
      </c>
      <c r="H3" s="2369"/>
      <c r="I3" s="2369"/>
      <c r="J3" s="2369"/>
      <c r="K3" s="2369"/>
      <c r="L3" s="2369"/>
      <c r="M3" s="2369"/>
      <c r="N3" s="2369"/>
      <c r="O3" s="2369"/>
      <c r="P3" s="2369"/>
      <c r="Q3" s="2369"/>
      <c r="R3" s="2369"/>
    </row>
    <row r="4" spans="1:29" ht="54">
      <c r="A4" s="431"/>
      <c r="B4" s="1796" t="s">
        <v>2088</v>
      </c>
      <c r="C4" s="2957" t="s">
        <v>3131</v>
      </c>
      <c r="D4" s="2371"/>
      <c r="E4" s="2374"/>
      <c r="F4" s="42" t="s">
        <v>2089</v>
      </c>
      <c r="G4" s="2375" t="s">
        <v>2090</v>
      </c>
      <c r="H4" s="2369"/>
      <c r="I4" s="2369"/>
      <c r="J4" s="2369"/>
      <c r="K4" s="2369"/>
      <c r="L4" s="2369"/>
      <c r="M4" s="2369"/>
      <c r="N4" s="2369"/>
      <c r="O4" s="2369"/>
      <c r="P4" s="2369"/>
      <c r="Q4" s="2369"/>
      <c r="R4" s="2369"/>
    </row>
    <row r="5" spans="1:29" ht="54">
      <c r="A5" s="431"/>
      <c r="B5" s="1796" t="s">
        <v>2091</v>
      </c>
      <c r="C5" s="2957" t="s">
        <v>3132</v>
      </c>
      <c r="D5" s="2371"/>
      <c r="E5" s="2374"/>
      <c r="F5" s="1796" t="s">
        <v>2092</v>
      </c>
      <c r="G5" s="2375" t="s">
        <v>2093</v>
      </c>
      <c r="H5" s="2369"/>
      <c r="I5" s="2369"/>
      <c r="J5" s="2369"/>
      <c r="K5" s="2369"/>
      <c r="L5" s="2369"/>
      <c r="M5" s="2369"/>
      <c r="N5" s="2369"/>
      <c r="O5" s="2369"/>
      <c r="P5" s="2369"/>
      <c r="Q5" s="2369"/>
      <c r="R5" s="2369"/>
    </row>
    <row r="6" spans="1:29" ht="54">
      <c r="A6" s="431"/>
      <c r="B6" s="1796" t="s">
        <v>2094</v>
      </c>
      <c r="C6" s="2958" t="s">
        <v>3133</v>
      </c>
      <c r="D6" s="2371"/>
      <c r="E6" s="2374"/>
      <c r="F6" s="1796" t="s">
        <v>2095</v>
      </c>
      <c r="G6" s="2375" t="s">
        <v>2096</v>
      </c>
      <c r="H6" s="2369"/>
      <c r="I6" s="2369"/>
      <c r="J6" s="2369"/>
      <c r="K6" s="2369"/>
      <c r="L6" s="2369"/>
      <c r="M6" s="2369"/>
      <c r="N6" s="2369"/>
      <c r="O6" s="2369"/>
      <c r="P6" s="2369"/>
      <c r="Q6" s="2369"/>
      <c r="R6" s="2369"/>
    </row>
    <row r="7" spans="1:29" ht="95.25" thickBot="1">
      <c r="A7" s="431"/>
      <c r="B7" s="1796" t="s">
        <v>2092</v>
      </c>
      <c r="C7" s="2958" t="s">
        <v>3134</v>
      </c>
      <c r="D7" s="2376"/>
      <c r="E7" s="2377"/>
      <c r="F7" s="2378" t="s">
        <v>2097</v>
      </c>
      <c r="G7" s="2379" t="s">
        <v>2098</v>
      </c>
      <c r="H7" s="2369"/>
      <c r="I7" s="2369"/>
      <c r="J7" s="2369"/>
      <c r="K7" s="2369"/>
      <c r="L7" s="2369"/>
      <c r="M7" s="2369"/>
      <c r="N7" s="2369"/>
      <c r="O7" s="2369"/>
      <c r="P7" s="2369"/>
      <c r="Q7" s="2369"/>
      <c r="R7" s="2369"/>
    </row>
    <row r="8" spans="1:29" ht="15">
      <c r="A8" s="431"/>
      <c r="B8" s="1796" t="s">
        <v>2095</v>
      </c>
      <c r="C8" s="2958" t="s">
        <v>3137</v>
      </c>
      <c r="D8" s="2376"/>
      <c r="E8" s="2376"/>
      <c r="F8" s="1136"/>
      <c r="G8" s="1136"/>
      <c r="H8" s="2369"/>
      <c r="I8" s="2369"/>
      <c r="J8" s="2369"/>
      <c r="K8" s="2369"/>
      <c r="L8" s="2369"/>
      <c r="M8" s="2369"/>
      <c r="N8" s="2369"/>
      <c r="O8" s="2369"/>
      <c r="P8" s="2369"/>
      <c r="Q8" s="2369"/>
      <c r="R8" s="2369"/>
    </row>
    <row r="9" spans="1:29" ht="67.5">
      <c r="A9" s="431"/>
      <c r="B9" s="1796" t="s">
        <v>2099</v>
      </c>
      <c r="C9" s="2957" t="s">
        <v>3135</v>
      </c>
      <c r="D9" s="2371"/>
      <c r="E9" s="2376"/>
      <c r="F9" s="1136"/>
      <c r="G9" s="1136"/>
      <c r="H9" s="2369"/>
      <c r="I9" s="2369"/>
      <c r="J9" s="2369"/>
      <c r="K9" s="2369"/>
      <c r="L9" s="2369"/>
      <c r="M9" s="2369"/>
      <c r="N9" s="2369"/>
      <c r="O9" s="2369"/>
      <c r="P9" s="2369"/>
      <c r="Q9" s="2369"/>
      <c r="R9" s="2369"/>
    </row>
    <row r="10" spans="1:29" s="117" customFormat="1" ht="15.75" thickBot="1">
      <c r="A10" s="2380"/>
      <c r="B10" s="2381" t="s">
        <v>2100</v>
      </c>
      <c r="C10" s="2959" t="s">
        <v>3136</v>
      </c>
      <c r="D10" s="2371"/>
      <c r="E10" s="2371"/>
      <c r="F10" s="1136"/>
      <c r="G10" s="1136"/>
      <c r="H10" s="2382"/>
      <c r="I10" s="2383"/>
      <c r="J10" s="2384"/>
      <c r="K10" s="2382"/>
      <c r="L10" s="2383"/>
      <c r="M10" s="2384"/>
      <c r="N10" s="2382"/>
      <c r="O10" s="2383"/>
      <c r="P10" s="2384"/>
      <c r="Q10" s="2382"/>
      <c r="R10" s="2383"/>
      <c r="S10" s="2369"/>
      <c r="T10" s="2369"/>
      <c r="U10" s="2369"/>
      <c r="V10" s="2369"/>
      <c r="W10" s="2369"/>
      <c r="X10" s="2369"/>
      <c r="Y10" s="2369"/>
      <c r="Z10" s="2369"/>
      <c r="AA10" s="2369"/>
      <c r="AB10" s="2369"/>
      <c r="AC10" s="2369"/>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9"/>
      <c r="T11" s="2369"/>
      <c r="U11" s="2369"/>
      <c r="V11" s="2369"/>
      <c r="W11" s="2369"/>
      <c r="X11" s="2369"/>
      <c r="Y11" s="2369"/>
      <c r="Z11" s="2369"/>
      <c r="AA11" s="2369"/>
      <c r="AB11" s="2369"/>
      <c r="AC11" s="2369"/>
    </row>
    <row r="12" spans="1:29" s="2363" customFormat="1" ht="18">
      <c r="A12" s="2385"/>
      <c r="B12" s="2376"/>
      <c r="C12" s="2371"/>
      <c r="D12" s="2386"/>
      <c r="E12" s="2371"/>
      <c r="F12" s="2376"/>
      <c r="G12" s="1154"/>
      <c r="H12" s="2387"/>
      <c r="I12" s="2388"/>
      <c r="J12" s="2387"/>
      <c r="K12" s="2387"/>
      <c r="L12" s="2389"/>
      <c r="M12" s="2387"/>
      <c r="N12" s="2390"/>
      <c r="O12" s="2391"/>
      <c r="P12" s="2390"/>
      <c r="Q12" s="2390"/>
      <c r="R12" s="2361"/>
      <c r="S12" s="2362"/>
      <c r="T12" s="2362"/>
      <c r="U12" s="2362"/>
      <c r="V12" s="2362"/>
      <c r="W12" s="2362"/>
      <c r="X12" s="2362"/>
      <c r="Y12" s="2362"/>
      <c r="Z12" s="2362"/>
      <c r="AA12" s="2362"/>
      <c r="AB12" s="2362"/>
      <c r="AC12" s="2362"/>
    </row>
    <row r="13" spans="1:29" ht="19.5" thickBot="1">
      <c r="A13" s="2392" t="s">
        <v>2101</v>
      </c>
      <c r="B13" s="2386"/>
      <c r="C13" s="2386"/>
      <c r="D13" s="2393"/>
      <c r="E13" s="2386"/>
      <c r="F13" s="2386"/>
      <c r="G13" s="2386"/>
    </row>
    <row r="14" spans="1:29" ht="15.75" thickBot="1">
      <c r="A14" s="2397"/>
      <c r="B14" s="2398"/>
      <c r="C14" s="2399" t="s">
        <v>2102</v>
      </c>
      <c r="D14" s="2371"/>
      <c r="E14" s="2400"/>
      <c r="F14" s="2400"/>
      <c r="G14" s="2366" t="s">
        <v>2103</v>
      </c>
    </row>
    <row r="15" spans="1:29" ht="57">
      <c r="A15" s="68" t="s">
        <v>2104</v>
      </c>
      <c r="B15" s="1270" t="s">
        <v>2085</v>
      </c>
      <c r="C15" s="2401" t="str">
        <f>C3</f>
        <v>估价对象周边居住用地比例、居住小区规模和社区发展完善程度，综合评价居住社区成熟度一般</v>
      </c>
      <c r="D15" s="2371"/>
      <c r="E15" s="2402" t="s">
        <v>2105</v>
      </c>
      <c r="F15" s="1270" t="s">
        <v>2106</v>
      </c>
      <c r="G15" s="135" t="str">
        <f>G3</f>
        <v>估价对象位于XX开发区，园区建设成熟度XX，产业集聚程度XX</v>
      </c>
    </row>
    <row r="16" spans="1:29" ht="57">
      <c r="A16" s="645"/>
      <c r="B16" s="2403" t="s">
        <v>2088</v>
      </c>
      <c r="C16" s="2404" t="str">
        <f>C4</f>
        <v>估价对象位于通州运河核心区，周边商业氛围成熟度一般，人流量一般，商业繁华度一般。</v>
      </c>
      <c r="D16" s="2371"/>
      <c r="E16" s="2405"/>
      <c r="F16" s="2406" t="s">
        <v>2089</v>
      </c>
      <c r="G16" s="136" t="str">
        <f>G4</f>
        <v>估价对象周边道路状况、公共交通通达情况、停车便捷程度，综合评价交通便捷度较好</v>
      </c>
    </row>
    <row r="17" spans="1:18" ht="57">
      <c r="A17" s="645"/>
      <c r="B17" s="2403" t="s">
        <v>2091</v>
      </c>
      <c r="C17" s="2404" t="str">
        <f>C5</f>
        <v>估价对象位于通州运河核心区，周边办公楼项目数量一般，入驻率一般，办公集聚程度一般。</v>
      </c>
      <c r="D17" s="2376"/>
      <c r="E17" s="2405"/>
      <c r="F17" s="2406" t="s">
        <v>2107</v>
      </c>
      <c r="G17" s="1571"/>
    </row>
    <row r="18" spans="1:18" ht="57">
      <c r="A18" s="645"/>
      <c r="B18" s="2406" t="s">
        <v>2094</v>
      </c>
      <c r="C18" s="136" t="str">
        <f>C6</f>
        <v>附近主要有317路、552路、809、通49路等公交线路，紧邻地铁6号线，路网密集度较好，交通便捷度较好。</v>
      </c>
      <c r="D18" s="2376"/>
      <c r="E18" s="2405"/>
      <c r="F18" s="2406" t="s">
        <v>2097</v>
      </c>
      <c r="G18" s="136" t="str">
        <f>G7</f>
        <v>该园区内是否有污染型企业，绿化情况，卫生条件，整体环境状况判断</v>
      </c>
    </row>
    <row r="19" spans="1:18" ht="28.5">
      <c r="A19" s="645"/>
      <c r="B19" s="2406" t="s">
        <v>2108</v>
      </c>
      <c r="C19" s="1571"/>
      <c r="D19" s="2371"/>
      <c r="E19" s="2405"/>
      <c r="F19" s="1796" t="s">
        <v>2092</v>
      </c>
      <c r="G19" s="136" t="str">
        <f>G5</f>
        <v>估价对象所在区域公共配套设施齐备情况</v>
      </c>
    </row>
    <row r="20" spans="1:18" ht="71.25">
      <c r="A20" s="645"/>
      <c r="B20" s="2406" t="s">
        <v>2109</v>
      </c>
      <c r="C20" s="2404" t="str">
        <f>C9</f>
        <v>估价对象周边有水系、运河奥体公园，自然环境较好；周边有大运河美术馆等人文设施，人文环境较好；综合评价环境状况较好。</v>
      </c>
      <c r="D20" s="2376"/>
      <c r="E20" s="2405"/>
      <c r="F20" s="1796" t="s">
        <v>2110</v>
      </c>
      <c r="G20" s="136" t="str">
        <f>G6</f>
        <v>估价对象所在区域基础设施水平</v>
      </c>
    </row>
    <row r="21" spans="1:18" ht="99.75">
      <c r="A21" s="645"/>
      <c r="B21" s="1796" t="s">
        <v>2092</v>
      </c>
      <c r="C21" s="136" t="str">
        <f>C7</f>
        <v>估价对象周边有银行（兴业银行（北京通州运河支行）等）、医院（北京京通医院等）、超市（隆品源超市等）、学校（北京通州芙蓉小学等），公共配套设施齐备情况较好。</v>
      </c>
      <c r="D21" s="2371"/>
      <c r="E21" s="2405"/>
      <c r="F21" s="2406" t="s">
        <v>2111</v>
      </c>
      <c r="G21" s="2407"/>
    </row>
    <row r="22" spans="1:18" ht="13.5" customHeight="1">
      <c r="A22" s="645"/>
      <c r="B22" s="1796" t="s">
        <v>2095</v>
      </c>
      <c r="C22" s="136" t="str">
        <f>C8</f>
        <v>七通。</v>
      </c>
      <c r="D22" s="2371"/>
      <c r="E22" s="2405"/>
      <c r="F22" s="2406" t="s">
        <v>2100</v>
      </c>
      <c r="G22" s="1571"/>
    </row>
    <row r="23" spans="1:18" s="2369"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9" customFormat="1" ht="15.75" thickBot="1">
      <c r="A24" s="2411"/>
      <c r="B24" s="2409" t="s">
        <v>2113</v>
      </c>
      <c r="C24" s="137" t="str">
        <f>C10</f>
        <v>城市支路——永顺南街</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workbookViewId="0">
      <selection activeCell="C22" sqref="C22"/>
    </sheetView>
  </sheetViews>
  <sheetFormatPr defaultRowHeight="13.5"/>
  <cols>
    <col min="1" max="1" width="23.375" style="1740" customWidth="1"/>
    <col min="2" max="9" width="15.75" style="1740" customWidth="1"/>
    <col min="10" max="16384" width="9" style="1740"/>
  </cols>
  <sheetData>
    <row r="1" spans="1:10" ht="16.5">
      <c r="A1" s="1744" t="s">
        <v>1359</v>
      </c>
      <c r="B1" s="1744">
        <f>SUM(B14:B23)</f>
        <v>549205.21</v>
      </c>
      <c r="C1" s="1743"/>
      <c r="D1" s="1743"/>
      <c r="E1" s="1743"/>
      <c r="F1" s="1743"/>
      <c r="G1" s="1741"/>
    </row>
    <row r="2" spans="1:10" ht="16.5">
      <c r="A2" s="1744" t="s">
        <v>1347</v>
      </c>
      <c r="B2" s="1744">
        <f>SUM(C14:C23)</f>
        <v>44225.41</v>
      </c>
      <c r="C2" s="1743"/>
      <c r="D2" s="1743"/>
      <c r="E2" s="1743"/>
      <c r="F2" s="1743"/>
      <c r="G2" s="1741"/>
    </row>
    <row r="3" spans="1:10" ht="16.5">
      <c r="A3" s="1744" t="s">
        <v>1356</v>
      </c>
      <c r="B3" s="1745">
        <f>项目基本情况!D3</f>
        <v>43142</v>
      </c>
      <c r="C3" s="1743"/>
      <c r="D3" s="1743"/>
      <c r="E3" s="1743"/>
      <c r="F3" s="1743"/>
      <c r="G3" s="1741"/>
    </row>
    <row r="4" spans="1:10" ht="33">
      <c r="A4" s="1744" t="s">
        <v>1355</v>
      </c>
      <c r="B4" s="1744" t="s">
        <v>1354</v>
      </c>
      <c r="C4" s="1744" t="s">
        <v>1353</v>
      </c>
      <c r="D4" s="1744" t="s">
        <v>1352</v>
      </c>
      <c r="E4" s="1743"/>
      <c r="F4" s="1741"/>
      <c r="G4" s="1741"/>
    </row>
    <row r="5" spans="1:10" ht="16.5">
      <c r="A5" s="1744" t="s">
        <v>1351</v>
      </c>
      <c r="B5" s="1744">
        <f ca="1">SUM(D14:D23)</f>
        <v>1352981</v>
      </c>
      <c r="C5" s="1744">
        <f ca="1">ROUND(B5*10000/$B$1,0)</f>
        <v>24635</v>
      </c>
      <c r="D5" s="1744">
        <f ca="1">ROUND(B5*10000/$B$2,0)</f>
        <v>305928</v>
      </c>
      <c r="E5" s="1743"/>
      <c r="F5" s="1741"/>
      <c r="G5" s="1741"/>
    </row>
    <row r="6" spans="1:10" ht="16.5">
      <c r="A6" s="1744" t="s">
        <v>1350</v>
      </c>
      <c r="B6" s="1744">
        <f ca="1">SUM(G14:G23)</f>
        <v>1352981</v>
      </c>
      <c r="C6" s="1744">
        <f ca="1">ROUND(B6*10000/$B$1,0)</f>
        <v>24635</v>
      </c>
      <c r="D6" s="1744">
        <f ca="1">ROUND(B6*10000/$B$2,0)</f>
        <v>305928</v>
      </c>
      <c r="E6" s="1743"/>
      <c r="F6" s="1741"/>
      <c r="G6" s="1741"/>
    </row>
    <row r="7" spans="1:10" ht="16.5">
      <c r="A7" s="1744" t="s">
        <v>1358</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1349</v>
      </c>
      <c r="B9" s="1746"/>
      <c r="C9" s="1743"/>
      <c r="D9" s="1743"/>
      <c r="E9" s="1743"/>
      <c r="F9" s="1741"/>
      <c r="G9" s="1741"/>
    </row>
    <row r="10" spans="1:10" ht="16.5">
      <c r="A10" s="1744" t="s">
        <v>1348</v>
      </c>
      <c r="B10" s="1746"/>
      <c r="C10" s="1743"/>
      <c r="D10" s="1743"/>
      <c r="E10" s="1743"/>
      <c r="F10" s="1741"/>
      <c r="G10" s="1741"/>
    </row>
    <row r="11" spans="1:10" ht="16.5">
      <c r="A11" s="1744" t="s">
        <v>1364</v>
      </c>
      <c r="B11" s="1746"/>
      <c r="C11" s="1743"/>
      <c r="D11" s="1743"/>
      <c r="E11" s="1743"/>
      <c r="F11" s="1741"/>
      <c r="G11" s="1741"/>
    </row>
    <row r="12" spans="1:10" ht="16.5">
      <c r="A12" s="1743"/>
      <c r="B12" s="1743"/>
      <c r="C12" s="1743"/>
      <c r="D12" s="1743"/>
      <c r="E12" s="1743"/>
      <c r="F12" s="1741"/>
      <c r="G12" s="1741"/>
    </row>
    <row r="13" spans="1:10" ht="33">
      <c r="A13" s="1749" t="s">
        <v>1363</v>
      </c>
      <c r="B13" s="1742" t="s">
        <v>1360</v>
      </c>
      <c r="C13" s="1742" t="s">
        <v>1362</v>
      </c>
      <c r="D13" s="1742" t="s">
        <v>1361</v>
      </c>
      <c r="E13" s="1744" t="s">
        <v>1353</v>
      </c>
      <c r="F13" s="1744" t="s">
        <v>1352</v>
      </c>
      <c r="G13" s="1742" t="s">
        <v>1346</v>
      </c>
      <c r="H13" s="1742" t="s">
        <v>1357</v>
      </c>
      <c r="I13" s="1742" t="s">
        <v>1345</v>
      </c>
      <c r="J13" s="1741"/>
    </row>
    <row r="14" spans="1:10" ht="16.5">
      <c r="A14" s="2972" t="s">
        <v>3187</v>
      </c>
      <c r="B14" s="1742">
        <f>结果表!B118</f>
        <v>118787.11</v>
      </c>
      <c r="C14" s="1742">
        <f>结果表!C118</f>
        <v>8949.2199999999993</v>
      </c>
      <c r="D14" s="1742">
        <f ca="1">结果表!H118</f>
        <v>278763</v>
      </c>
      <c r="E14" s="1742">
        <f ca="1">ROUND(D14*10000/B14,0)</f>
        <v>23467</v>
      </c>
      <c r="F14" s="1742">
        <f ca="1">ROUND(D14*10000/C14,0)</f>
        <v>311494</v>
      </c>
      <c r="G14" s="1742">
        <f ca="1">结果表!D122</f>
        <v>278763</v>
      </c>
      <c r="H14" s="1742" t="str">
        <f>结果表!D124</f>
        <v>——</v>
      </c>
      <c r="I14" s="1742" t="str">
        <f>结果表!D126</f>
        <v>——</v>
      </c>
      <c r="J14" s="1741"/>
    </row>
    <row r="15" spans="1:10" ht="16.5">
      <c r="A15" s="2972" t="s">
        <v>3188</v>
      </c>
      <c r="B15" s="1747">
        <f>[5]结果表!$B$118</f>
        <v>126370.20000000001</v>
      </c>
      <c r="C15" s="1747">
        <f>[5]结果表!$C$118</f>
        <v>11023.92</v>
      </c>
      <c r="D15" s="1747">
        <f ca="1">[5]结果表!$H$118</f>
        <v>289045</v>
      </c>
      <c r="E15" s="1742">
        <f t="shared" ref="E15:E23" ca="1" si="0">ROUND(D15*10000/B15,0)</f>
        <v>22873</v>
      </c>
      <c r="F15" s="1742">
        <f t="shared" ref="F15:F23" ca="1" si="1">ROUND(D15*10000/C15,0)</f>
        <v>262198</v>
      </c>
      <c r="G15" s="1748">
        <f ca="1">D15</f>
        <v>289045</v>
      </c>
      <c r="H15" s="1748"/>
      <c r="I15" s="1747"/>
      <c r="J15" s="1741"/>
    </row>
    <row r="16" spans="1:10" ht="16.5">
      <c r="A16" s="2972" t="s">
        <v>3189</v>
      </c>
      <c r="B16" s="1747">
        <f>[2]结果表!$B$118</f>
        <v>220053.4</v>
      </c>
      <c r="C16" s="1747">
        <f>[2]结果表!$C$118</f>
        <v>16193.67</v>
      </c>
      <c r="D16" s="1747">
        <f ca="1">[2]结果表!$H$118</f>
        <v>444922</v>
      </c>
      <c r="E16" s="1742">
        <f t="shared" ca="1" si="0"/>
        <v>20219</v>
      </c>
      <c r="F16" s="1742">
        <f t="shared" ca="1" si="1"/>
        <v>274751</v>
      </c>
      <c r="G16" s="1748">
        <f ca="1">[2]结果表!$H$118</f>
        <v>444922</v>
      </c>
      <c r="H16" s="1748"/>
      <c r="I16" s="1747"/>
    </row>
    <row r="17" spans="1:9" ht="16.5">
      <c r="A17" s="2972" t="s">
        <v>3222</v>
      </c>
      <c r="B17" s="1747">
        <f>[3]面积表及结果!$C$135</f>
        <v>26242.780000000002</v>
      </c>
      <c r="C17" s="1747">
        <f>'[3]数据-基础表'!$A$3</f>
        <v>2540.75</v>
      </c>
      <c r="D17" s="1747">
        <f ca="1">[3]面积表及结果!$D$135</f>
        <v>145875</v>
      </c>
      <c r="E17" s="1742">
        <f t="shared" ca="1" si="0"/>
        <v>55587</v>
      </c>
      <c r="F17" s="1742">
        <f t="shared" ca="1" si="1"/>
        <v>574141</v>
      </c>
      <c r="G17" s="1748">
        <f ca="1">D17</f>
        <v>145875</v>
      </c>
      <c r="H17" s="1748"/>
      <c r="I17" s="1747"/>
    </row>
    <row r="18" spans="1:9" ht="16.5">
      <c r="A18" s="2972" t="s">
        <v>3224</v>
      </c>
      <c r="B18" s="1747">
        <f>[1]结果表!$B$118</f>
        <v>4182.99</v>
      </c>
      <c r="C18" s="1747">
        <f>[1]结果表!$C$118</f>
        <v>409.58</v>
      </c>
      <c r="D18" s="1747">
        <f ca="1">[1]结果表!$H$118</f>
        <v>12626</v>
      </c>
      <c r="E18" s="1742">
        <f t="shared" ca="1" si="0"/>
        <v>30184</v>
      </c>
      <c r="F18" s="1742">
        <f t="shared" ca="1" si="1"/>
        <v>308267</v>
      </c>
      <c r="G18" s="1747">
        <f ca="1">D18</f>
        <v>12626</v>
      </c>
      <c r="H18" s="1747"/>
      <c r="I18" s="1747"/>
    </row>
    <row r="19" spans="1:9" ht="16.5">
      <c r="A19" s="2972" t="s">
        <v>3223</v>
      </c>
      <c r="B19" s="1747">
        <f>[4]结果表!$B$118</f>
        <v>53568.729999999996</v>
      </c>
      <c r="C19" s="1747">
        <f>[4]结果表!$C$118</f>
        <v>5108.2700000000004</v>
      </c>
      <c r="D19" s="1747">
        <f ca="1">[4]结果表!$H$118</f>
        <v>181750</v>
      </c>
      <c r="E19" s="1742">
        <f t="shared" ca="1" si="0"/>
        <v>33928</v>
      </c>
      <c r="F19" s="1742">
        <f t="shared" ca="1" si="1"/>
        <v>355796</v>
      </c>
      <c r="G19" s="1747">
        <f ca="1">D19</f>
        <v>181750</v>
      </c>
      <c r="H19" s="1747"/>
      <c r="I19" s="1747"/>
    </row>
    <row r="20" spans="1:9" ht="16.5">
      <c r="A20" s="2972" t="s">
        <v>1344</v>
      </c>
      <c r="B20" s="1747"/>
      <c r="C20" s="1747"/>
      <c r="D20" s="1747"/>
      <c r="E20" s="1742" t="e">
        <f t="shared" si="0"/>
        <v>#DIV/0!</v>
      </c>
      <c r="F20" s="1742" t="e">
        <f t="shared" si="1"/>
        <v>#DIV/0!</v>
      </c>
      <c r="G20" s="1747"/>
      <c r="H20" s="1747"/>
      <c r="I20" s="1747"/>
    </row>
    <row r="21" spans="1:9" ht="16.5">
      <c r="A21" s="2972" t="s">
        <v>1343</v>
      </c>
      <c r="B21" s="1747"/>
      <c r="C21" s="1747"/>
      <c r="D21" s="1747"/>
      <c r="E21" s="1742" t="e">
        <f t="shared" si="0"/>
        <v>#DIV/0!</v>
      </c>
      <c r="F21" s="1742" t="e">
        <f t="shared" si="1"/>
        <v>#DIV/0!</v>
      </c>
      <c r="G21" s="1747"/>
      <c r="H21" s="1747"/>
      <c r="I21" s="1747"/>
    </row>
    <row r="22" spans="1:9" ht="16.5">
      <c r="A22" s="2972" t="s">
        <v>1342</v>
      </c>
      <c r="B22" s="1747"/>
      <c r="C22" s="1747"/>
      <c r="D22" s="1747"/>
      <c r="E22" s="1742" t="e">
        <f t="shared" si="0"/>
        <v>#DIV/0!</v>
      </c>
      <c r="F22" s="1742" t="e">
        <f t="shared" si="1"/>
        <v>#DIV/0!</v>
      </c>
      <c r="G22" s="1747"/>
      <c r="H22" s="1747"/>
      <c r="I22" s="1747"/>
    </row>
    <row r="23" spans="1:9" ht="16.5">
      <c r="A23" s="2972"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Normal="100" zoomScaleSheetLayoutView="100" zoomScalePageLayoutView="80" workbookViewId="0">
      <selection activeCell="B118" sqref="B118:I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2114</v>
      </c>
      <c r="B1" s="2417"/>
      <c r="C1" s="2418"/>
      <c r="D1" s="2417"/>
      <c r="E1" s="2417"/>
      <c r="F1" s="2419" t="s">
        <v>2115</v>
      </c>
      <c r="G1" s="2072" t="s">
        <v>2116</v>
      </c>
      <c r="H1" s="2420" t="str">
        <f>IF(G1="现房","——","估价对象范围")</f>
        <v>估价对象范围</v>
      </c>
      <c r="I1" s="2421"/>
    </row>
    <row r="2" spans="1:12" ht="21.75" customHeight="1" thickBot="1">
      <c r="A2" s="3142" t="str">
        <f>项目基本情况!S2</f>
        <v>北京市出让国有建设用地使用权及在建建筑物房地产</v>
      </c>
      <c r="B2" s="3143"/>
      <c r="C2" s="3143"/>
      <c r="D2" s="3143"/>
      <c r="E2" s="3143"/>
      <c r="F2" s="3143"/>
      <c r="G2" s="3143"/>
      <c r="H2" s="3143"/>
      <c r="I2" s="3144"/>
    </row>
    <row r="3" spans="1:12" ht="12.75">
      <c r="A3" s="3145" t="s">
        <v>2117</v>
      </c>
      <c r="B3" s="3146"/>
      <c r="C3" s="3146"/>
      <c r="D3" s="3146"/>
      <c r="E3" s="3146"/>
      <c r="F3" s="3146"/>
      <c r="G3" s="3146"/>
      <c r="H3" s="3146"/>
      <c r="I3" s="3146"/>
    </row>
    <row r="4" spans="1:12" ht="14.25">
      <c r="A4" s="2424" t="s">
        <v>2118</v>
      </c>
      <c r="B4" s="2425" t="s">
        <v>2119</v>
      </c>
      <c r="C4" s="2426" t="s">
        <v>3159</v>
      </c>
      <c r="D4" s="2426" t="s">
        <v>3160</v>
      </c>
      <c r="E4" s="3126" t="s">
        <v>2120</v>
      </c>
      <c r="F4" s="3139"/>
      <c r="G4" s="3139"/>
      <c r="H4" s="3139"/>
      <c r="I4" s="312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2121</v>
      </c>
      <c r="B5" s="3043">
        <v>25</v>
      </c>
      <c r="C5" s="3147"/>
      <c r="D5" s="3135"/>
      <c r="E5" s="140" t="s">
        <v>2122</v>
      </c>
      <c r="F5" s="2428"/>
      <c r="G5" s="2428"/>
      <c r="H5" s="2428"/>
      <c r="I5" s="1832"/>
    </row>
    <row r="6" spans="1:12" ht="12.75">
      <c r="A6" s="3117"/>
      <c r="B6" s="3043"/>
      <c r="C6" s="3149"/>
      <c r="D6" s="3135"/>
      <c r="E6" s="140" t="s">
        <v>2123</v>
      </c>
      <c r="F6" s="2428"/>
      <c r="G6" s="2428"/>
      <c r="H6" s="2428"/>
      <c r="I6" s="1832"/>
    </row>
    <row r="7" spans="1:12" ht="12.75">
      <c r="A7" s="3117"/>
      <c r="B7" s="3043"/>
      <c r="C7" s="3148"/>
      <c r="D7" s="3135"/>
      <c r="E7" s="140" t="s">
        <v>2124</v>
      </c>
      <c r="F7" s="2428"/>
      <c r="G7" s="2428"/>
      <c r="H7" s="2428"/>
      <c r="I7" s="1832"/>
    </row>
    <row r="8" spans="1:12" ht="12.75">
      <c r="A8" s="3117" t="s">
        <v>2125</v>
      </c>
      <c r="B8" s="3043">
        <v>15</v>
      </c>
      <c r="C8" s="3147"/>
      <c r="D8" s="3135"/>
      <c r="E8" s="140" t="s">
        <v>2126</v>
      </c>
      <c r="F8" s="2428"/>
      <c r="G8" s="2428"/>
      <c r="H8" s="2428"/>
      <c r="I8" s="1832"/>
    </row>
    <row r="9" spans="1:12" ht="12.75">
      <c r="A9" s="3117"/>
      <c r="B9" s="3043"/>
      <c r="C9" s="3148"/>
      <c r="D9" s="3135"/>
      <c r="E9" s="140" t="s">
        <v>2127</v>
      </c>
      <c r="F9" s="2428"/>
      <c r="G9" s="2428"/>
      <c r="H9" s="2428"/>
      <c r="I9" s="1832"/>
    </row>
    <row r="10" spans="1:12" ht="12.75">
      <c r="A10" s="3117" t="s">
        <v>2128</v>
      </c>
      <c r="B10" s="3043">
        <v>15</v>
      </c>
      <c r="C10" s="3147"/>
      <c r="D10" s="3135"/>
      <c r="E10" s="140" t="s">
        <v>2129</v>
      </c>
      <c r="F10" s="2428"/>
      <c r="G10" s="2428"/>
      <c r="H10" s="2428"/>
      <c r="I10" s="1832"/>
    </row>
    <row r="11" spans="1:12" ht="12.75">
      <c r="A11" s="3117"/>
      <c r="B11" s="3043"/>
      <c r="C11" s="3148"/>
      <c r="D11" s="3135"/>
      <c r="E11" s="140" t="s">
        <v>2130</v>
      </c>
      <c r="F11" s="2428"/>
      <c r="G11" s="2428"/>
      <c r="H11" s="2428"/>
      <c r="I11" s="1832"/>
    </row>
    <row r="12" spans="1:12" ht="12.75">
      <c r="A12" s="3117" t="s">
        <v>2131</v>
      </c>
      <c r="B12" s="3043">
        <v>15</v>
      </c>
      <c r="C12" s="3147"/>
      <c r="D12" s="3135"/>
      <c r="E12" s="140" t="s">
        <v>2132</v>
      </c>
      <c r="F12" s="2428"/>
      <c r="G12" s="2428"/>
      <c r="H12" s="2428"/>
      <c r="I12" s="1832"/>
    </row>
    <row r="13" spans="1:12" ht="12.75">
      <c r="A13" s="3117"/>
      <c r="B13" s="3043"/>
      <c r="C13" s="3148"/>
      <c r="D13" s="3135"/>
      <c r="E13" s="140" t="s">
        <v>2133</v>
      </c>
      <c r="F13" s="2428"/>
      <c r="G13" s="2428"/>
      <c r="H13" s="2428"/>
      <c r="I13" s="1832"/>
    </row>
    <row r="14" spans="1:12" ht="12.75">
      <c r="A14" s="3117" t="s">
        <v>2134</v>
      </c>
      <c r="B14" s="3043">
        <v>30</v>
      </c>
      <c r="C14" s="3147">
        <v>5</v>
      </c>
      <c r="D14" s="3135">
        <f>10-C14</f>
        <v>5</v>
      </c>
      <c r="E14" s="140" t="s">
        <v>2135</v>
      </c>
      <c r="F14" s="2428"/>
      <c r="G14" s="2428"/>
      <c r="H14" s="2428"/>
      <c r="I14" s="1832"/>
    </row>
    <row r="15" spans="1:12" ht="12.75">
      <c r="A15" s="3117"/>
      <c r="B15" s="3043"/>
      <c r="C15" s="3149"/>
      <c r="D15" s="3135"/>
      <c r="E15" s="140" t="s">
        <v>2136</v>
      </c>
      <c r="F15" s="2428"/>
      <c r="G15" s="2428"/>
      <c r="H15" s="2428"/>
      <c r="I15" s="1832"/>
    </row>
    <row r="16" spans="1:12" ht="12.75">
      <c r="A16" s="3117"/>
      <c r="B16" s="3043"/>
      <c r="C16" s="3148"/>
      <c r="D16" s="3135"/>
      <c r="E16" s="140" t="s">
        <v>2137</v>
      </c>
      <c r="F16" s="2428"/>
      <c r="G16" s="2428"/>
      <c r="H16" s="2428"/>
      <c r="I16" s="1832"/>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118787.11</v>
      </c>
      <c r="M18" s="2427">
        <f>IF(C1="",'数据-汇总表'!E3,SUMIF(项目类型,C1,'数据-汇总表'!E17:E26))</f>
        <v>118787.11</v>
      </c>
    </row>
    <row r="19" spans="1:35" ht="15">
      <c r="A19" s="2433" t="s">
        <v>2143</v>
      </c>
      <c r="B19" s="2434" t="s">
        <v>2144</v>
      </c>
      <c r="C19" s="143">
        <f ca="1">SUMIF(INDIRECT("'"&amp;C4&amp;"'"&amp;"!A:A"),结果表!B19,INDIRECT("'"&amp;C4&amp;"'"&amp;"!B:B"))</f>
        <v>243506</v>
      </c>
      <c r="D19" s="144">
        <f ca="1">SUMIF(INDIRECT("'"&amp;D4&amp;"'"&amp;"!A:A"),结果表!B19,INDIRECT("'"&amp;D4&amp;"'"&amp;"!B:B"))</f>
        <v>314019</v>
      </c>
      <c r="E19" s="2433" t="s">
        <v>2145</v>
      </c>
      <c r="F19" s="2434" t="s">
        <v>2144</v>
      </c>
      <c r="G19" s="145">
        <f ca="1">ROUND(C19*$C$18+D19*$D$18,0)</f>
        <v>278763</v>
      </c>
      <c r="H19" s="2435" t="s">
        <v>2146</v>
      </c>
      <c r="I19" s="138"/>
      <c r="K19" s="2427" t="s">
        <v>2147</v>
      </c>
      <c r="L19" s="2427">
        <f>IF(C1="",'数据-汇总表'!D3,SUMIF(项目类型,C1,'数据-汇总表'!D17:D26)+SUMIF(项目类型,C1,'数据-汇总表'!H17:H27))</f>
        <v>8949.2199999999993</v>
      </c>
      <c r="M19" s="2427">
        <f>IF(C1="",'数据-汇总表'!D3,SUMIF(项目类型,C1,'数据-汇总表'!D17:D26))</f>
        <v>8949.2199999999993</v>
      </c>
    </row>
    <row r="20" spans="1:35" ht="15">
      <c r="A20" s="2436"/>
      <c r="B20" s="1250" t="s">
        <v>2148</v>
      </c>
      <c r="C20" s="146">
        <f ca="1">SUMIF(INDIRECT("'"&amp;C4&amp;"'"&amp;"!A:A"),结果表!B20,INDIRECT("'"&amp;C4&amp;"'"&amp;"!B:B"))</f>
        <v>20499</v>
      </c>
      <c r="D20" s="147">
        <f ca="1">SUMIF(INDIRECT("'"&amp;D4&amp;"'"&amp;"!A:A"),结果表!B20,INDIRECT("'"&amp;D4&amp;"'"&amp;"!B:B"))</f>
        <v>26435</v>
      </c>
      <c r="E20" s="2436"/>
      <c r="F20" s="1250" t="s">
        <v>2148</v>
      </c>
      <c r="G20" s="148">
        <f ca="1">ROUND(C20*$C$18+D20*$D$18,0)</f>
        <v>23467</v>
      </c>
      <c r="H20" s="983" t="s">
        <v>2149</v>
      </c>
      <c r="I20" s="138"/>
    </row>
    <row r="21" spans="1:35" ht="15" customHeight="1" thickBot="1">
      <c r="A21" s="1003"/>
      <c r="B21" s="2437" t="s">
        <v>2150</v>
      </c>
      <c r="C21" s="789">
        <f ca="1">ROUND(C19*10000/L19,0)</f>
        <v>272097</v>
      </c>
      <c r="D21" s="790">
        <f ca="1">ROUND(D19*10000/L19,0)</f>
        <v>350890</v>
      </c>
      <c r="E21" s="1003"/>
      <c r="F21" s="2437" t="s">
        <v>2150</v>
      </c>
      <c r="G21" s="149">
        <f ca="1">ROUND(G19*10000/L19,0)</f>
        <v>311494</v>
      </c>
      <c r="H21" s="2438" t="s">
        <v>2149</v>
      </c>
      <c r="I21" s="138"/>
    </row>
    <row r="22" spans="1:35" ht="15" thickBot="1">
      <c r="A22" s="2282" t="s">
        <v>2151</v>
      </c>
      <c r="B22" s="2439"/>
      <c r="C22" s="2440"/>
      <c r="D22" s="791">
        <f ca="1">IF(C19&lt;D19,D19/C19-1,C19/D19-1)</f>
        <v>0.28957397353658632</v>
      </c>
      <c r="E22" s="138"/>
      <c r="F22" s="138"/>
      <c r="G22" s="138"/>
      <c r="H22" s="138"/>
      <c r="I22" s="138"/>
    </row>
    <row r="23" spans="1:35" ht="13.5" thickBot="1">
      <c r="A23" s="2417"/>
      <c r="B23" s="2417"/>
      <c r="C23" s="2417"/>
      <c r="D23" s="2417"/>
      <c r="E23" s="138"/>
      <c r="F23" s="138"/>
      <c r="G23" s="138"/>
      <c r="H23" s="138"/>
      <c r="I23" s="138"/>
    </row>
    <row r="24" spans="1:35" ht="14.25">
      <c r="A24" s="3156" t="s">
        <v>2152</v>
      </c>
      <c r="B24" s="2434" t="s">
        <v>2144</v>
      </c>
      <c r="C24" s="145">
        <f>IF(B30=0,0,D30)</f>
        <v>0</v>
      </c>
      <c r="D24" s="2441"/>
      <c r="E24" s="138"/>
      <c r="F24" s="138"/>
      <c r="G24" s="138"/>
      <c r="H24" s="138"/>
      <c r="I24" s="138"/>
    </row>
    <row r="25" spans="1:35" ht="14.25">
      <c r="A25" s="3157"/>
      <c r="B25" s="1250"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278763</v>
      </c>
      <c r="D32" s="2448" t="s">
        <v>2159</v>
      </c>
      <c r="E32" s="138"/>
      <c r="F32" s="138"/>
      <c r="G32" s="138"/>
      <c r="H32" s="138"/>
      <c r="I32" s="138"/>
    </row>
    <row r="33" spans="1:15" ht="15">
      <c r="A33" s="960" t="s">
        <v>2160</v>
      </c>
      <c r="B33" s="2449"/>
      <c r="C33" s="2450" t="s">
        <v>3186</v>
      </c>
      <c r="D33" s="2451" t="s">
        <v>3159</v>
      </c>
      <c r="E33" s="2452" t="s">
        <v>2161</v>
      </c>
      <c r="F33" s="2453" t="str">
        <f>IF(D32="楼面单价","取值（单价）","取值（总价）")</f>
        <v>取值（总价）</v>
      </c>
      <c r="G33" s="138"/>
      <c r="H33" s="138"/>
      <c r="I33" s="138"/>
    </row>
    <row r="34" spans="1:15" ht="15">
      <c r="A34" s="2454"/>
      <c r="B34" s="2455" t="s">
        <v>2162</v>
      </c>
      <c r="C34" s="157">
        <f ca="1">IF(C33="自定义",F34,C32-C35)</f>
        <v>273188</v>
      </c>
      <c r="D34" s="1058">
        <f ca="1">IF(C33="自定义",ROUND(C34/C32,3),IF(C33="收益比率",SUMIF(INDIRECT("'"&amp;D33&amp;"'"&amp;"!b:b"),"土地收益比率",INDIRECT("'"&amp;D33&amp;"'"&amp;"!c:c")),SUMIF(INDIRECT("'"&amp;D33&amp;"'"&amp;"!b:b"),"土地成本比率",INDIRECT("'"&amp;D33&amp;"'"&amp;"!c:c"))))</f>
        <v>0.98</v>
      </c>
      <c r="E34" s="2456" t="s">
        <v>2163</v>
      </c>
      <c r="F34" s="1738"/>
      <c r="G34" s="138"/>
      <c r="H34" s="138"/>
      <c r="I34" s="138"/>
    </row>
    <row r="35" spans="1:15" ht="15.75" thickBot="1">
      <c r="A35" s="2457"/>
      <c r="B35" s="2458" t="s">
        <v>2164</v>
      </c>
      <c r="C35" s="1444">
        <f ca="1">IF(C33="自定义",F35,ROUND(C32*D35,0))</f>
        <v>5575</v>
      </c>
      <c r="D35" s="1445">
        <f ca="1">IF(C33="自定义",ROUND(C35/C32,3),IF(C33="收益比率",SUMIF(INDIRECT("'"&amp;D33&amp;"'"&amp;"!b:b"),"建筑物收益比率",INDIRECT("'"&amp;D33&amp;"'"&amp;"!c:c")),SUMIF(INDIRECT("'"&amp;D33&amp;"'"&amp;"!b:b"),"建筑物成本比率",INDIRECT("'"&amp;D33&amp;"'"&amp;"!c:c"))))</f>
        <v>0.02</v>
      </c>
      <c r="E35" s="2459" t="s">
        <v>2165</v>
      </c>
      <c r="F35" s="163"/>
      <c r="G35" s="138"/>
      <c r="H35" s="138"/>
      <c r="I35" s="138"/>
    </row>
    <row r="36" spans="1:15" ht="15.75" thickBot="1">
      <c r="A36" s="3136" t="s">
        <v>2166</v>
      </c>
      <c r="B36" s="2460" t="s">
        <v>2167</v>
      </c>
      <c r="C36" s="154"/>
      <c r="D36" s="2461"/>
      <c r="E36" s="2462"/>
      <c r="F36" s="2463"/>
      <c r="G36" s="138"/>
      <c r="H36" s="138"/>
      <c r="I36" s="138"/>
    </row>
    <row r="37" spans="1:15" ht="15.75" thickBot="1">
      <c r="A37" s="3137"/>
      <c r="B37" s="2268" t="s">
        <v>2168</v>
      </c>
      <c r="C37" s="156"/>
      <c r="D37" s="1395"/>
      <c r="E37" s="1395"/>
      <c r="F37" s="2463"/>
      <c r="G37" s="138"/>
      <c r="H37" s="138"/>
      <c r="I37" s="138"/>
    </row>
    <row r="38" spans="1:15" ht="15.75" thickBot="1">
      <c r="A38" s="3138"/>
      <c r="B38" s="2464" t="s">
        <v>2169</v>
      </c>
      <c r="C38" s="727"/>
      <c r="D38" s="2465" t="s">
        <v>2170</v>
      </c>
      <c r="E38" s="1395"/>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153" t="s">
        <v>2180</v>
      </c>
      <c r="B45" s="3154"/>
      <c r="C45" s="3155"/>
      <c r="D45" s="164">
        <f ca="1">ROUND(H101*F45,0)</f>
        <v>278763</v>
      </c>
      <c r="E45" s="165" t="s">
        <v>2181</v>
      </c>
      <c r="F45" s="166">
        <v>1</v>
      </c>
      <c r="G45" s="167" t="s">
        <v>2182</v>
      </c>
      <c r="H45" s="138"/>
      <c r="I45" s="138"/>
      <c r="J45" s="3072" t="s">
        <v>2183</v>
      </c>
      <c r="K45" s="3072"/>
      <c r="L45" s="3072"/>
      <c r="M45" s="3072"/>
      <c r="N45" s="3072"/>
      <c r="O45" s="3072"/>
    </row>
    <row r="46" spans="1:15" ht="14.25" hidden="1" customHeight="1">
      <c r="A46" s="3150" t="s">
        <v>2184</v>
      </c>
      <c r="B46" s="3151"/>
      <c r="C46" s="3151"/>
      <c r="D46" s="3151"/>
      <c r="E46" s="3151"/>
      <c r="F46" s="3151"/>
      <c r="G46" s="3152"/>
      <c r="H46" s="2479"/>
      <c r="I46" s="168"/>
      <c r="J46" s="1810">
        <v>1</v>
      </c>
      <c r="K46" s="3072" t="s">
        <v>2185</v>
      </c>
      <c r="L46" s="3072"/>
      <c r="M46" s="3073"/>
      <c r="N46" s="3073"/>
      <c r="O46" s="3073"/>
    </row>
    <row r="47" spans="1:15" ht="12" hidden="1" customHeight="1">
      <c r="A47" s="169" t="s">
        <v>2186</v>
      </c>
      <c r="B47" s="170"/>
      <c r="C47" s="171"/>
      <c r="D47" s="172" t="s">
        <v>2187</v>
      </c>
      <c r="E47" s="24" t="s">
        <v>2188</v>
      </c>
      <c r="F47" s="173" t="s">
        <v>2189</v>
      </c>
      <c r="G47" s="174" t="s">
        <v>2190</v>
      </c>
      <c r="H47" s="2479"/>
      <c r="I47" s="168"/>
      <c r="J47" s="1810">
        <v>2</v>
      </c>
      <c r="K47" s="3072" t="s">
        <v>2191</v>
      </c>
      <c r="L47" s="3072"/>
      <c r="M47" s="3074">
        <f>'数据-取费表'!B2</f>
        <v>43142</v>
      </c>
      <c r="N47" s="3074"/>
      <c r="O47" s="3074"/>
    </row>
    <row r="48" spans="1:15" ht="25.5" hidden="1">
      <c r="A48" s="3140" t="s">
        <v>2192</v>
      </c>
      <c r="B48" s="3141"/>
      <c r="C48" s="3141"/>
      <c r="D48" s="140">
        <f>IF(H48="情况1",0,IF(H48="情况2",D52,IF(H48="情况3",D53,IF(H48="情况4",D54))))</f>
        <v>0</v>
      </c>
      <c r="E48" s="1799" t="str">
        <f>IF(H48="情况4","(销售额-原购置价)×税（费）率","销售额×税（费）率")</f>
        <v>销售额×税（费）率</v>
      </c>
      <c r="F48" s="175" t="str">
        <f>IF(H48="情况1","免征",'数据-取费表'!B41)</f>
        <v>免征</v>
      </c>
      <c r="G48" s="2480" t="s">
        <v>2193</v>
      </c>
      <c r="H48" s="2481" t="s">
        <v>2194</v>
      </c>
      <c r="I48" s="2479"/>
      <c r="J48" s="1810">
        <v>3</v>
      </c>
      <c r="K48" s="3072" t="s">
        <v>2195</v>
      </c>
      <c r="L48" s="3072"/>
      <c r="M48" s="3075">
        <f ca="1">H101</f>
        <v>278763</v>
      </c>
      <c r="N48" s="3075"/>
      <c r="O48" s="3075"/>
    </row>
    <row r="49" spans="1:35" ht="25.5" hidden="1" customHeight="1">
      <c r="A49" s="176" t="s">
        <v>2196</v>
      </c>
      <c r="B49" s="3120" t="s">
        <v>2197</v>
      </c>
      <c r="C49" s="3120"/>
      <c r="D49" s="177">
        <v>0</v>
      </c>
      <c r="E49" s="23" t="s">
        <v>2198</v>
      </c>
      <c r="F49" s="28" t="s">
        <v>34</v>
      </c>
      <c r="G49" s="3101"/>
      <c r="H49" s="138"/>
      <c r="I49" s="2482"/>
      <c r="J49" s="1810">
        <v>4</v>
      </c>
      <c r="K49" s="3072" t="str">
        <f>IF(项目基本情况!E8="房地产抵押价值","房地产抵押价值","抵押担保权已注销时的房地产抵押价值")</f>
        <v>房地产抵押价值</v>
      </c>
      <c r="L49" s="3072"/>
      <c r="M49" s="3075">
        <f ca="1">IF(项目基本情况!E8="房地产抵押价值",H107,H109)</f>
        <v>278763</v>
      </c>
      <c r="N49" s="3075"/>
      <c r="O49" s="3075"/>
    </row>
    <row r="50" spans="1:35" ht="25.5" hidden="1" customHeight="1">
      <c r="A50" s="178"/>
      <c r="B50" s="3120" t="s">
        <v>2199</v>
      </c>
      <c r="C50" s="3120"/>
      <c r="D50" s="179"/>
      <c r="E50" s="31"/>
      <c r="F50" s="180"/>
      <c r="G50" s="3102"/>
      <c r="H50" s="138"/>
      <c r="I50" s="2482"/>
      <c r="J50" s="3072" t="s">
        <v>2200</v>
      </c>
      <c r="K50" s="3072"/>
      <c r="L50" s="3072"/>
      <c r="M50" s="3072"/>
      <c r="N50" s="3072"/>
      <c r="O50" s="3072"/>
    </row>
    <row r="51" spans="1:35" ht="12" hidden="1" customHeight="1">
      <c r="A51" s="181"/>
      <c r="B51" s="3120" t="s">
        <v>2201</v>
      </c>
      <c r="C51" s="3120"/>
      <c r="D51" s="182"/>
      <c r="E51" s="30"/>
      <c r="F51" s="180"/>
      <c r="G51" s="3103"/>
      <c r="H51" s="138"/>
      <c r="I51" s="2482"/>
      <c r="J51" s="2483" t="s">
        <v>2202</v>
      </c>
      <c r="K51" s="3072" t="s">
        <v>2203</v>
      </c>
      <c r="L51" s="3072"/>
      <c r="M51" s="2483" t="s">
        <v>2204</v>
      </c>
      <c r="N51" s="2483" t="s">
        <v>2205</v>
      </c>
      <c r="O51" s="2483" t="s">
        <v>2206</v>
      </c>
    </row>
    <row r="52" spans="1:35" ht="24" hidden="1" customHeight="1">
      <c r="A52" s="183" t="s">
        <v>2207</v>
      </c>
      <c r="B52" s="3120" t="s">
        <v>2208</v>
      </c>
      <c r="C52" s="3120"/>
      <c r="D52" s="182">
        <f ca="1">ROUND(D45*'数据-取费表'!B41/(1+'数据-取费表'!C42),0)</f>
        <v>14602</v>
      </c>
      <c r="E52" s="11" t="s">
        <v>2209</v>
      </c>
      <c r="F52" s="184">
        <f>'数据-取费表'!B41</f>
        <v>5.5000000000000007E-2</v>
      </c>
      <c r="G52" s="2484"/>
      <c r="H52" s="138"/>
      <c r="I52" s="2482"/>
      <c r="J52" s="1810">
        <v>1</v>
      </c>
      <c r="K52" s="3095" t="s">
        <v>2210</v>
      </c>
      <c r="L52" s="3095"/>
      <c r="M52" s="1752">
        <f>D48</f>
        <v>0</v>
      </c>
      <c r="N52" s="1810" t="str">
        <f>E48</f>
        <v>销售额×税（费）率</v>
      </c>
      <c r="O52" s="1753" t="str">
        <f>F48</f>
        <v>免征</v>
      </c>
    </row>
    <row r="53" spans="1:35" ht="12" hidden="1" customHeight="1">
      <c r="A53" s="183" t="s">
        <v>2211</v>
      </c>
      <c r="B53" s="3121" t="s">
        <v>2212</v>
      </c>
      <c r="C53" s="3122"/>
      <c r="D53" s="182">
        <f ca="1">ROUND(D45*'数据-取费表'!B41/(1+'数据-取费表'!C42),0)</f>
        <v>14602</v>
      </c>
      <c r="E53" s="11" t="s">
        <v>2209</v>
      </c>
      <c r="F53" s="184">
        <f>'数据-取费表'!B41</f>
        <v>5.5000000000000007E-2</v>
      </c>
      <c r="G53" s="2484"/>
      <c r="H53" s="138"/>
      <c r="I53" s="2482"/>
      <c r="J53" s="1810">
        <v>2</v>
      </c>
      <c r="K53" s="3095" t="s">
        <v>2213</v>
      </c>
      <c r="L53" s="3095"/>
      <c r="M53" s="1752">
        <f t="shared" ref="M53:O54" ca="1" si="0">D55</f>
        <v>139</v>
      </c>
      <c r="N53" s="1810" t="str">
        <f t="shared" si="0"/>
        <v>销售额×税（费）率</v>
      </c>
      <c r="O53" s="1753">
        <f t="shared" si="0"/>
        <v>5.0000000000000001E-4</v>
      </c>
    </row>
    <row r="54" spans="1:35" ht="12" hidden="1" customHeight="1">
      <c r="A54" s="183" t="s">
        <v>2214</v>
      </c>
      <c r="B54" s="3121" t="s">
        <v>2215</v>
      </c>
      <c r="C54" s="3122"/>
      <c r="D54" s="182">
        <f ca="1">C68</f>
        <v>14602</v>
      </c>
      <c r="E54" s="30" t="s">
        <v>2216</v>
      </c>
      <c r="F54" s="184">
        <f>'数据-取费表'!B41</f>
        <v>5.5000000000000007E-2</v>
      </c>
      <c r="G54" s="2484"/>
      <c r="H54" s="2485"/>
      <c r="I54" s="2482"/>
      <c r="J54" s="1810">
        <v>3</v>
      </c>
      <c r="K54" s="3095" t="s">
        <v>2217</v>
      </c>
      <c r="L54" s="3095"/>
      <c r="M54" s="1752">
        <f t="shared" ca="1" si="0"/>
        <v>158033</v>
      </c>
      <c r="N54" s="1810" t="str">
        <f t="shared" si="0"/>
        <v>增值额×税（费）率</v>
      </c>
      <c r="O54" s="1754" t="str">
        <f t="shared" si="0"/>
        <v>——</v>
      </c>
    </row>
    <row r="55" spans="1:35" ht="24" hidden="1" customHeight="1">
      <c r="A55" s="3159" t="s">
        <v>2218</v>
      </c>
      <c r="B55" s="3141"/>
      <c r="C55" s="3141"/>
      <c r="D55" s="185">
        <f ca="1">IF(H55="个人住宅",0,ROUND(D45*I55,0))</f>
        <v>139</v>
      </c>
      <c r="E55" s="11" t="s">
        <v>2219</v>
      </c>
      <c r="F55" s="184">
        <f>IF(H55="正常",I55,"免征")</f>
        <v>5.0000000000000001E-4</v>
      </c>
      <c r="G55" s="2484"/>
      <c r="H55" s="2481" t="s">
        <v>2220</v>
      </c>
      <c r="I55" s="186">
        <f>'数据-取费表'!B49</f>
        <v>5.0000000000000001E-4</v>
      </c>
      <c r="J55" s="1810" t="str">
        <f>IF(H59="非个人房产","",4)</f>
        <v/>
      </c>
      <c r="K55" s="3095" t="str">
        <f>IF(H59="非个人房产","——","个人所得税")</f>
        <v>——</v>
      </c>
      <c r="L55" s="3095"/>
      <c r="M55" s="1755" t="str">
        <f>D59</f>
        <v>——</v>
      </c>
      <c r="N55" s="1808" t="str">
        <f>E59</f>
        <v>——</v>
      </c>
      <c r="O55" s="1756" t="str">
        <f>F59</f>
        <v>——</v>
      </c>
    </row>
    <row r="56" spans="1:35" ht="24.75" hidden="1">
      <c r="A56" s="3159" t="s">
        <v>2221</v>
      </c>
      <c r="B56" s="3141"/>
      <c r="C56" s="3141"/>
      <c r="D56" s="185">
        <f ca="1">IF(H56="个人住宅",D57,D58)</f>
        <v>158033</v>
      </c>
      <c r="E56" s="11" t="s">
        <v>2222</v>
      </c>
      <c r="F56" s="184" t="str">
        <f>IF(H56="正常",F58,"免征")</f>
        <v>——</v>
      </c>
      <c r="G56" s="2486" t="s">
        <v>2223</v>
      </c>
      <c r="H56" s="2487" t="s">
        <v>2220</v>
      </c>
      <c r="I56" s="2488"/>
      <c r="J56" s="1810" t="str">
        <f>IF(项目基本情况!K6="上海银行",IF(J55="",4,J55+1),"")</f>
        <v/>
      </c>
      <c r="K56" s="3078" t="str">
        <f>IF(项目基本情况!K6="上海银行","其他处置费用","")</f>
        <v/>
      </c>
      <c r="L56" s="3079"/>
      <c r="M56" s="1752" t="str">
        <f>IF(项目基本情况!K6="上海银行",M69,"")</f>
        <v/>
      </c>
      <c r="N56" s="3081" t="str">
        <f>IF(项目基本情况!K6="上海银行","包含处置中涉及的律师、诉讼、拍卖、评估等费用","")</f>
        <v/>
      </c>
      <c r="O56" s="3082"/>
    </row>
    <row r="57" spans="1:35" ht="12.75" hidden="1">
      <c r="A57" s="183" t="s">
        <v>2196</v>
      </c>
      <c r="B57" s="3126" t="s">
        <v>2224</v>
      </c>
      <c r="C57" s="3127"/>
      <c r="D57" s="187">
        <v>0</v>
      </c>
      <c r="E57" s="23" t="s">
        <v>2198</v>
      </c>
      <c r="F57" s="155"/>
      <c r="G57" s="2484"/>
      <c r="H57" s="2488"/>
      <c r="I57" s="2488"/>
      <c r="J57" s="3095">
        <f>IF(AND(J55="",J56=""),4,IF(项目基本情况!K6="上海银行",结果表!J56+1,结果表!J55+1))</f>
        <v>4</v>
      </c>
      <c r="K57" s="3095" t="s">
        <v>2225</v>
      </c>
      <c r="L57" s="2489" t="s">
        <v>2226</v>
      </c>
      <c r="M57" s="1757"/>
      <c r="N57" s="1758">
        <f ca="1">SUMIF(M52:M56,"&lt;9e307")</f>
        <v>158172</v>
      </c>
      <c r="O57" s="2490"/>
      <c r="P57" s="1751">
        <f ca="1">N57/M49</f>
        <v>0.56740672183898155</v>
      </c>
    </row>
    <row r="58" spans="1:35" ht="24.75" hidden="1">
      <c r="A58" s="183" t="s">
        <v>2207</v>
      </c>
      <c r="B58" s="3126" t="s">
        <v>2227</v>
      </c>
      <c r="C58" s="3139"/>
      <c r="D58" s="185">
        <f ca="1">IF(H58="转让取得",C81,C97)</f>
        <v>158033</v>
      </c>
      <c r="E58" s="11" t="s">
        <v>2222</v>
      </c>
      <c r="F58" s="24" t="s">
        <v>34</v>
      </c>
      <c r="G58" s="2484"/>
      <c r="H58" s="2487" t="s">
        <v>2228</v>
      </c>
      <c r="I58" s="2488"/>
      <c r="J58" s="3095"/>
      <c r="K58" s="3095"/>
      <c r="L58" s="2489" t="s">
        <v>2229</v>
      </c>
      <c r="M58" s="1759"/>
      <c r="N58" s="2491" t="str">
        <f ca="1">NUMBERSTRING(INT(N57*10000),2)&amp;"元整"</f>
        <v>壹拾伍亿捌仟壹佰柒拾贰万元整</v>
      </c>
      <c r="O58" s="2492"/>
    </row>
    <row r="59" spans="1:35" ht="24.75" hidden="1" thickBot="1">
      <c r="A59" s="3099" t="s">
        <v>2230</v>
      </c>
      <c r="B59" s="3100"/>
      <c r="C59" s="3100"/>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97">
        <f>J57+1</f>
        <v>5</v>
      </c>
      <c r="K59" s="3095" t="s">
        <v>2232</v>
      </c>
      <c r="L59" s="1810" t="s">
        <v>2226</v>
      </c>
      <c r="M59" s="1760"/>
      <c r="N59" s="1761">
        <f ca="1">M49-N57</f>
        <v>120591</v>
      </c>
      <c r="O59" s="2494"/>
    </row>
    <row r="60" spans="1:35" ht="12" hidden="1" customHeight="1">
      <c r="A60" s="2495"/>
      <c r="B60" s="2417"/>
      <c r="C60" s="2417"/>
      <c r="D60" s="2417"/>
      <c r="E60" s="2168"/>
      <c r="F60" s="2488"/>
      <c r="G60" s="2488"/>
      <c r="H60" s="2496"/>
      <c r="I60" s="138"/>
      <c r="J60" s="3098"/>
      <c r="K60" s="3095"/>
      <c r="L60" s="2489" t="s">
        <v>2229</v>
      </c>
      <c r="M60" s="1759"/>
      <c r="N60" s="2491" t="str">
        <f ca="1">NUMBERSTRING(INT(N59*10000),2)&amp;"元整"</f>
        <v>壹拾贰亿零伍佰玖拾壹万元整</v>
      </c>
      <c r="O60" s="2492"/>
    </row>
    <row r="61" spans="1:35" ht="13.5" hidden="1" thickBot="1">
      <c r="A61" s="3158" t="s">
        <v>2233</v>
      </c>
      <c r="B61" s="3158"/>
      <c r="C61" s="3158"/>
      <c r="D61" s="3158"/>
      <c r="E61" s="3158"/>
      <c r="F61" s="2488"/>
      <c r="G61" s="2488"/>
      <c r="H61" s="2496"/>
      <c r="I61" s="138"/>
      <c r="J61" s="1810">
        <f>J59+1</f>
        <v>6</v>
      </c>
      <c r="K61" s="3095" t="s">
        <v>2234</v>
      </c>
      <c r="L61" s="3095"/>
      <c r="M61" s="1762"/>
      <c r="N61" s="1763">
        <f ca="1">ROUND(N59*10000/'数据-汇总表'!E3,0)</f>
        <v>10152</v>
      </c>
      <c r="O61" s="2497"/>
    </row>
    <row r="62" spans="1:35" ht="12.75" hidden="1">
      <c r="A62" s="3115" t="s">
        <v>2235</v>
      </c>
      <c r="B62" s="3116"/>
      <c r="C62" s="1802"/>
      <c r="D62" s="1802" t="s">
        <v>2236</v>
      </c>
      <c r="E62" s="192" t="s">
        <v>2237</v>
      </c>
      <c r="F62" s="2488"/>
      <c r="G62" s="2488"/>
      <c r="H62" s="2496"/>
      <c r="I62" s="138"/>
    </row>
    <row r="63" spans="1:35" ht="12.75" hidden="1">
      <c r="A63" s="203" t="s">
        <v>775</v>
      </c>
      <c r="B63" s="193" t="s">
        <v>2238</v>
      </c>
      <c r="C63" s="194">
        <f ca="1">ROUND((C64+C65)/(1+'数据-取费表'!C42),0)</f>
        <v>265489</v>
      </c>
      <c r="D63" s="195"/>
      <c r="E63" s="196"/>
      <c r="F63" s="2488"/>
      <c r="G63" s="2488"/>
      <c r="H63" s="2496"/>
      <c r="I63" s="138"/>
      <c r="J63" s="3080" t="s">
        <v>2239</v>
      </c>
      <c r="K63" s="2498" t="s">
        <v>2240</v>
      </c>
      <c r="L63" s="1750">
        <f ca="1">IF(M49&gt;10000,M49*0.5%,IF(AND(M49&gt;1000,M49&lt;=10000),M49*1%,IF(AND(M49&gt;100,M49&lt;=1000),M49*3%,IF(AND(M49&gt;10,M49&lt;=100),M49*5%,M49*8%))))</f>
        <v>1393.8150000000001</v>
      </c>
      <c r="M63" s="24">
        <f ca="1">ROUND(L63,1)</f>
        <v>1393.8</v>
      </c>
      <c r="Z63" s="2422"/>
      <c r="AI63" s="2423"/>
    </row>
    <row r="64" spans="1:35" ht="14.25" hidden="1" customHeight="1">
      <c r="A64" s="197" t="s">
        <v>770</v>
      </c>
      <c r="B64" s="198" t="s">
        <v>2241</v>
      </c>
      <c r="C64" s="199">
        <f ca="1">D45</f>
        <v>278763</v>
      </c>
      <c r="D64" s="200" t="s">
        <v>32</v>
      </c>
      <c r="E64" s="201"/>
      <c r="F64" s="2488"/>
      <c r="G64" s="2488"/>
      <c r="H64" s="2496"/>
      <c r="I64" s="138"/>
      <c r="J64" s="3080"/>
      <c r="K64" s="2498" t="s">
        <v>2242</v>
      </c>
      <c r="L64" s="1750">
        <f ca="1">IF(M49&gt;2000,M49*0.5%,IF(AND(M49&gt;1000,M49&lt;=2000),M49*0.6%,IF(AND(M49&gt;500,M49&lt;=1000),M49*0.7%,IF(AND(M49&gt;200,M49&lt;=500),M49*0.8%,IF(AND(M49&gt;100,M49&lt;=200),M49*0.9%,IF(AND(M49&gt;50,M49&lt;=100),M49*1%,IF(AND(M49&gt;20,M49&lt;=50),M49*1.5%,IF(AND(M49&gt;10,M49&lt;=20),M49*2%,IF(AND(M49&gt;1,M49&lt;=10),M49*2.5%)))))))))</f>
        <v>1393.8150000000001</v>
      </c>
      <c r="M64" s="24">
        <f t="shared" ref="M64:M65" ca="1" si="1">ROUND(L64,1)</f>
        <v>1393.8</v>
      </c>
      <c r="N64" s="138" t="s">
        <v>2243</v>
      </c>
      <c r="Z64" s="2422"/>
      <c r="AI64" s="2423"/>
    </row>
    <row r="65" spans="1:35" ht="14.25" hidden="1" customHeight="1">
      <c r="A65" s="197" t="s">
        <v>771</v>
      </c>
      <c r="B65" s="198" t="s">
        <v>2244</v>
      </c>
      <c r="C65" s="202"/>
      <c r="D65" s="200"/>
      <c r="E65" s="201"/>
      <c r="F65" s="2488"/>
      <c r="G65" s="2488"/>
      <c r="H65" s="2496"/>
      <c r="I65" s="138"/>
      <c r="J65" s="3080"/>
      <c r="K65" s="2498" t="s">
        <v>2245</v>
      </c>
      <c r="L65" s="1750">
        <f ca="1">IF(M49&gt;1000,M49*0.1%,IF(AND(M49&gt;500,M49&lt;=1000),M49*0.5%,IF(AND(M49&gt;50,M49&lt;=500),M49*1%,IF(AND(M49&gt;1,M49&lt;=50),M49*1.5%))))</f>
        <v>278.76300000000003</v>
      </c>
      <c r="M65" s="24">
        <f t="shared" ca="1" si="1"/>
        <v>278.8</v>
      </c>
      <c r="N65" s="138" t="s">
        <v>2243</v>
      </c>
      <c r="Z65" s="2422"/>
      <c r="AI65" s="2423"/>
    </row>
    <row r="66" spans="1:35" ht="14.25" hidden="1" customHeight="1">
      <c r="A66" s="203" t="s">
        <v>772</v>
      </c>
      <c r="B66" s="204" t="s">
        <v>2246</v>
      </c>
      <c r="C66" s="205"/>
      <c r="D66" s="206" t="s">
        <v>32</v>
      </c>
      <c r="E66" s="1774" t="s">
        <v>1365</v>
      </c>
      <c r="F66" s="2488"/>
      <c r="G66" s="2488"/>
      <c r="H66" s="2496"/>
      <c r="I66" s="138"/>
      <c r="J66" s="3080"/>
      <c r="K66" s="2498" t="s">
        <v>2247</v>
      </c>
      <c r="L66" s="1750">
        <f ca="1">M49*0.5%</f>
        <v>1393.8150000000001</v>
      </c>
      <c r="M66" s="24">
        <f ca="1">IF(L66&gt;0.5,0.5,ROUND(L66,0))</f>
        <v>0.5</v>
      </c>
      <c r="N66" s="138" t="s">
        <v>2248</v>
      </c>
      <c r="Z66" s="2422"/>
      <c r="AI66" s="2423"/>
    </row>
    <row r="67" spans="1:35" ht="14.25" hidden="1" customHeight="1">
      <c r="A67" s="203" t="s">
        <v>773</v>
      </c>
      <c r="B67" s="204" t="s">
        <v>2249</v>
      </c>
      <c r="C67" s="207">
        <f ca="1">C63-C66</f>
        <v>265489</v>
      </c>
      <c r="D67" s="200" t="s">
        <v>32</v>
      </c>
      <c r="E67" s="201"/>
      <c r="F67" s="2488"/>
      <c r="G67" s="2488"/>
      <c r="H67" s="2496"/>
      <c r="I67" s="138"/>
      <c r="J67" s="3080"/>
      <c r="K67" s="2498" t="s">
        <v>2250</v>
      </c>
      <c r="L67" s="1750">
        <f ca="1">IF(M49&gt;=10000,(8.25+(M49-10000)*0.01%),IF(AND(M49&gt;=8000,M49&lt;10000),(7.85+(M49-8000)*0.02%),IF(AND(M49&gt;=5000,M49&lt;8000),(6.65+(M49-5000)*0.04%),IF(AND(M49&gt;=2000,M49&lt;5000),(4.25+(PM49-2000)*0.08%),IF(AND(M49&gt;=1000,M49&lt;2000),(2.75+(M49-1000)*0.15%),IF(AND(M49&gt;=100,M49&lt;1000),(0.5+(M49-100)*0.25%),IF(AND(M49&gt;0,M49&lt;100),M49*0.5%)))))))</f>
        <v>35.126300000000001</v>
      </c>
      <c r="M67" s="24">
        <f ca="1">ROUND(L67*0.9,1)</f>
        <v>31.6</v>
      </c>
      <c r="Z67" s="2422"/>
      <c r="AI67" s="2423"/>
    </row>
    <row r="68" spans="1:35" ht="14.25" hidden="1" customHeight="1" thickBot="1">
      <c r="A68" s="208" t="s">
        <v>774</v>
      </c>
      <c r="B68" s="209" t="s">
        <v>2251</v>
      </c>
      <c r="C68" s="210">
        <f ca="1">IF(C67&lt;=0,0,ROUND(C67*D68,0))</f>
        <v>14602</v>
      </c>
      <c r="D68" s="211">
        <f>'数据-取费表'!B41</f>
        <v>5.5000000000000007E-2</v>
      </c>
      <c r="E68" s="212"/>
      <c r="F68" s="2488"/>
      <c r="G68" s="2488"/>
      <c r="H68" s="2496"/>
      <c r="I68" s="138"/>
      <c r="J68" s="3080"/>
      <c r="K68" s="2498" t="s">
        <v>2252</v>
      </c>
      <c r="L68" s="1750">
        <f ca="1">IF(M49&gt;10000,M49*0.5%,IF(AND(M49&gt;5000,M49&lt;=10000),M49*1%,IF(AND(M49&gt;1000,M49&lt;=5000),M49*2%,IF(AND(M49&gt;200,M49&lt;=1000),M49*3%,M49*5%))))</f>
        <v>1393.8150000000001</v>
      </c>
      <c r="M68" s="24">
        <f ca="1">ROUND(L68,1)</f>
        <v>1393.8</v>
      </c>
      <c r="Z68" s="2422"/>
      <c r="AI68" s="2423"/>
    </row>
    <row r="69" spans="1:35" s="2445" customFormat="1" ht="16.5" hidden="1" customHeight="1">
      <c r="A69" s="2499"/>
      <c r="B69" s="2500"/>
      <c r="C69" s="2501"/>
      <c r="D69" s="2502"/>
      <c r="E69" s="2503"/>
      <c r="F69" s="2168"/>
      <c r="G69" s="2168"/>
      <c r="H69" s="2167"/>
      <c r="I69" s="2417"/>
      <c r="J69" s="3080"/>
      <c r="K69" s="2498" t="s">
        <v>2253</v>
      </c>
      <c r="L69" s="2504"/>
      <c r="M69" s="24">
        <f ca="1">ROUND(SUM(M63:M68),0)</f>
        <v>4492</v>
      </c>
      <c r="N69" s="1751">
        <f ca="1">M69/M49</f>
        <v>1.6114046699167394E-2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24" t="s">
        <v>2254</v>
      </c>
      <c r="B70" s="3125"/>
      <c r="C70" s="3125"/>
      <c r="D70" s="3125"/>
      <c r="E70" s="3125"/>
      <c r="F70" s="3125"/>
      <c r="G70" s="3125"/>
      <c r="H70" s="312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15" t="s">
        <v>2235</v>
      </c>
      <c r="B71" s="3116"/>
      <c r="C71" s="1802"/>
      <c r="D71" s="1802"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265489</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1327</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121" t="s">
        <v>2263</v>
      </c>
      <c r="F76" s="3120"/>
      <c r="G76" s="3120"/>
      <c r="H76" s="312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1327</v>
      </c>
      <c r="D78" s="226">
        <f>'数据-取费表'!B43</f>
        <v>5.000000000000001E-3</v>
      </c>
      <c r="E78" s="3112" t="s">
        <v>2268</v>
      </c>
      <c r="F78" s="3113"/>
      <c r="G78" s="3113"/>
      <c r="H78" s="31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264162</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199.06706857573474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158033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24" t="s">
        <v>2272</v>
      </c>
      <c r="B83" s="3125"/>
      <c r="C83" s="3125"/>
      <c r="D83" s="3125"/>
      <c r="E83" s="3125"/>
      <c r="F83" s="3125"/>
      <c r="G83" s="3125"/>
      <c r="H83" s="312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15" t="s">
        <v>2235</v>
      </c>
      <c r="B84" s="3116"/>
      <c r="C84" s="1802"/>
      <c r="D84" s="1802"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265489</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1327</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8"/>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112" t="s">
        <v>2281</v>
      </c>
      <c r="F91" s="3113"/>
      <c r="G91" s="3113"/>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112" t="s">
        <v>2285</v>
      </c>
      <c r="F92" s="3113"/>
      <c r="G92" s="3113"/>
      <c r="H92" s="31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1327</v>
      </c>
      <c r="D93" s="226">
        <f>'数据-取费表'!B43</f>
        <v>5.000000000000001E-3</v>
      </c>
      <c r="E93" s="3112" t="s">
        <v>2268</v>
      </c>
      <c r="F93" s="3113"/>
      <c r="G93" s="3113"/>
      <c r="H93" s="31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160" t="s">
        <v>2289</v>
      </c>
      <c r="F94" s="3161"/>
      <c r="G94" s="3161"/>
      <c r="H94" s="316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264162</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199.06706857573474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158033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2290</v>
      </c>
      <c r="B99" s="2417"/>
      <c r="C99" s="2417"/>
      <c r="D99" s="2417"/>
      <c r="E99" s="2168"/>
      <c r="F99" s="2168"/>
      <c r="G99" s="2168"/>
      <c r="H99" s="2167"/>
      <c r="I99" s="138"/>
    </row>
    <row r="100" spans="1:35" ht="18.75" customHeight="1">
      <c r="A100" s="3064" t="s">
        <v>2291</v>
      </c>
      <c r="B100" s="3065"/>
      <c r="C100" s="3065"/>
      <c r="D100" s="3096"/>
      <c r="E100" s="3065" t="s">
        <v>2292</v>
      </c>
      <c r="F100" s="3065"/>
      <c r="G100" s="3065"/>
      <c r="H100" s="3096"/>
      <c r="I100" s="138"/>
    </row>
    <row r="101" spans="1:35" ht="18.75" customHeight="1">
      <c r="A101" s="3104" t="s">
        <v>2293</v>
      </c>
      <c r="B101" s="3105"/>
      <c r="C101" s="736" t="str">
        <f>C4</f>
        <v>成本法</v>
      </c>
      <c r="D101" s="737" t="str">
        <f>D4</f>
        <v>假设开发法</v>
      </c>
      <c r="E101" s="3076" t="s">
        <v>2294</v>
      </c>
      <c r="F101" s="3077"/>
      <c r="G101" s="2519" t="s">
        <v>2295</v>
      </c>
      <c r="H101" s="1048">
        <f ca="1">H118</f>
        <v>278763</v>
      </c>
      <c r="I101" s="138"/>
    </row>
    <row r="102" spans="1:35" ht="18.75" customHeight="1">
      <c r="A102" s="3106" t="s">
        <v>2296</v>
      </c>
      <c r="B102" s="2519" t="s">
        <v>2295</v>
      </c>
      <c r="C102" s="736">
        <f ca="1">C19</f>
        <v>243506</v>
      </c>
      <c r="D102" s="737">
        <f ca="1">D19</f>
        <v>314019</v>
      </c>
      <c r="E102" s="3076"/>
      <c r="F102" s="3077"/>
      <c r="G102" s="2519" t="s">
        <v>2297</v>
      </c>
      <c r="H102" s="371">
        <f ca="1">I118</f>
        <v>23467</v>
      </c>
      <c r="I102" s="138"/>
    </row>
    <row r="103" spans="1:35" ht="42.75" customHeight="1">
      <c r="A103" s="3106"/>
      <c r="B103" s="2519" t="s">
        <v>2297</v>
      </c>
      <c r="C103" s="738">
        <f ca="1">C20</f>
        <v>20499</v>
      </c>
      <c r="D103" s="739">
        <f ca="1">D20</f>
        <v>26435</v>
      </c>
      <c r="E103" s="3070" t="s">
        <v>2298</v>
      </c>
      <c r="F103" s="3071"/>
      <c r="G103" s="2520" t="s">
        <v>2299</v>
      </c>
      <c r="H103" s="1048">
        <f>IF(D36="正常操作",H104+H105+H106,H105+H106)</f>
        <v>0</v>
      </c>
      <c r="I103" s="138"/>
    </row>
    <row r="104" spans="1:35" ht="18.75" customHeight="1">
      <c r="A104" s="3106" t="s">
        <v>2300</v>
      </c>
      <c r="B104" s="2521" t="s">
        <v>2295</v>
      </c>
      <c r="C104" s="740">
        <f ca="1">H118</f>
        <v>278763</v>
      </c>
      <c r="D104" s="741"/>
      <c r="E104" s="2268" t="s">
        <v>2301</v>
      </c>
      <c r="F104" s="2260"/>
      <c r="G104" s="2520" t="s">
        <v>2299</v>
      </c>
      <c r="H104" s="1049">
        <f>IF(D36="同一抵押权人同一抵押物续贷",C36&amp;"（未扣减，详见特别提示）",C36)</f>
        <v>0</v>
      </c>
      <c r="I104" s="138"/>
    </row>
    <row r="105" spans="1:35" ht="18.75" customHeight="1" thickBot="1">
      <c r="A105" s="3118"/>
      <c r="B105" s="2522" t="s">
        <v>2297</v>
      </c>
      <c r="C105" s="742">
        <f ca="1">I118</f>
        <v>23467</v>
      </c>
      <c r="D105" s="743"/>
      <c r="E105" s="2268" t="s">
        <v>2302</v>
      </c>
      <c r="F105" s="2260"/>
      <c r="G105" s="2520" t="s">
        <v>2299</v>
      </c>
      <c r="H105" s="1049">
        <f>C37</f>
        <v>0</v>
      </c>
      <c r="I105" s="138"/>
    </row>
    <row r="106" spans="1:35" ht="18.75" customHeight="1">
      <c r="A106" s="2417" t="s">
        <v>2303</v>
      </c>
      <c r="B106" s="2417"/>
      <c r="C106" s="2417"/>
      <c r="D106" s="2417"/>
      <c r="E106" s="2523" t="s">
        <v>2304</v>
      </c>
      <c r="F106" s="2260"/>
      <c r="G106" s="2520" t="s">
        <v>2299</v>
      </c>
      <c r="H106" s="1049">
        <f>C38</f>
        <v>0</v>
      </c>
      <c r="I106" s="138"/>
    </row>
    <row r="107" spans="1:35" ht="18.75" customHeight="1">
      <c r="A107" s="138"/>
      <c r="B107" s="138"/>
      <c r="C107" s="138"/>
      <c r="D107" s="138"/>
      <c r="E107" s="3107" t="str">
        <f>IF(项目基本情况!E8="已注销","——","3.房地产抵押价值")</f>
        <v>3.房地产抵押价值</v>
      </c>
      <c r="F107" s="3077"/>
      <c r="G107" s="2519" t="s">
        <v>2295</v>
      </c>
      <c r="H107" s="1048">
        <f ca="1">IF(E107="——","——",H101-H103)</f>
        <v>278763</v>
      </c>
      <c r="I107" s="138"/>
    </row>
    <row r="108" spans="1:35" ht="18.75" customHeight="1">
      <c r="A108" s="138"/>
      <c r="B108" s="138"/>
      <c r="C108" s="138"/>
      <c r="D108" s="138"/>
      <c r="E108" s="3107"/>
      <c r="F108" s="3077"/>
      <c r="G108" s="2519" t="s">
        <v>2297</v>
      </c>
      <c r="H108" s="371">
        <f ca="1">ROUND(H107*10000/'数据-汇总表'!E3,0)</f>
        <v>23467</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077"/>
      <c r="G109" s="2519" t="s">
        <v>2295</v>
      </c>
      <c r="H109" s="348" t="str">
        <f>IF(E109="——","——",H101-H105-H106)</f>
        <v>——</v>
      </c>
      <c r="I109" s="138"/>
    </row>
    <row r="110" spans="1:35" ht="18.75" customHeight="1">
      <c r="A110" s="138"/>
      <c r="B110" s="138"/>
      <c r="C110" s="138"/>
      <c r="D110" s="138"/>
      <c r="E110" s="3107"/>
      <c r="F110" s="3077"/>
      <c r="G110" s="2519" t="s">
        <v>2297</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19" t="s">
        <v>2295</v>
      </c>
      <c r="H111" s="1048" t="str">
        <f>IF(E111="——","——",N59)</f>
        <v>——</v>
      </c>
      <c r="I111" s="138"/>
    </row>
    <row r="112" spans="1:35" ht="18.75" customHeight="1" thickBot="1">
      <c r="A112" s="138"/>
      <c r="B112" s="138"/>
      <c r="C112" s="138"/>
      <c r="D112" s="138"/>
      <c r="E112" s="3110"/>
      <c r="F112" s="3111"/>
      <c r="G112" s="2524" t="s">
        <v>2297</v>
      </c>
      <c r="H112" s="790" t="str">
        <f>IF(E111="——","——",N61)</f>
        <v>——</v>
      </c>
      <c r="I112" s="138"/>
    </row>
    <row r="113" spans="1:11" ht="18.75" customHeight="1">
      <c r="A113" s="138"/>
      <c r="B113" s="138"/>
      <c r="C113" s="138"/>
      <c r="D113" s="138"/>
      <c r="E113" s="3119" t="s">
        <v>2303</v>
      </c>
      <c r="F113" s="3119"/>
      <c r="G113" s="3119"/>
      <c r="H113" s="3119"/>
      <c r="I113" s="138"/>
    </row>
    <row r="114" spans="1:11" ht="3.75" customHeight="1">
      <c r="A114" s="2417"/>
      <c r="B114" s="2417"/>
      <c r="C114" s="2417"/>
      <c r="D114" s="2417"/>
      <c r="E114" s="2495"/>
      <c r="F114" s="2495"/>
      <c r="G114" s="2495"/>
      <c r="H114" s="2495"/>
      <c r="I114" s="2417"/>
    </row>
    <row r="115" spans="1:11" ht="18.75" customHeight="1">
      <c r="A115" s="3132" t="s">
        <v>2305</v>
      </c>
      <c r="B115" s="3133"/>
      <c r="C115" s="3133"/>
      <c r="D115" s="3133"/>
      <c r="E115" s="3133"/>
      <c r="F115" s="3133"/>
      <c r="G115" s="3133"/>
      <c r="H115" s="3133"/>
      <c r="I115" s="3134"/>
    </row>
    <row r="116" spans="1:11" ht="27" customHeight="1">
      <c r="A116" s="3043" t="s">
        <v>2306</v>
      </c>
      <c r="B116" s="3086" t="s">
        <v>2307</v>
      </c>
      <c r="C116" s="3086" t="s">
        <v>2308</v>
      </c>
      <c r="D116" s="3092" t="s">
        <v>2309</v>
      </c>
      <c r="E116" s="3093"/>
      <c r="F116" s="3128" t="s">
        <v>2310</v>
      </c>
      <c r="G116" s="3128"/>
      <c r="H116" s="3043" t="s">
        <v>2311</v>
      </c>
      <c r="I116" s="3043"/>
    </row>
    <row r="117" spans="1:11" ht="18.75" customHeight="1">
      <c r="A117" s="3043"/>
      <c r="B117" s="3087"/>
      <c r="C117" s="3087"/>
      <c r="D117" s="1796" t="s">
        <v>2312</v>
      </c>
      <c r="E117" s="1796" t="s">
        <v>2313</v>
      </c>
      <c r="F117" s="1796" t="s">
        <v>2312</v>
      </c>
      <c r="G117" s="1796" t="s">
        <v>2314</v>
      </c>
      <c r="H117" s="1796" t="s">
        <v>2312</v>
      </c>
      <c r="I117" s="1796" t="s">
        <v>2314</v>
      </c>
    </row>
    <row r="118" spans="1:11" ht="24.75" customHeight="1">
      <c r="A118" s="2525" t="str">
        <f>项目基本情况!S2</f>
        <v>北京市出让国有建设用地使用权及在建建筑物房地产</v>
      </c>
      <c r="B118" s="1796">
        <f>M18</f>
        <v>118787.11</v>
      </c>
      <c r="C118" s="1796">
        <f>M19</f>
        <v>8949.2199999999993</v>
      </c>
      <c r="D118" s="1796">
        <f ca="1">ROUND(IF(D32="总价",C34,E118*B118/10000),0)</f>
        <v>273188</v>
      </c>
      <c r="E118" s="1796">
        <f ca="1">ROUND(IF(C33="自定义",IF(D32="楼面单价",C34,D118*10000/B118),I118-G118),0)</f>
        <v>22998</v>
      </c>
      <c r="F118" s="1796">
        <f ca="1">ROUND(IF(D32="总价",C35,G118*B118/10000),0)</f>
        <v>5575</v>
      </c>
      <c r="G118" s="1796">
        <f ca="1">ROUND(IF(D32="楼面单价",C35,F118*10000/B118),0)</f>
        <v>469</v>
      </c>
      <c r="H118" s="1796">
        <f ca="1">ROUND(IF(D32="总价",C32,I118*B118/10000),0)</f>
        <v>278763</v>
      </c>
      <c r="I118" s="1796">
        <f ca="1">ROUND(IF(D32="楼面单价",C32,H118*10000/B118),0)</f>
        <v>23467</v>
      </c>
    </row>
    <row r="119" spans="1:11" ht="18.75" customHeight="1">
      <c r="A119" s="3043" t="s">
        <v>2315</v>
      </c>
      <c r="B119" s="3043"/>
      <c r="C119" s="3043"/>
      <c r="D119" s="3088" t="str">
        <f ca="1">NUMBERSTRING(INT(D118*10000),2)&amp;"元整"</f>
        <v>贰拾柒亿叁仟壹佰捌拾捌万元整</v>
      </c>
      <c r="E119" s="3089"/>
      <c r="F119" s="3088" t="str">
        <f ca="1">NUMBERSTRING(INT(F118*10000),2)&amp;"元整"</f>
        <v>伍仟伍佰柒拾伍万元整</v>
      </c>
      <c r="G119" s="3089"/>
      <c r="H119" s="3088" t="str">
        <f ca="1">NUMBERSTRING(INT(H118*10000),2)&amp;"元整"</f>
        <v>贰拾柒亿捌仟柒佰陆拾叁万元整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2" t="str">
        <f>IF(D120=0,"故，本次评估不存在"&amp;A120,"故，本次评估"&amp;A120&amp;"为人民币"&amp;D120&amp;"万元整。")</f>
        <v>故，本次评估不存在估价师知悉的法定优先受偿款</v>
      </c>
    </row>
    <row r="121" spans="1:11" ht="18.75" customHeight="1">
      <c r="A121" s="3129" t="s">
        <v>2315</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278763</v>
      </c>
      <c r="E122" s="3084"/>
      <c r="F122" s="3084"/>
      <c r="G122" s="3084"/>
      <c r="H122" s="3084"/>
      <c r="I122" s="3085"/>
    </row>
    <row r="123" spans="1:11" ht="18.75" customHeight="1">
      <c r="A123" s="3043" t="s">
        <v>2315</v>
      </c>
      <c r="B123" s="3043"/>
      <c r="C123" s="3043"/>
      <c r="D123" s="3088" t="str">
        <f ca="1">NUMBERSTRING(INT(D122*10000),2)&amp;"元整"</f>
        <v>贰拾柒亿捌仟柒佰陆拾叁万元整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2315</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2315</v>
      </c>
      <c r="B127" s="3043"/>
      <c r="C127" s="3043"/>
      <c r="D127" s="3088" t="e">
        <f>NUMBERSTRING(INT(D126*10000),2)&amp;"元整"</f>
        <v>#VALUE!</v>
      </c>
      <c r="E127" s="3090"/>
      <c r="F127" s="3090"/>
      <c r="G127" s="3090"/>
      <c r="H127" s="3090"/>
      <c r="I127" s="3089"/>
    </row>
    <row r="128" spans="1:11" ht="21.75" customHeight="1">
      <c r="A128" s="3091" t="s">
        <v>2316</v>
      </c>
      <c r="B128" s="3091"/>
      <c r="C128" s="3091"/>
      <c r="D128" s="3091"/>
      <c r="E128" s="3091"/>
      <c r="F128" s="3091"/>
      <c r="G128" s="3091"/>
      <c r="H128" s="3091"/>
      <c r="I128" s="3091"/>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北京市出让国有建设用地使用权及在建建筑物房地产抵押价值预评估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刘梅（注册号：1120140022)、吴薇（注册号：1419970001)</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7" sqref="D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2">
        <f>MATCH(B1,'数据-取费表'!A6:A16,0)+5</f>
        <v>12</v>
      </c>
    </row>
    <row r="2" spans="1:9" s="244" customFormat="1" ht="18" customHeight="1">
      <c r="A2" s="245" t="s">
        <v>2325</v>
      </c>
      <c r="B2" s="246">
        <f ca="1">IF(D2="——",C52,C52-E2)</f>
        <v>243506</v>
      </c>
      <c r="C2" s="243" t="s">
        <v>2326</v>
      </c>
      <c r="D2" s="2548" t="s">
        <v>70</v>
      </c>
      <c r="E2" s="1443"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20499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202222</v>
      </c>
      <c r="D5" s="255" t="s">
        <v>2332</v>
      </c>
      <c r="E5" s="256" t="s">
        <v>2333</v>
      </c>
      <c r="F5" s="256" t="s">
        <v>2334</v>
      </c>
      <c r="G5" s="257"/>
    </row>
    <row r="6" spans="1:9" s="258" customFormat="1" ht="13.5" customHeight="1">
      <c r="A6" s="952" t="s">
        <v>2335</v>
      </c>
      <c r="B6" s="259" t="s">
        <v>2336</v>
      </c>
      <c r="C6" s="260">
        <f>'土地比较法-住宅、综合'!B2</f>
        <v>193931</v>
      </c>
      <c r="D6" s="261"/>
      <c r="E6" s="262"/>
      <c r="F6" s="262"/>
      <c r="G6" s="263"/>
    </row>
    <row r="7" spans="1:9" s="258" customFormat="1" ht="13.5" customHeight="1">
      <c r="A7" s="952" t="s">
        <v>2337</v>
      </c>
      <c r="B7" s="259" t="s">
        <v>2338</v>
      </c>
      <c r="C7" s="264">
        <f>ROUND(C6*F7,0)</f>
        <v>5915</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2376</v>
      </c>
      <c r="D8" s="266"/>
      <c r="E8" s="264"/>
      <c r="F8" s="265"/>
      <c r="G8" s="2551" t="s">
        <v>3158</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3"/>
      <c r="I9" s="2553" t="s">
        <v>2342</v>
      </c>
    </row>
    <row r="10" spans="1:9" s="258" customFormat="1" ht="13.5" customHeight="1">
      <c r="A10" s="953" t="s">
        <v>801</v>
      </c>
      <c r="B10" s="268" t="s">
        <v>2343</v>
      </c>
      <c r="C10" s="269">
        <f ca="1">ROUND(D10*E10/10000,0)</f>
        <v>2376</v>
      </c>
      <c r="D10" s="1035">
        <f ca="1">IF(B1="",'数据-汇总表'!E6,IF(INDIRECT("'数据-取费表'!c"&amp;$G$1)="住宅",INDIRECT("'数据-取费表'!s"&amp;$G$1),INDIRECT("'数据-取费表'!k"&amp;$G$1)+INDIRECT("'数据-取费表'!s"&amp;$G$1)))</f>
        <v>118787.11</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2376</v>
      </c>
      <c r="D19" s="1039">
        <f ca="1">D9+D10</f>
        <v>118787.11</v>
      </c>
      <c r="E19" s="255">
        <f>'数据-取费表'!B31</f>
        <v>200</v>
      </c>
      <c r="F19" s="275"/>
      <c r="G19" s="2551"/>
    </row>
    <row r="20" spans="1:7" s="258" customFormat="1" ht="13.5" customHeight="1">
      <c r="A20" s="299" t="s">
        <v>2356</v>
      </c>
      <c r="B20" s="254" t="s">
        <v>2357</v>
      </c>
      <c r="C20" s="276">
        <f ca="1">ROUND((C5+C19)*F20,0)</f>
        <v>4092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4851</v>
      </c>
      <c r="D22" s="279">
        <f ca="1">C26</f>
        <v>2.0000000000000001E-4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4747</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56</v>
      </c>
      <c r="D24" s="282"/>
      <c r="E24" s="282"/>
      <c r="F24" s="283"/>
      <c r="G24" s="284" t="s">
        <v>2370</v>
      </c>
    </row>
    <row r="25" spans="1:7" s="258" customFormat="1" ht="24">
      <c r="A25" s="954" t="s">
        <v>2371</v>
      </c>
      <c r="B25" s="259" t="s">
        <v>2372</v>
      </c>
      <c r="C25" s="1358">
        <f ca="1">ROUND(IF('数据-取费表'!B22&lt;=1,C20*F22*'数据-取费表'!B23/2,C20*(POWER((1+F22),'数据-取费表'!B23/2)-1)),0)</f>
        <v>48</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7652</v>
      </c>
      <c r="D27" s="279">
        <f ca="1">C29</f>
        <v>6.9999999999999999E-4</v>
      </c>
      <c r="E27" s="280" t="s">
        <v>2377</v>
      </c>
      <c r="F27" s="290">
        <f ca="1">IF(B1="",'数据-取费表'!Q16,INDIRECT("'数据-取费表'!q"&amp;$G$1))</f>
        <v>0.22</v>
      </c>
      <c r="G27" s="291" t="s">
        <v>2378</v>
      </c>
    </row>
    <row r="28" spans="1:7" s="258" customFormat="1" ht="13.5" customHeight="1">
      <c r="A28" s="954" t="s">
        <v>791</v>
      </c>
      <c r="B28" s="292" t="s">
        <v>2379</v>
      </c>
      <c r="C28" s="293">
        <f ca="1">ROUND((C5+C19+C20)*F27*'数据-取费表'!B21/'数据-取费表'!B20,0)</f>
        <v>7652</v>
      </c>
      <c r="D28" s="279"/>
      <c r="E28" s="280"/>
      <c r="F28" s="290"/>
      <c r="G28" s="291"/>
    </row>
    <row r="29" spans="1:7" s="258" customFormat="1" ht="13.5" customHeight="1">
      <c r="A29" s="954" t="s">
        <v>792</v>
      </c>
      <c r="B29" s="292" t="s">
        <v>2380</v>
      </c>
      <c r="C29" s="282">
        <f ca="1">ROUND(C21*F27*'数据-取费表'!B21/'数据-取费表'!B20,4)</f>
        <v>6.9999999999999999E-4</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238689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3539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3159</v>
      </c>
      <c r="D34" s="261"/>
      <c r="E34" s="264"/>
      <c r="F34" s="301">
        <f ca="1">IF('数据-取费表'!B24=0,1,IF(B1="",'数据-取费表'!N16,INDIRECT("'数据-取费表'!n"&amp;$G$1)))</f>
        <v>0.1</v>
      </c>
      <c r="G34" s="263" t="s">
        <v>2389</v>
      </c>
    </row>
    <row r="35" spans="1:7" ht="13.5" customHeight="1">
      <c r="A35" s="954" t="s">
        <v>796</v>
      </c>
      <c r="B35" s="259" t="s">
        <v>2390</v>
      </c>
      <c r="C35" s="264">
        <f ca="1">ROUND(C34*F35,0)</f>
        <v>95</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4" t="s">
        <v>798</v>
      </c>
      <c r="B37" s="259" t="s">
        <v>2394</v>
      </c>
      <c r="C37" s="293">
        <f ca="1">ROUND(E37*D37*F34/10000,0)</f>
        <v>238</v>
      </c>
      <c r="D37" s="261">
        <f ca="1">D19</f>
        <v>118787.11</v>
      </c>
      <c r="E37" s="293">
        <f>'数据-取费表'!B35</f>
        <v>200</v>
      </c>
      <c r="F37" s="303"/>
      <c r="G37" s="305" t="s">
        <v>2395</v>
      </c>
    </row>
    <row r="38" spans="1:7" ht="13.5" customHeight="1">
      <c r="A38" s="954" t="s">
        <v>799</v>
      </c>
      <c r="B38" s="259" t="s">
        <v>2396</v>
      </c>
      <c r="C38" s="264">
        <f ca="1">ROUND(C34*F38,0)</f>
        <v>47</v>
      </c>
      <c r="D38" s="264"/>
      <c r="E38" s="264"/>
      <c r="F38" s="303">
        <f>'数据-取费表'!B36</f>
        <v>1.4999999999999999E-2</v>
      </c>
      <c r="G38" s="263" t="s">
        <v>2391</v>
      </c>
    </row>
    <row r="39" spans="1:7" s="258" customFormat="1" ht="13.5" customHeight="1">
      <c r="A39" s="299" t="s">
        <v>2397</v>
      </c>
      <c r="B39" s="254" t="s">
        <v>2398</v>
      </c>
      <c r="C39" s="276">
        <f ca="1">ROUND(C33*F20,0)</f>
        <v>71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42</v>
      </c>
      <c r="D41" s="279">
        <f ca="1">C44</f>
        <v>2.0000000000000001E-4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41</v>
      </c>
      <c r="D42" s="282"/>
      <c r="E42" s="282"/>
      <c r="F42" s="283"/>
      <c r="G42" s="3163" t="s">
        <v>2407</v>
      </c>
    </row>
    <row r="43" spans="1:7" ht="13.5" customHeight="1">
      <c r="A43" s="954" t="s">
        <v>792</v>
      </c>
      <c r="B43" s="259" t="s">
        <v>2408</v>
      </c>
      <c r="C43" s="282">
        <f ca="1">ROUND(IF('数据-取费表'!B22&lt;=1,C39*F22*'数据-取费表'!B21/2,C39*(POWER((1+F22),'数据-取费表'!B21/2)-1)),0)</f>
        <v>1</v>
      </c>
      <c r="D43" s="282"/>
      <c r="E43" s="282"/>
      <c r="F43" s="283"/>
      <c r="G43" s="3164"/>
    </row>
    <row r="44" spans="1:7" ht="13.5" customHeight="1">
      <c r="A44" s="954" t="s">
        <v>793</v>
      </c>
      <c r="B44" s="259" t="s">
        <v>2409</v>
      </c>
      <c r="C44" s="282">
        <f ca="1">ROUND(IF('数据-取费表'!B22&lt;=1,C40*F22*'数据-取费表'!B21/2,C40*(POWER((1+F22),'数据-取费表'!B21/2)-1)),4)</f>
        <v>2.0000000000000001E-4</v>
      </c>
      <c r="D44" s="282"/>
      <c r="E44" s="282"/>
      <c r="F44" s="283"/>
      <c r="G44" s="3165"/>
    </row>
    <row r="45" spans="1:7" s="258" customFormat="1" ht="13.5" customHeight="1">
      <c r="A45" s="299" t="s">
        <v>2410</v>
      </c>
      <c r="B45" s="288" t="s">
        <v>2376</v>
      </c>
      <c r="C45" s="289">
        <f ca="1">C46</f>
        <v>794</v>
      </c>
      <c r="D45" s="279">
        <f ca="1">C47</f>
        <v>4.4000000000000003E-3</v>
      </c>
      <c r="E45" s="280" t="s">
        <v>2402</v>
      </c>
      <c r="F45" s="290"/>
      <c r="G45" s="291" t="s">
        <v>2411</v>
      </c>
    </row>
    <row r="46" spans="1:7" s="258" customFormat="1" ht="13.5" customHeight="1">
      <c r="A46" s="954" t="s">
        <v>791</v>
      </c>
      <c r="B46" s="292" t="s">
        <v>2412</v>
      </c>
      <c r="C46" s="293">
        <f ca="1">ROUND((C33+C39)*F27,0)</f>
        <v>794</v>
      </c>
      <c r="D46" s="307"/>
      <c r="E46" s="280"/>
      <c r="F46" s="290"/>
      <c r="G46" s="291"/>
    </row>
    <row r="47" spans="1:7" s="258" customFormat="1" ht="13.5" customHeight="1">
      <c r="A47" s="954" t="s">
        <v>792</v>
      </c>
      <c r="B47" s="292" t="s">
        <v>2413</v>
      </c>
      <c r="C47" s="282">
        <f ca="1">ROUND(C40*F27,4)</f>
        <v>4.4000000000000003E-3</v>
      </c>
      <c r="D47" s="307"/>
      <c r="E47" s="280"/>
      <c r="F47" s="290"/>
      <c r="G47" s="291"/>
    </row>
    <row r="48" spans="1:7" s="258" customFormat="1" ht="13.5" customHeight="1">
      <c r="A48" s="299" t="s">
        <v>2375</v>
      </c>
      <c r="B48" s="254" t="s">
        <v>2414</v>
      </c>
      <c r="C48" s="1730">
        <f>ROUND(F30/(1+'数据-取费表'!C42),4)</f>
        <v>5.2400000000000002E-2</v>
      </c>
      <c r="D48" s="280" t="s">
        <v>2402</v>
      </c>
      <c r="E48" s="276"/>
      <c r="F48" s="281"/>
      <c r="G48" s="278" t="s">
        <v>2415</v>
      </c>
    </row>
    <row r="49" spans="1:7" ht="16.5" customHeight="1">
      <c r="A49" s="299" t="s">
        <v>2381</v>
      </c>
      <c r="B49" s="254" t="s">
        <v>2416</v>
      </c>
      <c r="C49" s="276">
        <f ca="1">ROUND((C33+C39+C41+C45)/(1-C40-D41-D45-C48),0)</f>
        <v>4817</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4817</v>
      </c>
      <c r="D51" s="276"/>
      <c r="E51" s="276"/>
      <c r="F51" s="308"/>
      <c r="G51" s="278" t="s">
        <v>2423</v>
      </c>
    </row>
    <row r="52" spans="1:7" s="252" customFormat="1" ht="16.5" thickBot="1">
      <c r="A52" s="309" t="s">
        <v>2424</v>
      </c>
      <c r="B52" s="310"/>
      <c r="C52" s="311">
        <f ca="1">C31+C51</f>
        <v>243506</v>
      </c>
      <c r="D52" s="310"/>
      <c r="E52" s="310"/>
      <c r="F52" s="310"/>
      <c r="G52" s="312"/>
    </row>
    <row r="55" spans="1:7" ht="15">
      <c r="B55" s="314" t="s">
        <v>2425</v>
      </c>
      <c r="C55" s="315"/>
    </row>
    <row r="56" spans="1:7">
      <c r="B56" s="317" t="s">
        <v>1508</v>
      </c>
      <c r="C56" s="319">
        <f ca="1">1-C57</f>
        <v>0.98</v>
      </c>
    </row>
    <row r="57" spans="1:7">
      <c r="B57" s="317" t="s">
        <v>1509</v>
      </c>
      <c r="C57" s="318">
        <f ca="1">ROUND(C51/C52,3)</f>
        <v>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4" t="s">
        <v>2426</v>
      </c>
      <c r="D1" s="242"/>
      <c r="E1" s="242"/>
      <c r="F1" s="242"/>
      <c r="G1" s="1382">
        <f>MATCH(B1,'数据-取费表'!A6:A16,0)+5</f>
        <v>12</v>
      </c>
      <c r="H1" s="1285" t="str">
        <f>IF(ISERROR(FIND("住宅",B1)),"非住宅","住宅")</f>
        <v>非住宅</v>
      </c>
    </row>
    <row r="2" spans="1:8" s="244" customFormat="1" ht="18" customHeight="1">
      <c r="A2" s="245" t="s">
        <v>2325</v>
      </c>
      <c r="B2" s="246">
        <f ca="1">ROUND(IF(D2="——",C52/10000,C52/10000-E2),0)</f>
        <v>57768</v>
      </c>
      <c r="C2" s="243" t="s">
        <v>2326</v>
      </c>
      <c r="D2" s="2548" t="s">
        <v>70</v>
      </c>
      <c r="E2" s="1443"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4863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23757422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23757422</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23757422</v>
      </c>
      <c r="D10" s="1035">
        <f ca="1">IF(B1="",'数据-汇总表'!E6,IF(INDIRECT("'数据-取费表'!c"&amp;$G$1)="住宅",INDIRECT("'数据-取费表'!s"&amp;$G$1),INDIRECT("'数据-取费表'!k"&amp;$G$1)+INDIRECT("'数据-取费表'!s"&amp;$G$1)))</f>
        <v>118787.11</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23757422</v>
      </c>
      <c r="D19" s="1039">
        <f ca="1">D9+D10</f>
        <v>118787.11</v>
      </c>
      <c r="E19" s="255">
        <f>'数据-取费表'!B31</f>
        <v>200</v>
      </c>
      <c r="F19" s="275"/>
      <c r="G19" s="2551"/>
    </row>
    <row r="20" spans="1:7" s="258" customFormat="1" ht="13.5" customHeight="1">
      <c r="A20" s="299" t="s">
        <v>2437</v>
      </c>
      <c r="B20" s="254" t="s">
        <v>2438</v>
      </c>
      <c r="C20" s="276">
        <f ca="1">ROUND((C5+C19)*F20,0)</f>
        <v>950297</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7166080</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3548787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3548787</v>
      </c>
      <c r="D24" s="282"/>
      <c r="E24" s="282"/>
      <c r="F24" s="283"/>
      <c r="G24" s="284" t="s">
        <v>2449</v>
      </c>
    </row>
    <row r="25" spans="1:7" s="258" customFormat="1" ht="24">
      <c r="A25" s="954" t="s">
        <v>2339</v>
      </c>
      <c r="B25" s="259" t="s">
        <v>2450</v>
      </c>
      <c r="C25" s="1384">
        <f ca="1">ROUND(IF('数据-取费表'!B22&lt;=1,C20*F22*'数据-取费表'!B22/2,C20*(POWER((1+F22),'数据-取费表'!B22/2)-1)),0)</f>
        <v>68506</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10662331</v>
      </c>
      <c r="D27" s="279">
        <f ca="1">C29</f>
        <v>4.4000000000000003E-3</v>
      </c>
      <c r="E27" s="280" t="s">
        <v>2377</v>
      </c>
      <c r="F27" s="290">
        <f ca="1">IF(B1="",'数据-取费表'!Q16,INDIRECT("'数据-取费表'!q"&amp;$G$1))</f>
        <v>0.22</v>
      </c>
      <c r="G27" s="291" t="s">
        <v>2378</v>
      </c>
    </row>
    <row r="28" spans="1:7" s="258" customFormat="1" ht="13.5" customHeight="1">
      <c r="A28" s="954" t="s">
        <v>791</v>
      </c>
      <c r="B28" s="292" t="s">
        <v>2379</v>
      </c>
      <c r="C28" s="293">
        <f ca="1">ROUND((C5+C19+C20)*F27,0)</f>
        <v>10662331</v>
      </c>
      <c r="D28" s="279"/>
      <c r="E28" s="280"/>
      <c r="F28" s="290"/>
      <c r="G28" s="291"/>
    </row>
    <row r="29" spans="1:7" s="258" customFormat="1" ht="13.5" customHeight="1">
      <c r="A29" s="954" t="s">
        <v>792</v>
      </c>
      <c r="B29" s="292" t="s">
        <v>2380</v>
      </c>
      <c r="C29" s="282">
        <f ca="1">ROUND(C21*F27,4)</f>
        <v>4.4000000000000003E-3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71917501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353747426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315779908</v>
      </c>
      <c r="D34" s="261"/>
      <c r="E34" s="264"/>
      <c r="F34" s="301"/>
      <c r="G34" s="263"/>
    </row>
    <row r="35" spans="1:7" ht="13.5" customHeight="1">
      <c r="A35" s="954" t="s">
        <v>796</v>
      </c>
      <c r="B35" s="259" t="s">
        <v>2390</v>
      </c>
      <c r="C35" s="264">
        <f ca="1">ROUND(C34*F35,0)</f>
        <v>9473397</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4" t="s">
        <v>798</v>
      </c>
      <c r="B37" s="259" t="s">
        <v>2394</v>
      </c>
      <c r="C37" s="293">
        <f ca="1">ROUND(E37*D37,0)</f>
        <v>23757422</v>
      </c>
      <c r="D37" s="261">
        <f ca="1">D19</f>
        <v>118787.11</v>
      </c>
      <c r="E37" s="293">
        <f>'数据-取费表'!B35</f>
        <v>200</v>
      </c>
      <c r="F37" s="303"/>
      <c r="G37" s="305"/>
    </row>
    <row r="38" spans="1:7" ht="13.5" customHeight="1">
      <c r="A38" s="954" t="s">
        <v>799</v>
      </c>
      <c r="B38" s="259" t="s">
        <v>2396</v>
      </c>
      <c r="C38" s="264">
        <f ca="1">ROUND(C34*F38,0)</f>
        <v>4736699</v>
      </c>
      <c r="D38" s="264"/>
      <c r="E38" s="264"/>
      <c r="F38" s="303">
        <f>'数据-取费表'!B36</f>
        <v>1.4999999999999999E-2</v>
      </c>
      <c r="G38" s="263" t="s">
        <v>2391</v>
      </c>
    </row>
    <row r="39" spans="1:7" s="258" customFormat="1" ht="13.5" customHeight="1">
      <c r="A39" s="299" t="s">
        <v>2397</v>
      </c>
      <c r="B39" s="254" t="s">
        <v>2398</v>
      </c>
      <c r="C39" s="276">
        <f ca="1">ROUND(C33*F20,0)</f>
        <v>7074949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26011509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25501479</v>
      </c>
      <c r="D42" s="282"/>
      <c r="E42" s="282"/>
      <c r="F42" s="283"/>
      <c r="G42" s="3163" t="s">
        <v>2454</v>
      </c>
    </row>
    <row r="43" spans="1:7" ht="13.5" customHeight="1">
      <c r="A43" s="954" t="s">
        <v>792</v>
      </c>
      <c r="B43" s="259" t="s">
        <v>2408</v>
      </c>
      <c r="C43" s="282">
        <f ca="1">ROUND(IF('数据-取费表'!B22&lt;=1,C39*F22*'数据-取费表'!B20/2,C39*(POWER((1+F22),'数据-取费表'!B20/2)-1)),0)</f>
        <v>510030</v>
      </c>
      <c r="D43" s="282"/>
      <c r="E43" s="282"/>
      <c r="F43" s="283"/>
      <c r="G43" s="3164"/>
    </row>
    <row r="44" spans="1:7" ht="13.5" customHeight="1">
      <c r="A44" s="954" t="s">
        <v>793</v>
      </c>
      <c r="B44" s="259" t="s">
        <v>2409</v>
      </c>
      <c r="C44" s="282">
        <f ca="1">ROUND(IF('数据-取费表'!B22&lt;=1,C40*F22*'数据-取费表'!B20/2,C40*(POWER((1+F22),'数据-取费表'!B20/2)-1)),4)</f>
        <v>1.4E-3</v>
      </c>
      <c r="D44" s="282"/>
      <c r="E44" s="282"/>
      <c r="F44" s="283"/>
      <c r="G44" s="3165"/>
    </row>
    <row r="45" spans="1:7" s="258" customFormat="1" ht="13.5" customHeight="1">
      <c r="A45" s="299" t="s">
        <v>2410</v>
      </c>
      <c r="B45" s="288" t="s">
        <v>2376</v>
      </c>
      <c r="C45" s="289">
        <f ca="1">C46</f>
        <v>79380923</v>
      </c>
      <c r="D45" s="279">
        <f ca="1">C47</f>
        <v>4.4000000000000003E-3</v>
      </c>
      <c r="E45" s="280" t="s">
        <v>2402</v>
      </c>
      <c r="F45" s="290"/>
      <c r="G45" s="291" t="s">
        <v>2411</v>
      </c>
    </row>
    <row r="46" spans="1:7" s="258" customFormat="1" ht="13.5" customHeight="1">
      <c r="A46" s="954" t="s">
        <v>791</v>
      </c>
      <c r="B46" s="292" t="s">
        <v>2412</v>
      </c>
      <c r="C46" s="293">
        <f ca="1">ROUND((C33+C39)*F27,0)</f>
        <v>79380923</v>
      </c>
      <c r="D46" s="307"/>
      <c r="E46" s="280"/>
      <c r="F46" s="290"/>
      <c r="G46" s="291"/>
    </row>
    <row r="47" spans="1:7" s="258" customFormat="1" ht="13.5" customHeight="1">
      <c r="A47" s="954" t="s">
        <v>792</v>
      </c>
      <c r="B47" s="292" t="s">
        <v>2413</v>
      </c>
      <c r="C47" s="282">
        <f ca="1">ROUND(C40*F27,4)</f>
        <v>4.4000000000000003E-3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505765683</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505765683</v>
      </c>
      <c r="D51" s="276"/>
      <c r="E51" s="276"/>
      <c r="F51" s="308"/>
      <c r="G51" s="278" t="s">
        <v>2423</v>
      </c>
    </row>
    <row r="52" spans="1:7" s="252" customFormat="1" ht="16.5" thickBot="1">
      <c r="A52" s="309" t="s">
        <v>2424</v>
      </c>
      <c r="B52" s="310"/>
      <c r="C52" s="311">
        <f ca="1">C31+C51</f>
        <v>577683184</v>
      </c>
      <c r="D52" s="310"/>
      <c r="E52" s="310"/>
      <c r="F52" s="310"/>
      <c r="G52" s="312"/>
    </row>
    <row r="55" spans="1:7" ht="15">
      <c r="B55" s="314" t="s">
        <v>2425</v>
      </c>
      <c r="C55" s="315"/>
    </row>
    <row r="56" spans="1:7">
      <c r="B56" s="317" t="s">
        <v>1508</v>
      </c>
      <c r="C56" s="319">
        <f ca="1">1-C57</f>
        <v>0.124</v>
      </c>
    </row>
    <row r="57" spans="1:7">
      <c r="B57" s="317" t="s">
        <v>1509</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90" zoomScaleNormal="90" workbookViewId="0">
      <selection activeCell="E46" sqref="E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193931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16326</v>
      </c>
      <c r="C3" s="247" t="s">
        <v>2741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84" t="s">
        <v>2641</v>
      </c>
      <c r="D4" s="3185"/>
      <c r="E4" s="3186" t="s">
        <v>2642</v>
      </c>
      <c r="F4" s="3187"/>
      <c r="G4" s="3184" t="s">
        <v>2643</v>
      </c>
      <c r="H4" s="3185"/>
      <c r="I4" s="3184" t="s">
        <v>2644</v>
      </c>
      <c r="J4" s="3185"/>
      <c r="K4" s="610" t="s">
        <v>2645</v>
      </c>
      <c r="L4" s="1133"/>
      <c r="M4" s="1134"/>
      <c r="N4" s="1134"/>
      <c r="O4" s="1134"/>
      <c r="P4" s="3188" t="s">
        <v>2646</v>
      </c>
      <c r="Q4" s="3189"/>
      <c r="R4" s="3171" t="s">
        <v>2642</v>
      </c>
      <c r="S4" s="3172"/>
      <c r="T4" s="3171" t="s">
        <v>2643</v>
      </c>
      <c r="U4" s="3172"/>
      <c r="V4" s="3196" t="s">
        <v>2644</v>
      </c>
      <c r="W4" s="3196"/>
      <c r="X4" s="1814"/>
      <c r="Y4" s="3171" t="s">
        <v>2646</v>
      </c>
      <c r="Z4" s="3172"/>
      <c r="AA4" s="3166" t="s">
        <v>2642</v>
      </c>
      <c r="AB4" s="3167" t="s">
        <v>2643</v>
      </c>
      <c r="AC4" s="3166" t="s">
        <v>2644</v>
      </c>
    </row>
    <row r="5" spans="1:30" ht="15">
      <c r="A5" s="404"/>
      <c r="B5" s="405"/>
      <c r="C5" s="3177" t="s">
        <v>2537</v>
      </c>
      <c r="D5" s="3178"/>
      <c r="E5" s="3175" t="str">
        <f>案例!A3</f>
        <v>朝阳区金盏乡楼梓庄村1113-602地块</v>
      </c>
      <c r="F5" s="3176"/>
      <c r="G5" s="3177" t="str">
        <f>案例!A5</f>
        <v>朝阳区金盏乡楼梓庄村1113-603地块</v>
      </c>
      <c r="H5" s="3178"/>
      <c r="I5" s="3177" t="str">
        <f>案例!A6</f>
        <v>朝阳区金盏乡楼梓庄村1113-604地块</v>
      </c>
      <c r="J5" s="3178"/>
      <c r="K5" s="610"/>
      <c r="L5" s="1133"/>
      <c r="M5" s="1134"/>
      <c r="N5" s="1134"/>
      <c r="O5" s="1134"/>
      <c r="P5" s="3190"/>
      <c r="Q5" s="3191"/>
      <c r="R5" s="3173"/>
      <c r="S5" s="3174"/>
      <c r="T5" s="3173"/>
      <c r="U5" s="3174"/>
      <c r="V5" s="3196"/>
      <c r="W5" s="3196"/>
      <c r="X5" s="1814"/>
      <c r="Y5" s="3173"/>
      <c r="Z5" s="3174"/>
      <c r="AA5" s="3167"/>
      <c r="AB5" s="3167"/>
      <c r="AC5" s="3167"/>
    </row>
    <row r="6" spans="1:30" ht="15.75" thickBot="1">
      <c r="A6" s="406"/>
      <c r="B6" s="407"/>
      <c r="C6" s="3179" t="s">
        <v>2541</v>
      </c>
      <c r="D6" s="3180"/>
      <c r="E6" s="3181" t="s">
        <v>2541</v>
      </c>
      <c r="F6" s="3182"/>
      <c r="G6" s="3179" t="s">
        <v>2541</v>
      </c>
      <c r="H6" s="3180"/>
      <c r="I6" s="3179" t="s">
        <v>2541</v>
      </c>
      <c r="J6" s="3180"/>
      <c r="K6" s="610" t="s">
        <v>2542</v>
      </c>
      <c r="L6" s="1133"/>
      <c r="M6" s="1134"/>
      <c r="N6" s="1134"/>
      <c r="O6" s="1134"/>
      <c r="P6" s="3192"/>
      <c r="Q6" s="3193"/>
      <c r="R6" s="3173"/>
      <c r="S6" s="3174"/>
      <c r="T6" s="3194"/>
      <c r="U6" s="3195"/>
      <c r="V6" s="3196"/>
      <c r="W6" s="3196"/>
      <c r="X6" s="1814"/>
      <c r="Y6" s="3194"/>
      <c r="Z6" s="3195"/>
      <c r="AA6" s="3168"/>
      <c r="AB6" s="3168"/>
      <c r="AC6" s="3168"/>
    </row>
    <row r="7" spans="1:30" s="117" customFormat="1" ht="15.75" thickBot="1">
      <c r="A7" s="408" t="s">
        <v>2543</v>
      </c>
      <c r="B7" s="409"/>
      <c r="C7" s="410">
        <f>'数据-取费表'!B2</f>
        <v>43142</v>
      </c>
      <c r="D7" s="411">
        <v>100</v>
      </c>
      <c r="E7" s="412" t="str">
        <f>案例!H3</f>
        <v>2017-04-14</v>
      </c>
      <c r="F7" s="413">
        <f>SUMIF(70:70,YEAR(E7)&amp;"-"&amp;INT((MONTH(E7)+2)/3),71:71)</f>
        <v>97</v>
      </c>
      <c r="G7" s="2697" t="str">
        <f>案例!H5</f>
        <v>2017-03-30</v>
      </c>
      <c r="H7" s="411">
        <f>SUMIF(70:70,YEAR(G7)&amp;"-"&amp;INT((MONTH(G7)+2)/3),71:71)</f>
        <v>96</v>
      </c>
      <c r="I7" s="2697" t="str">
        <f>案例!H6</f>
        <v>2017-03-30</v>
      </c>
      <c r="J7" s="411">
        <f>SUMIF(70:70,YEAR(I7)&amp;"-"&amp;INT((MONTH(I7)+2)/3),71:71)</f>
        <v>96</v>
      </c>
      <c r="K7" s="611"/>
      <c r="L7" s="1135"/>
      <c r="M7" s="1136"/>
      <c r="N7" s="1136"/>
      <c r="O7" s="1136"/>
      <c r="P7" s="3169" t="s">
        <v>2544</v>
      </c>
      <c r="Q7" s="3197"/>
      <c r="R7" s="770" t="s">
        <v>17</v>
      </c>
      <c r="S7" s="771">
        <f t="shared" ref="S7:S15" si="0">F7</f>
        <v>97</v>
      </c>
      <c r="T7" s="770" t="s">
        <v>17</v>
      </c>
      <c r="U7" s="771">
        <f t="shared" ref="U7:U15" si="1">H7</f>
        <v>96</v>
      </c>
      <c r="V7" s="770" t="s">
        <v>17</v>
      </c>
      <c r="W7" s="771">
        <f t="shared" ref="W7:W15" si="2">J7</f>
        <v>96</v>
      </c>
      <c r="X7" s="772"/>
      <c r="Y7" s="3169" t="s">
        <v>2544</v>
      </c>
      <c r="Z7" s="3170"/>
      <c r="AA7" s="773">
        <f>D7/F7</f>
        <v>1.0309278350515463</v>
      </c>
      <c r="AB7" s="773">
        <f>D7/H7</f>
        <v>1.0416666666666667</v>
      </c>
      <c r="AC7" s="773">
        <f>D7/J7</f>
        <v>1.0416666666666667</v>
      </c>
    </row>
    <row r="8" spans="1:30" s="117" customFormat="1" ht="15.75" thickBot="1">
      <c r="A8" s="408" t="s">
        <v>2545</v>
      </c>
      <c r="B8" s="409"/>
      <c r="C8" s="414" t="s">
        <v>2546</v>
      </c>
      <c r="D8" s="411">
        <v>100</v>
      </c>
      <c r="E8" s="414" t="s">
        <v>3129</v>
      </c>
      <c r="F8" s="413">
        <f>SUMIF(73:73,E8,74:74)-SUMIF(73:73,C8,74:74)+100</f>
        <v>100</v>
      </c>
      <c r="G8" s="414" t="s">
        <v>3129</v>
      </c>
      <c r="H8" s="411">
        <f>SUMIF(73:73,G8,74:74)-SUMIF(73:73,C8,74:74)+100</f>
        <v>100</v>
      </c>
      <c r="I8" s="414" t="s">
        <v>3129</v>
      </c>
      <c r="J8" s="411">
        <f>SUMIF(73:73,I8,74:74)-SUMIF(73:73,C8,74:74)+100</f>
        <v>100</v>
      </c>
      <c r="K8" s="611"/>
      <c r="L8" s="1135"/>
      <c r="M8" s="1136"/>
      <c r="N8" s="1136"/>
      <c r="O8" s="1136"/>
      <c r="P8" s="3169" t="s">
        <v>2547</v>
      </c>
      <c r="Q8" s="3170"/>
      <c r="R8" s="770" t="s">
        <v>17</v>
      </c>
      <c r="S8" s="771">
        <f t="shared" si="0"/>
        <v>100</v>
      </c>
      <c r="T8" s="770" t="s">
        <v>17</v>
      </c>
      <c r="U8" s="771">
        <f t="shared" si="1"/>
        <v>100</v>
      </c>
      <c r="V8" s="770" t="s">
        <v>17</v>
      </c>
      <c r="W8" s="771">
        <f t="shared" si="2"/>
        <v>100</v>
      </c>
      <c r="X8" s="772"/>
      <c r="Y8" s="3169" t="s">
        <v>2547</v>
      </c>
      <c r="Z8" s="3170"/>
      <c r="AA8" s="773">
        <f t="shared" ref="AA8:AA45" si="3">D8/F8</f>
        <v>1</v>
      </c>
      <c r="AB8" s="773">
        <f t="shared" ref="AB8:AB45" si="4">D8/H8</f>
        <v>1</v>
      </c>
      <c r="AC8" s="773">
        <f t="shared" ref="AC8:AC45" si="5">D8/J8</f>
        <v>1</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3" t="s">
        <v>2550</v>
      </c>
      <c r="Q9" s="1796"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83"/>
      <c r="Q10" s="1796"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30" ht="15">
      <c r="A11" s="428"/>
      <c r="B11" s="422" t="s">
        <v>2553</v>
      </c>
      <c r="C11" s="429">
        <f>'数据-汇总表'!I6</f>
        <v>9.44</v>
      </c>
      <c r="D11" s="136">
        <v>100</v>
      </c>
      <c r="E11" s="429">
        <f>案例!F3</f>
        <v>3</v>
      </c>
      <c r="F11" s="136">
        <f>LOOKUP(E11,80:80,81:81)-LOOKUP(C11,80:80,81:81)+100</f>
        <v>106</v>
      </c>
      <c r="G11" s="430">
        <f>案例!F5</f>
        <v>2</v>
      </c>
      <c r="H11" s="136">
        <f>LOOKUP(G11,80:80,81:81)-LOOKUP(C11,80:80,81:81)+100</f>
        <v>107</v>
      </c>
      <c r="I11" s="429">
        <f>案例!F6</f>
        <v>2</v>
      </c>
      <c r="J11" s="136">
        <f>LOOKUP(I11,80:80,81:81)-LOOKUP(C11,80:80,81:81)+100</f>
        <v>107</v>
      </c>
      <c r="K11" s="673">
        <v>1</v>
      </c>
      <c r="L11" s="1141"/>
      <c r="M11" s="1134"/>
      <c r="N11" s="1134"/>
      <c r="O11" s="1142"/>
      <c r="P11" s="3183"/>
      <c r="Q11" s="1796" t="str">
        <f t="shared" si="6"/>
        <v>容积率</v>
      </c>
      <c r="R11" s="770" t="s">
        <v>17</v>
      </c>
      <c r="S11" s="771">
        <f t="shared" si="0"/>
        <v>106</v>
      </c>
      <c r="T11" s="770" t="s">
        <v>17</v>
      </c>
      <c r="U11" s="771">
        <f t="shared" si="1"/>
        <v>107</v>
      </c>
      <c r="V11" s="770" t="s">
        <v>17</v>
      </c>
      <c r="W11" s="771">
        <f t="shared" si="2"/>
        <v>107</v>
      </c>
      <c r="X11" s="772"/>
      <c r="Y11" s="3043"/>
      <c r="Z11" s="55" t="str">
        <f t="shared" si="7"/>
        <v>容积率</v>
      </c>
      <c r="AA11" s="773">
        <f t="shared" si="3"/>
        <v>0.94339622641509435</v>
      </c>
      <c r="AB11" s="773">
        <f t="shared" si="4"/>
        <v>0.93457943925233644</v>
      </c>
      <c r="AC11" s="773">
        <f t="shared" si="5"/>
        <v>0.93457943925233644</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3"/>
      <c r="Q12" s="1796"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3"/>
      <c r="Q13" s="1796">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3"/>
      <c r="Q14" s="1796">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hidden="1">
      <c r="A15" s="440" t="s">
        <v>2554</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8" t="s">
        <v>2555</v>
      </c>
      <c r="Q15" s="1811" t="str">
        <f t="shared" si="6"/>
        <v>居住社区成熟度</v>
      </c>
      <c r="R15" s="774" t="s">
        <v>17</v>
      </c>
      <c r="S15" s="775">
        <f t="shared" si="0"/>
        <v>100</v>
      </c>
      <c r="T15" s="774" t="s">
        <v>17</v>
      </c>
      <c r="U15" s="775">
        <f t="shared" si="1"/>
        <v>100</v>
      </c>
      <c r="V15" s="774" t="s">
        <v>17</v>
      </c>
      <c r="W15" s="775">
        <f t="shared" si="2"/>
        <v>100</v>
      </c>
      <c r="X15" s="1814"/>
      <c r="Y15" s="3198" t="s">
        <v>2555</v>
      </c>
      <c r="Z15" s="1815" t="str">
        <f t="shared" si="7"/>
        <v>居住社区成熟度</v>
      </c>
      <c r="AA15" s="1812">
        <f t="shared" si="3"/>
        <v>1</v>
      </c>
      <c r="AB15" s="1812">
        <f t="shared" si="4"/>
        <v>1</v>
      </c>
      <c r="AC15" s="1812">
        <f t="shared" si="5"/>
        <v>1</v>
      </c>
    </row>
    <row r="16" spans="1:30" ht="15" hidden="1">
      <c r="A16" s="428"/>
      <c r="B16" s="446"/>
      <c r="C16" s="447"/>
      <c r="D16" s="448"/>
      <c r="E16" s="2606"/>
      <c r="F16" s="448"/>
      <c r="G16" s="2606"/>
      <c r="H16" s="450"/>
      <c r="I16" s="2605"/>
      <c r="J16" s="448"/>
      <c r="K16" s="672"/>
      <c r="L16" s="1143"/>
      <c r="M16" s="1134"/>
      <c r="N16" s="1134"/>
      <c r="O16" s="1142"/>
      <c r="P16" s="3199"/>
      <c r="Q16" s="1811"/>
      <c r="R16" s="774"/>
      <c r="S16" s="775"/>
      <c r="T16" s="774"/>
      <c r="U16" s="775"/>
      <c r="V16" s="774"/>
      <c r="W16" s="775"/>
      <c r="X16" s="1814"/>
      <c r="Y16" s="3199"/>
      <c r="Z16" s="1815"/>
      <c r="AA16" s="1812">
        <v>1</v>
      </c>
      <c r="AB16" s="1812">
        <v>1</v>
      </c>
      <c r="AC16" s="1812">
        <v>1</v>
      </c>
    </row>
    <row r="17" spans="1:29" ht="85.5">
      <c r="A17" s="428"/>
      <c r="B17" s="451" t="s">
        <v>2648</v>
      </c>
      <c r="C17" s="2665" t="str">
        <f>估价对象房地状况!C16</f>
        <v>估价对象位于通州运河核心区，周边商业氛围成熟度一般，人流量一般，商业繁华度一般。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9"/>
      <c r="Q17" s="1811" t="str">
        <f>B17</f>
        <v>商业繁华度</v>
      </c>
      <c r="R17" s="774" t="s">
        <v>17</v>
      </c>
      <c r="S17" s="775">
        <f>F17</f>
        <v>100</v>
      </c>
      <c r="T17" s="774" t="s">
        <v>17</v>
      </c>
      <c r="U17" s="775">
        <f>H17</f>
        <v>100</v>
      </c>
      <c r="V17" s="774" t="s">
        <v>17</v>
      </c>
      <c r="W17" s="775">
        <f>J17</f>
        <v>100</v>
      </c>
      <c r="X17" s="1814"/>
      <c r="Y17" s="3199"/>
      <c r="Z17" s="1815" t="str">
        <f>Q17</f>
        <v>商业繁华度</v>
      </c>
      <c r="AA17" s="1812">
        <f t="shared" si="3"/>
        <v>1</v>
      </c>
      <c r="AB17" s="1812">
        <f t="shared" si="4"/>
        <v>1</v>
      </c>
      <c r="AC17" s="1812">
        <f t="shared" si="5"/>
        <v>1</v>
      </c>
    </row>
    <row r="18" spans="1:29" ht="15">
      <c r="A18" s="428"/>
      <c r="B18" s="456"/>
      <c r="C18" s="2609" t="s">
        <v>3138</v>
      </c>
      <c r="D18" s="450"/>
      <c r="E18" s="2609" t="s">
        <v>3138</v>
      </c>
      <c r="F18" s="450"/>
      <c r="G18" s="2609" t="s">
        <v>3138</v>
      </c>
      <c r="H18" s="448"/>
      <c r="I18" s="2609" t="s">
        <v>3138</v>
      </c>
      <c r="J18" s="448"/>
      <c r="K18" s="672"/>
      <c r="L18" s="1143"/>
      <c r="M18" s="1134"/>
      <c r="N18" s="1134"/>
      <c r="O18" s="1142"/>
      <c r="P18" s="3199"/>
      <c r="Q18" s="1811"/>
      <c r="R18" s="774"/>
      <c r="S18" s="775"/>
      <c r="T18" s="774"/>
      <c r="U18" s="775"/>
      <c r="V18" s="774"/>
      <c r="W18" s="775"/>
      <c r="X18" s="1814"/>
      <c r="Y18" s="3199"/>
      <c r="Z18" s="1815"/>
      <c r="AA18" s="1812">
        <v>1</v>
      </c>
      <c r="AB18" s="1812">
        <v>1</v>
      </c>
      <c r="AC18" s="1812">
        <v>1</v>
      </c>
    </row>
    <row r="19" spans="1:29" ht="85.5">
      <c r="A19" s="428"/>
      <c r="B19" s="451" t="s">
        <v>2682</v>
      </c>
      <c r="C19" s="2665" t="str">
        <f>估价对象房地状况!C17</f>
        <v>估价对象位于通州运河核心区，周边办公楼项目数量一般，入驻率一般，办公集聚程度一般。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9"/>
      <c r="Q19" s="1811" t="str">
        <f>B19</f>
        <v>办公集聚程度</v>
      </c>
      <c r="R19" s="774" t="s">
        <v>17</v>
      </c>
      <c r="S19" s="775">
        <f>F19</f>
        <v>100</v>
      </c>
      <c r="T19" s="774" t="s">
        <v>17</v>
      </c>
      <c r="U19" s="775">
        <f>H19</f>
        <v>100</v>
      </c>
      <c r="V19" s="774" t="s">
        <v>17</v>
      </c>
      <c r="W19" s="775">
        <f>J19</f>
        <v>100</v>
      </c>
      <c r="X19" s="1814"/>
      <c r="Y19" s="3199"/>
      <c r="Z19" s="1815" t="str">
        <f>Q19</f>
        <v>办公集聚程度</v>
      </c>
      <c r="AA19" s="1812">
        <f t="shared" si="3"/>
        <v>1</v>
      </c>
      <c r="AB19" s="1812">
        <f t="shared" si="4"/>
        <v>1</v>
      </c>
      <c r="AC19" s="1812">
        <f t="shared" si="5"/>
        <v>1</v>
      </c>
    </row>
    <row r="20" spans="1:29" ht="15">
      <c r="A20" s="428"/>
      <c r="B20" s="456"/>
      <c r="C20" s="447" t="s">
        <v>3138</v>
      </c>
      <c r="D20" s="448"/>
      <c r="E20" s="2606" t="s">
        <v>3138</v>
      </c>
      <c r="F20" s="448"/>
      <c r="G20" s="2606" t="s">
        <v>3138</v>
      </c>
      <c r="H20" s="448"/>
      <c r="I20" s="2606" t="s">
        <v>3138</v>
      </c>
      <c r="J20" s="448"/>
      <c r="K20" s="672"/>
      <c r="L20" s="1143"/>
      <c r="M20" s="1134"/>
      <c r="N20" s="1134"/>
      <c r="O20" s="1142"/>
      <c r="P20" s="3199"/>
      <c r="Q20" s="1811"/>
      <c r="R20" s="774"/>
      <c r="S20" s="775"/>
      <c r="T20" s="774"/>
      <c r="U20" s="775"/>
      <c r="V20" s="774"/>
      <c r="W20" s="775"/>
      <c r="X20" s="1814"/>
      <c r="Y20" s="3199"/>
      <c r="Z20" s="1815"/>
      <c r="AA20" s="1812">
        <v>1</v>
      </c>
      <c r="AB20" s="1812">
        <v>1</v>
      </c>
      <c r="AC20" s="1812">
        <v>1</v>
      </c>
    </row>
    <row r="21" spans="1:29" ht="99.75">
      <c r="A21" s="428"/>
      <c r="B21" s="451" t="s">
        <v>2704</v>
      </c>
      <c r="C21" s="2608" t="str">
        <f>估价对象房地状况!C18</f>
        <v>附近主要有317路、552路、809、通49路等公交线路，紧邻地铁6号线，路网密集度较好，交通便捷度较好。</v>
      </c>
      <c r="D21" s="450">
        <v>100</v>
      </c>
      <c r="E21" s="452" t="s">
        <v>3141</v>
      </c>
      <c r="F21" s="455">
        <f>SUMIF(94:94,E22,95:95)-SUMIF(94:94,C22,95:95)+100</f>
        <v>100</v>
      </c>
      <c r="G21" s="452"/>
      <c r="H21" s="450">
        <f>SUMIF(94:94,G22,95:95)-SUMIF(94:94,C22,95:95)+100</f>
        <v>100</v>
      </c>
      <c r="I21" s="454"/>
      <c r="J21" s="450">
        <f>SUMIF(94:94,I22,95:95)-SUMIF(94:94,C22,95:95)+100</f>
        <v>100</v>
      </c>
      <c r="K21" s="673">
        <v>1</v>
      </c>
      <c r="L21" s="1143"/>
      <c r="M21" s="1134"/>
      <c r="N21" s="1134"/>
      <c r="O21" s="1142"/>
      <c r="P21" s="3199"/>
      <c r="Q21" s="1811" t="str">
        <f>B21</f>
        <v>交通便捷度</v>
      </c>
      <c r="R21" s="774" t="s">
        <v>17</v>
      </c>
      <c r="S21" s="775">
        <f>F21</f>
        <v>100</v>
      </c>
      <c r="T21" s="774" t="s">
        <v>17</v>
      </c>
      <c r="U21" s="775">
        <f>H21</f>
        <v>100</v>
      </c>
      <c r="V21" s="774" t="s">
        <v>17</v>
      </c>
      <c r="W21" s="775">
        <f>J21</f>
        <v>100</v>
      </c>
      <c r="X21" s="1814"/>
      <c r="Y21" s="3199"/>
      <c r="Z21" s="1815" t="str">
        <f>Q21</f>
        <v>交通便捷度</v>
      </c>
      <c r="AA21" s="1812">
        <f t="shared" si="3"/>
        <v>1</v>
      </c>
      <c r="AB21" s="1812">
        <f t="shared" si="4"/>
        <v>1</v>
      </c>
      <c r="AC21" s="1812">
        <f t="shared" si="5"/>
        <v>1</v>
      </c>
    </row>
    <row r="22" spans="1:29" ht="15">
      <c r="A22" s="428"/>
      <c r="B22" s="1387"/>
      <c r="C22" s="447" t="s">
        <v>3140</v>
      </c>
      <c r="D22" s="450"/>
      <c r="E22" s="2606" t="s">
        <v>3140</v>
      </c>
      <c r="F22" s="448"/>
      <c r="G22" s="2606" t="s">
        <v>3140</v>
      </c>
      <c r="H22" s="448"/>
      <c r="I22" s="2606" t="s">
        <v>3140</v>
      </c>
      <c r="J22" s="448"/>
      <c r="K22" s="672"/>
      <c r="L22" s="1143"/>
      <c r="M22" s="1134"/>
      <c r="N22" s="1134"/>
      <c r="O22" s="1142"/>
      <c r="P22" s="3199"/>
      <c r="Q22" s="1811"/>
      <c r="R22" s="774"/>
      <c r="S22" s="775"/>
      <c r="T22" s="774"/>
      <c r="U22" s="775"/>
      <c r="V22" s="774"/>
      <c r="W22" s="775"/>
      <c r="X22" s="1814"/>
      <c r="Y22" s="3199"/>
      <c r="Z22" s="1815"/>
      <c r="AA22" s="1812">
        <v>1</v>
      </c>
      <c r="AB22" s="1812">
        <v>1</v>
      </c>
      <c r="AC22" s="1812">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9"/>
      <c r="Q23" s="1811" t="str">
        <f t="shared" ref="Q23:Q37" si="8">B23</f>
        <v>区域土地利用方向</v>
      </c>
      <c r="R23" s="774" t="s">
        <v>17</v>
      </c>
      <c r="S23" s="775">
        <f>F23</f>
        <v>100</v>
      </c>
      <c r="T23" s="774" t="s">
        <v>17</v>
      </c>
      <c r="U23" s="775">
        <f>H23</f>
        <v>100</v>
      </c>
      <c r="V23" s="774" t="s">
        <v>17</v>
      </c>
      <c r="W23" s="775">
        <f>J23</f>
        <v>100</v>
      </c>
      <c r="X23" s="1814"/>
      <c r="Y23" s="3199"/>
      <c r="Z23" s="1815" t="str">
        <f>Q23</f>
        <v>区域土地利用方向</v>
      </c>
      <c r="AA23" s="1812">
        <f t="shared" si="3"/>
        <v>1</v>
      </c>
      <c r="AB23" s="1812">
        <f t="shared" si="4"/>
        <v>1</v>
      </c>
      <c r="AC23" s="1812">
        <f t="shared" si="5"/>
        <v>1</v>
      </c>
    </row>
    <row r="24" spans="1:29" ht="15">
      <c r="A24" s="404"/>
      <c r="B24" s="456"/>
      <c r="C24" s="616" t="s">
        <v>3140</v>
      </c>
      <c r="D24" s="448"/>
      <c r="E24" s="616" t="s">
        <v>3140</v>
      </c>
      <c r="F24" s="448"/>
      <c r="G24" s="616" t="s">
        <v>3140</v>
      </c>
      <c r="H24" s="448"/>
      <c r="I24" s="616" t="s">
        <v>3140</v>
      </c>
      <c r="J24" s="448"/>
      <c r="K24" s="812"/>
      <c r="L24" s="1143"/>
      <c r="M24" s="1134"/>
      <c r="N24" s="1134"/>
      <c r="O24" s="1142"/>
      <c r="P24" s="3199"/>
      <c r="Q24" s="1811"/>
      <c r="R24" s="774"/>
      <c r="S24" s="775"/>
      <c r="T24" s="774"/>
      <c r="U24" s="775"/>
      <c r="V24" s="774"/>
      <c r="W24" s="775"/>
      <c r="X24" s="1814"/>
      <c r="Y24" s="3199"/>
      <c r="Z24" s="1815"/>
      <c r="AA24" s="1812"/>
      <c r="AB24" s="1812"/>
      <c r="AC24" s="1812"/>
    </row>
    <row r="25" spans="1:29" ht="128.25">
      <c r="A25" s="404"/>
      <c r="B25" s="1387" t="s">
        <v>2744</v>
      </c>
      <c r="C25" s="2665" t="str">
        <f>估价对象房地状况!C20</f>
        <v>估价对象周边有水系、运河奥体公园，自然环境较好；周边有大运河美术馆等人文设施，人文环境较好；综合评价环境状况较好。</v>
      </c>
      <c r="D25" s="450">
        <v>100</v>
      </c>
      <c r="E25" s="2961" t="s">
        <v>3143</v>
      </c>
      <c r="F25" s="450">
        <f>SUMIF(98:98,E26,99:99)-SUMIF(98:98,C26,99:99)+100</f>
        <v>100</v>
      </c>
      <c r="G25" s="452"/>
      <c r="H25" s="450">
        <f>SUMIF(98:98,G26,99:99)-SUMIF(98:98,C26,99:99)+100</f>
        <v>100</v>
      </c>
      <c r="I25" s="454"/>
      <c r="J25" s="450">
        <f>SUMIF(98:98,I26,99:99)-SUMIF(98:98,C26,99:99)+100</f>
        <v>100</v>
      </c>
      <c r="K25" s="673"/>
      <c r="L25" s="1143"/>
      <c r="M25" s="1134"/>
      <c r="N25" s="1134"/>
      <c r="O25" s="1142"/>
      <c r="P25" s="3199"/>
      <c r="Q25" s="1811" t="str">
        <f t="shared" si="8"/>
        <v>自然及人文环境状况</v>
      </c>
      <c r="R25" s="774" t="s">
        <v>17</v>
      </c>
      <c r="S25" s="775">
        <f>F25</f>
        <v>100</v>
      </c>
      <c r="T25" s="774" t="s">
        <v>17</v>
      </c>
      <c r="U25" s="775">
        <f>H25</f>
        <v>100</v>
      </c>
      <c r="V25" s="774" t="s">
        <v>17</v>
      </c>
      <c r="W25" s="775">
        <f>J25</f>
        <v>100</v>
      </c>
      <c r="X25" s="1814"/>
      <c r="Y25" s="3199"/>
      <c r="Z25" s="1815" t="str">
        <f>Q25</f>
        <v>自然及人文环境状况</v>
      </c>
      <c r="AA25" s="1812">
        <f t="shared" si="3"/>
        <v>1</v>
      </c>
      <c r="AB25" s="1812">
        <f t="shared" si="4"/>
        <v>1</v>
      </c>
      <c r="AC25" s="1812">
        <f t="shared" si="5"/>
        <v>1</v>
      </c>
    </row>
    <row r="26" spans="1:29" ht="15">
      <c r="A26" s="404"/>
      <c r="B26" s="456"/>
      <c r="C26" s="447" t="s">
        <v>3140</v>
      </c>
      <c r="D26" s="448"/>
      <c r="E26" s="447" t="s">
        <v>3140</v>
      </c>
      <c r="F26" s="448"/>
      <c r="G26" s="447" t="s">
        <v>3140</v>
      </c>
      <c r="H26" s="448"/>
      <c r="I26" s="447" t="s">
        <v>3140</v>
      </c>
      <c r="J26" s="448"/>
      <c r="K26" s="672"/>
      <c r="L26" s="1143"/>
      <c r="M26" s="1134"/>
      <c r="N26" s="1134"/>
      <c r="O26" s="1142"/>
      <c r="P26" s="3199"/>
      <c r="Q26" s="1811"/>
      <c r="R26" s="774"/>
      <c r="S26" s="775"/>
      <c r="T26" s="774"/>
      <c r="U26" s="775"/>
      <c r="V26" s="774"/>
      <c r="W26" s="775"/>
      <c r="X26" s="1814"/>
      <c r="Y26" s="3199"/>
      <c r="Z26" s="1815"/>
      <c r="AA26" s="1812">
        <v>1</v>
      </c>
      <c r="AB26" s="1812">
        <v>1</v>
      </c>
      <c r="AC26" s="1812">
        <v>1</v>
      </c>
    </row>
    <row r="27" spans="1:29" s="117" customFormat="1" ht="171">
      <c r="A27" s="649"/>
      <c r="B27" s="1387" t="s">
        <v>2649</v>
      </c>
      <c r="C27" s="2608" t="str">
        <f>估价对象房地状况!C21</f>
        <v>估价对象周边有银行（兴业银行（北京通州运河支行）等）、医院（北京京通医院等）、超市（隆品源超市等）、学校（北京通州芙蓉小学等），公共配套设施齐备情况较好。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9"/>
      <c r="Q27" s="1796" t="str">
        <f t="shared" si="8"/>
        <v>公共配套设施</v>
      </c>
      <c r="R27" s="770" t="s">
        <v>17</v>
      </c>
      <c r="S27" s="771">
        <f>F27</f>
        <v>100</v>
      </c>
      <c r="T27" s="770" t="s">
        <v>17</v>
      </c>
      <c r="U27" s="771">
        <f>H27</f>
        <v>100</v>
      </c>
      <c r="V27" s="770" t="s">
        <v>17</v>
      </c>
      <c r="W27" s="771">
        <f>J27</f>
        <v>100</v>
      </c>
      <c r="X27" s="772"/>
      <c r="Y27" s="3199"/>
      <c r="Z27" s="55" t="str">
        <f>Q27</f>
        <v>公共配套设施</v>
      </c>
      <c r="AA27" s="1812">
        <f>D27/F27</f>
        <v>1</v>
      </c>
      <c r="AB27" s="1812">
        <f>D27/H27</f>
        <v>1</v>
      </c>
      <c r="AC27" s="1812">
        <f>D27/J27</f>
        <v>1</v>
      </c>
    </row>
    <row r="28" spans="1:29" s="117" customFormat="1" ht="15">
      <c r="A28" s="649"/>
      <c r="B28" s="456"/>
      <c r="C28" s="2701" t="s">
        <v>3140</v>
      </c>
      <c r="D28" s="448"/>
      <c r="E28" s="2701" t="s">
        <v>3140</v>
      </c>
      <c r="F28" s="448"/>
      <c r="G28" s="2701" t="s">
        <v>3140</v>
      </c>
      <c r="H28" s="448"/>
      <c r="I28" s="2701" t="s">
        <v>3140</v>
      </c>
      <c r="J28" s="448"/>
      <c r="K28" s="672"/>
      <c r="L28" s="1135"/>
      <c r="M28" s="1136"/>
      <c r="N28" s="1136"/>
      <c r="O28" s="1137"/>
      <c r="P28" s="3199"/>
      <c r="Q28" s="1796"/>
      <c r="R28" s="770"/>
      <c r="S28" s="771"/>
      <c r="T28" s="770"/>
      <c r="U28" s="771"/>
      <c r="V28" s="770"/>
      <c r="W28" s="771"/>
      <c r="X28" s="772"/>
      <c r="Y28" s="3199"/>
      <c r="Z28" s="55"/>
      <c r="AA28" s="1812">
        <v>1</v>
      </c>
      <c r="AB28" s="1812">
        <v>1</v>
      </c>
      <c r="AC28" s="1812">
        <v>1</v>
      </c>
    </row>
    <row r="29" spans="1:29" s="117" customFormat="1" ht="15">
      <c r="A29" s="649"/>
      <c r="B29" s="1387" t="s">
        <v>2650</v>
      </c>
      <c r="C29" s="2608"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9"/>
      <c r="Q29" s="1796"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2">
        <f>D29/F29</f>
        <v>1</v>
      </c>
      <c r="AB29" s="1812">
        <f>D29/H29</f>
        <v>1</v>
      </c>
      <c r="AC29" s="1812">
        <f>D29/J29</f>
        <v>1</v>
      </c>
    </row>
    <row r="30" spans="1:29" s="117" customFormat="1" ht="15">
      <c r="A30" s="649"/>
      <c r="B30" s="456"/>
      <c r="C30" s="2701" t="s">
        <v>3144</v>
      </c>
      <c r="D30" s="448"/>
      <c r="E30" s="2701" t="s">
        <v>3144</v>
      </c>
      <c r="F30" s="448"/>
      <c r="G30" s="2701" t="s">
        <v>3144</v>
      </c>
      <c r="H30" s="448"/>
      <c r="I30" s="2701" t="s">
        <v>3144</v>
      </c>
      <c r="J30" s="448"/>
      <c r="K30" s="672"/>
      <c r="L30" s="1135"/>
      <c r="M30" s="1136"/>
      <c r="N30" s="1136"/>
      <c r="O30" s="1137"/>
      <c r="P30" s="3199"/>
      <c r="Q30" s="1796"/>
      <c r="R30" s="770"/>
      <c r="S30" s="771"/>
      <c r="T30" s="770"/>
      <c r="U30" s="771"/>
      <c r="V30" s="770"/>
      <c r="W30" s="771"/>
      <c r="X30" s="772"/>
      <c r="Y30" s="3199"/>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9"/>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199"/>
      <c r="Z31" s="1815" t="str">
        <f t="shared" ref="Z31:Z45" si="13">Q31</f>
        <v>临街状况</v>
      </c>
      <c r="AA31" s="1812">
        <f t="shared" si="3"/>
        <v>1</v>
      </c>
      <c r="AB31" s="1812">
        <f t="shared" si="4"/>
        <v>1</v>
      </c>
      <c r="AC31" s="1812">
        <f t="shared" si="5"/>
        <v>1</v>
      </c>
    </row>
    <row r="32" spans="1:29" ht="28.5">
      <c r="A32" s="428"/>
      <c r="B32" s="1387" t="s">
        <v>2686</v>
      </c>
      <c r="C32" s="2960" t="str">
        <f>估价对象房地状况!C10</f>
        <v>城市支路——永顺南街</v>
      </c>
      <c r="D32" s="450">
        <v>100</v>
      </c>
      <c r="E32" s="2961" t="s">
        <v>3139</v>
      </c>
      <c r="F32" s="450">
        <f>SUMIF(106:106,E33,107:107)-SUMIF(106:106,C33,107:107)+100</f>
        <v>102</v>
      </c>
      <c r="G32" s="2961" t="s">
        <v>3139</v>
      </c>
      <c r="H32" s="450">
        <f>SUMIF(106:106,G33,107:107)-SUMIF(106:106,C33,107:107)+100</f>
        <v>102</v>
      </c>
      <c r="I32" s="2961" t="s">
        <v>3139</v>
      </c>
      <c r="J32" s="450">
        <f>SUMIF(106:106,I33,107:107)-SUMIF(106:106,C33,107:107)+100</f>
        <v>102</v>
      </c>
      <c r="K32" s="673">
        <v>1</v>
      </c>
      <c r="L32" s="1143"/>
      <c r="M32" s="1134"/>
      <c r="N32" s="1134"/>
      <c r="O32" s="1142"/>
      <c r="P32" s="3199"/>
      <c r="Q32" s="1811" t="str">
        <f t="shared" si="8"/>
        <v>毗邻道路的类型与等级</v>
      </c>
      <c r="R32" s="774" t="s">
        <v>17</v>
      </c>
      <c r="S32" s="775">
        <f t="shared" si="10"/>
        <v>102</v>
      </c>
      <c r="T32" s="774" t="s">
        <v>17</v>
      </c>
      <c r="U32" s="775">
        <f t="shared" si="11"/>
        <v>102</v>
      </c>
      <c r="V32" s="774" t="s">
        <v>17</v>
      </c>
      <c r="W32" s="775">
        <f t="shared" si="12"/>
        <v>102</v>
      </c>
      <c r="X32" s="1814"/>
      <c r="Y32" s="3199"/>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3154</v>
      </c>
      <c r="D33" s="448"/>
      <c r="E33" s="2612" t="s">
        <v>3155</v>
      </c>
      <c r="F33" s="448"/>
      <c r="G33" s="2612" t="s">
        <v>3155</v>
      </c>
      <c r="H33" s="448"/>
      <c r="I33" s="2612" t="s">
        <v>3155</v>
      </c>
      <c r="J33" s="448"/>
      <c r="K33" s="613"/>
      <c r="L33" s="1143"/>
      <c r="M33" s="1134"/>
      <c r="N33" s="1134"/>
      <c r="O33" s="1142"/>
      <c r="P33" s="3199"/>
      <c r="Q33" s="1811"/>
      <c r="R33" s="774"/>
      <c r="S33" s="775"/>
      <c r="T33" s="774"/>
      <c r="U33" s="775"/>
      <c r="V33" s="774"/>
      <c r="W33" s="775"/>
      <c r="X33" s="1814"/>
      <c r="Y33" s="3199"/>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9"/>
      <c r="Q34" s="1811" t="str">
        <f t="shared" si="8"/>
        <v>土地级别</v>
      </c>
      <c r="R34" s="774" t="s">
        <v>17</v>
      </c>
      <c r="S34" s="775">
        <f t="shared" si="10"/>
        <v>100</v>
      </c>
      <c r="T34" s="774" t="s">
        <v>17</v>
      </c>
      <c r="U34" s="775">
        <f t="shared" si="11"/>
        <v>100</v>
      </c>
      <c r="V34" s="774" t="s">
        <v>17</v>
      </c>
      <c r="W34" s="775">
        <f t="shared" si="12"/>
        <v>100</v>
      </c>
      <c r="X34" s="1814"/>
      <c r="Y34" s="3199"/>
      <c r="Z34" s="1815" t="str">
        <f t="shared" si="13"/>
        <v>土地级别</v>
      </c>
      <c r="AA34" s="1812">
        <f t="shared" si="3"/>
        <v>1</v>
      </c>
      <c r="AB34" s="1812">
        <f t="shared" si="4"/>
        <v>1</v>
      </c>
      <c r="AC34" s="1812">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9"/>
      <c r="Q35" s="1811">
        <f t="shared" si="8"/>
        <v>111</v>
      </c>
      <c r="R35" s="774" t="s">
        <v>17</v>
      </c>
      <c r="S35" s="775">
        <f t="shared" si="10"/>
        <v>100</v>
      </c>
      <c r="T35" s="774" t="s">
        <v>17</v>
      </c>
      <c r="U35" s="775">
        <f t="shared" si="11"/>
        <v>100</v>
      </c>
      <c r="V35" s="774" t="s">
        <v>17</v>
      </c>
      <c r="W35" s="775">
        <f t="shared" si="12"/>
        <v>100</v>
      </c>
      <c r="X35" s="1814"/>
      <c r="Y35" s="3199"/>
      <c r="Z35" s="1815">
        <f t="shared" si="13"/>
        <v>111</v>
      </c>
      <c r="AA35" s="1812">
        <f t="shared" si="3"/>
        <v>1</v>
      </c>
      <c r="AB35" s="1812">
        <f t="shared" si="4"/>
        <v>1</v>
      </c>
      <c r="AC35" s="1812">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0" t="s">
        <v>2560</v>
      </c>
      <c r="Q36" s="1811">
        <f t="shared" si="8"/>
        <v>111</v>
      </c>
      <c r="R36" s="774" t="s">
        <v>17</v>
      </c>
      <c r="S36" s="775">
        <f t="shared" si="10"/>
        <v>100</v>
      </c>
      <c r="T36" s="774" t="s">
        <v>17</v>
      </c>
      <c r="U36" s="775">
        <f t="shared" si="11"/>
        <v>100</v>
      </c>
      <c r="V36" s="774" t="s">
        <v>17</v>
      </c>
      <c r="W36" s="775">
        <f t="shared" si="12"/>
        <v>100</v>
      </c>
      <c r="X36" s="1814"/>
      <c r="Y36" s="3201" t="s">
        <v>2560</v>
      </c>
      <c r="Z36" s="1815">
        <f t="shared" si="13"/>
        <v>111</v>
      </c>
      <c r="AA36" s="1812">
        <f t="shared" si="3"/>
        <v>1</v>
      </c>
      <c r="AB36" s="1812">
        <f t="shared" si="4"/>
        <v>1</v>
      </c>
      <c r="AC36" s="1812">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1">
        <f t="shared" si="8"/>
        <v>111</v>
      </c>
      <c r="R37" s="777" t="s">
        <v>17</v>
      </c>
      <c r="S37" s="778">
        <f t="shared" si="10"/>
        <v>100</v>
      </c>
      <c r="T37" s="777" t="s">
        <v>17</v>
      </c>
      <c r="U37" s="778">
        <f t="shared" si="11"/>
        <v>100</v>
      </c>
      <c r="V37" s="777" t="s">
        <v>17</v>
      </c>
      <c r="W37" s="778">
        <f t="shared" si="12"/>
        <v>100</v>
      </c>
      <c r="X37" s="779"/>
      <c r="Y37" s="3201"/>
      <c r="Z37" s="780">
        <f t="shared" si="13"/>
        <v>111</v>
      </c>
      <c r="AA37" s="1812">
        <f t="shared" si="3"/>
        <v>1</v>
      </c>
      <c r="AB37" s="1812">
        <f t="shared" si="4"/>
        <v>1</v>
      </c>
      <c r="AC37" s="1812">
        <f t="shared" si="5"/>
        <v>1</v>
      </c>
    </row>
    <row r="38" spans="1:29" ht="15">
      <c r="A38" s="472" t="s">
        <v>2558</v>
      </c>
      <c r="B38" s="456" t="s">
        <v>2746</v>
      </c>
      <c r="C38" s="679">
        <f>'数据-基础表'!A3</f>
        <v>8949.2160000000003</v>
      </c>
      <c r="D38" s="467">
        <v>100</v>
      </c>
      <c r="E38" s="679">
        <f>案例!D3</f>
        <v>39744.120000000003</v>
      </c>
      <c r="F38" s="467">
        <f>LOOKUP(E38,117:117,118:118)-LOOKUP(C38,117:117,118:118)+100</f>
        <v>103</v>
      </c>
      <c r="G38" s="679">
        <f>案例!D5</f>
        <v>46165.91</v>
      </c>
      <c r="H38" s="467">
        <f>LOOKUP(G38,117:117,118:118)-LOOKUP(C38,117:117,118:118)+100</f>
        <v>104</v>
      </c>
      <c r="I38" s="530">
        <f>案例!D6</f>
        <v>38100</v>
      </c>
      <c r="J38" s="467">
        <f>LOOKUP(I38,117:117,118:118)-LOOKUP(C38,117:117,118:118)+100</f>
        <v>103</v>
      </c>
      <c r="K38" s="613"/>
      <c r="L38" s="1143"/>
      <c r="M38" s="1134"/>
      <c r="N38" s="1134"/>
      <c r="O38" s="1142"/>
      <c r="P38" s="3201"/>
      <c r="Q38" s="1811" t="str">
        <f>B38</f>
        <v>宗地面积</v>
      </c>
      <c r="R38" s="774" t="s">
        <v>17</v>
      </c>
      <c r="S38" s="775">
        <f t="shared" si="10"/>
        <v>103</v>
      </c>
      <c r="T38" s="774" t="s">
        <v>17</v>
      </c>
      <c r="U38" s="775">
        <f t="shared" si="11"/>
        <v>104</v>
      </c>
      <c r="V38" s="774" t="s">
        <v>17</v>
      </c>
      <c r="W38" s="775">
        <f t="shared" si="12"/>
        <v>103</v>
      </c>
      <c r="X38" s="1814"/>
      <c r="Y38" s="3201"/>
      <c r="Z38" s="1815" t="str">
        <f t="shared" si="13"/>
        <v>宗地面积</v>
      </c>
      <c r="AA38" s="1812">
        <f t="shared" si="3"/>
        <v>0.970873786407767</v>
      </c>
      <c r="AB38" s="1812">
        <f t="shared" si="4"/>
        <v>0.96153846153846156</v>
      </c>
      <c r="AC38" s="1812">
        <f t="shared" si="5"/>
        <v>0.970873786407767</v>
      </c>
    </row>
    <row r="39" spans="1:29" ht="15">
      <c r="A39" s="472"/>
      <c r="B39" s="422" t="s">
        <v>2747</v>
      </c>
      <c r="C39" s="2614" t="s">
        <v>3156</v>
      </c>
      <c r="D39" s="435">
        <v>100</v>
      </c>
      <c r="E39" s="2614" t="s">
        <v>3156</v>
      </c>
      <c r="F39" s="435">
        <f>SUMIF(119:119,E39,120:120)-SUMIF(119:119,C39,120:120)+100</f>
        <v>100</v>
      </c>
      <c r="G39" s="2614" t="s">
        <v>3156</v>
      </c>
      <c r="H39" s="435">
        <f>SUMIF(119:119,G39,120:120)-SUMIF(119:119,C39,120:120)+100</f>
        <v>100</v>
      </c>
      <c r="I39" s="2614" t="s">
        <v>3156</v>
      </c>
      <c r="J39" s="435">
        <f>SUMIF(119:119,I39,120:120)-SUMIF(119:119,C39,120:120)+100</f>
        <v>100</v>
      </c>
      <c r="K39" s="612"/>
      <c r="L39" s="1143"/>
      <c r="M39" s="1134"/>
      <c r="N39" s="1134"/>
      <c r="O39" s="1142"/>
      <c r="P39" s="3201"/>
      <c r="Q39" s="1811" t="str">
        <f t="shared" ref="Q39:Q45" si="14">B39</f>
        <v>宗地形状</v>
      </c>
      <c r="R39" s="774" t="s">
        <v>17</v>
      </c>
      <c r="S39" s="775">
        <f t="shared" si="10"/>
        <v>100</v>
      </c>
      <c r="T39" s="774" t="s">
        <v>17</v>
      </c>
      <c r="U39" s="775">
        <f t="shared" si="11"/>
        <v>100</v>
      </c>
      <c r="V39" s="774" t="s">
        <v>17</v>
      </c>
      <c r="W39" s="775">
        <f t="shared" si="12"/>
        <v>100</v>
      </c>
      <c r="X39" s="1814"/>
      <c r="Y39" s="3201"/>
      <c r="Z39" s="1815" t="str">
        <f t="shared" si="13"/>
        <v>宗地形状</v>
      </c>
      <c r="AA39" s="1812">
        <f t="shared" si="3"/>
        <v>1</v>
      </c>
      <c r="AB39" s="1812">
        <f t="shared" si="4"/>
        <v>1</v>
      </c>
      <c r="AC39" s="1812">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01"/>
      <c r="Q40" s="1811" t="str">
        <f t="shared" si="14"/>
        <v>临街宽度及深度</v>
      </c>
      <c r="R40" s="774" t="s">
        <v>17</v>
      </c>
      <c r="S40" s="775">
        <f t="shared" si="10"/>
        <v>100</v>
      </c>
      <c r="T40" s="774" t="s">
        <v>17</v>
      </c>
      <c r="U40" s="775">
        <f t="shared" si="11"/>
        <v>100</v>
      </c>
      <c r="V40" s="774" t="s">
        <v>17</v>
      </c>
      <c r="W40" s="775">
        <f t="shared" si="12"/>
        <v>100</v>
      </c>
      <c r="X40" s="1814"/>
      <c r="Y40" s="3201"/>
      <c r="Z40" s="1815" t="str">
        <f t="shared" si="13"/>
        <v>临街宽度及深度</v>
      </c>
      <c r="AA40" s="1812">
        <f t="shared" si="3"/>
        <v>1</v>
      </c>
      <c r="AB40" s="1812">
        <f t="shared" si="4"/>
        <v>1</v>
      </c>
      <c r="AC40" s="1812">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01"/>
      <c r="Q41" s="1811"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01" t="s">
        <v>2560</v>
      </c>
      <c r="Q42" s="1811" t="str">
        <f t="shared" si="14"/>
        <v>工程地质条件</v>
      </c>
      <c r="R42" s="774" t="s">
        <v>17</v>
      </c>
      <c r="S42" s="775">
        <f t="shared" si="10"/>
        <v>100</v>
      </c>
      <c r="T42" s="774" t="s">
        <v>17</v>
      </c>
      <c r="U42" s="775">
        <f t="shared" si="11"/>
        <v>100</v>
      </c>
      <c r="V42" s="774" t="s">
        <v>17</v>
      </c>
      <c r="W42" s="775">
        <f t="shared" si="12"/>
        <v>100</v>
      </c>
      <c r="X42" s="1814"/>
      <c r="Y42" s="3201" t="s">
        <v>2560</v>
      </c>
      <c r="Z42" s="1815" t="str">
        <f t="shared" si="13"/>
        <v>工程地质条件</v>
      </c>
      <c r="AA42" s="1812">
        <f t="shared" si="3"/>
        <v>1</v>
      </c>
      <c r="AB42" s="1812">
        <f t="shared" si="4"/>
        <v>1</v>
      </c>
      <c r="AC42" s="1812">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1">
        <f t="shared" si="14"/>
        <v>111</v>
      </c>
      <c r="R43" s="774" t="s">
        <v>17</v>
      </c>
      <c r="S43" s="775">
        <f t="shared" si="10"/>
        <v>100</v>
      </c>
      <c r="T43" s="774" t="s">
        <v>17</v>
      </c>
      <c r="U43" s="775">
        <f t="shared" si="11"/>
        <v>100</v>
      </c>
      <c r="V43" s="774" t="s">
        <v>17</v>
      </c>
      <c r="W43" s="775">
        <f t="shared" si="12"/>
        <v>100</v>
      </c>
      <c r="X43" s="1814"/>
      <c r="Y43" s="3201"/>
      <c r="Z43" s="1815">
        <f t="shared" si="13"/>
        <v>111</v>
      </c>
      <c r="AA43" s="1812">
        <f t="shared" si="3"/>
        <v>1</v>
      </c>
      <c r="AB43" s="1812">
        <f t="shared" si="4"/>
        <v>1</v>
      </c>
      <c r="AC43" s="1812">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1">
        <f t="shared" si="14"/>
        <v>111</v>
      </c>
      <c r="R44" s="774" t="s">
        <v>17</v>
      </c>
      <c r="S44" s="775">
        <f t="shared" si="10"/>
        <v>100</v>
      </c>
      <c r="T44" s="774" t="s">
        <v>17</v>
      </c>
      <c r="U44" s="775">
        <f t="shared" si="11"/>
        <v>100</v>
      </c>
      <c r="V44" s="774" t="s">
        <v>17</v>
      </c>
      <c r="W44" s="775">
        <f t="shared" si="12"/>
        <v>100</v>
      </c>
      <c r="X44" s="1814"/>
      <c r="Y44" s="3201"/>
      <c r="Z44" s="1815">
        <f t="shared" si="13"/>
        <v>111</v>
      </c>
      <c r="AA44" s="1812">
        <f t="shared" si="3"/>
        <v>1</v>
      </c>
      <c r="AB44" s="1812">
        <f t="shared" si="4"/>
        <v>1</v>
      </c>
      <c r="AC44" s="1812">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1">
        <f t="shared" si="14"/>
        <v>111</v>
      </c>
      <c r="R45" s="777" t="s">
        <v>17</v>
      </c>
      <c r="S45" s="778">
        <f t="shared" si="10"/>
        <v>100</v>
      </c>
      <c r="T45" s="777" t="s">
        <v>17</v>
      </c>
      <c r="U45" s="778">
        <f t="shared" si="11"/>
        <v>100</v>
      </c>
      <c r="V45" s="777" t="s">
        <v>17</v>
      </c>
      <c r="W45" s="778">
        <f t="shared" si="12"/>
        <v>100</v>
      </c>
      <c r="X45" s="779"/>
      <c r="Y45" s="3201"/>
      <c r="Z45" s="780">
        <f t="shared" si="13"/>
        <v>111</v>
      </c>
      <c r="AA45" s="1812">
        <f t="shared" si="3"/>
        <v>1</v>
      </c>
      <c r="AB45" s="1812">
        <f t="shared" si="4"/>
        <v>1</v>
      </c>
      <c r="AC45" s="1812">
        <f t="shared" si="5"/>
        <v>1</v>
      </c>
    </row>
    <row r="46" spans="1:29" ht="15">
      <c r="A46" s="479" t="s">
        <v>2715</v>
      </c>
      <c r="B46" s="2705" t="s">
        <v>2751</v>
      </c>
      <c r="C46" s="682" t="s">
        <v>1</v>
      </c>
      <c r="D46" s="481"/>
      <c r="E46" s="2964">
        <f>案例!K3</f>
        <v>24490.06</v>
      </c>
      <c r="F46" s="2965"/>
      <c r="G46" s="2966">
        <f>案例!K5</f>
        <v>24368.58</v>
      </c>
      <c r="H46" s="2967"/>
      <c r="I46" s="2964">
        <f>案例!K6</f>
        <v>26771.65</v>
      </c>
      <c r="J46" s="485"/>
      <c r="K46" s="783"/>
      <c r="L46" s="1146"/>
      <c r="M46" s="1147"/>
      <c r="N46" s="1134"/>
      <c r="O46" s="1147"/>
      <c r="P46" s="3183" t="str">
        <f>A46</f>
        <v>成交单价</v>
      </c>
      <c r="Q46" s="3183"/>
      <c r="R46" s="3196">
        <f>E46</f>
        <v>24490.06</v>
      </c>
      <c r="S46" s="3196"/>
      <c r="T46" s="3196">
        <f>G46</f>
        <v>24368.58</v>
      </c>
      <c r="U46" s="3196"/>
      <c r="V46" s="3196">
        <f>I46</f>
        <v>26771.65</v>
      </c>
      <c r="W46" s="3196"/>
      <c r="X46" s="759"/>
      <c r="Y46" s="781"/>
      <c r="Z46" s="759"/>
      <c r="AA46" s="759"/>
      <c r="AB46" s="759"/>
      <c r="AC46" s="759"/>
    </row>
    <row r="47" spans="1:29" ht="15.75" thickBot="1">
      <c r="A47" s="486" t="s">
        <v>2664</v>
      </c>
      <c r="B47" s="683"/>
      <c r="C47" s="490">
        <f>R48</f>
        <v>22385</v>
      </c>
      <c r="D47" s="489"/>
      <c r="E47" s="490">
        <f>R47</f>
        <v>21799</v>
      </c>
      <c r="F47" s="491"/>
      <c r="G47" s="488">
        <f>T47</f>
        <v>21503</v>
      </c>
      <c r="H47" s="489"/>
      <c r="I47" s="490">
        <f>V47</f>
        <v>23853</v>
      </c>
      <c r="J47" s="489"/>
      <c r="K47" s="784"/>
      <c r="L47" s="1146"/>
      <c r="M47" s="1147"/>
      <c r="N47" s="1147"/>
      <c r="O47" s="1147"/>
      <c r="P47" s="3183" t="str">
        <f>A47</f>
        <v>比较价值（元/平方米）</v>
      </c>
      <c r="Q47" s="3183"/>
      <c r="R47" s="3202">
        <f>ROUND(PRODUCT(R46,AA7:AA45),0)</f>
        <v>21799</v>
      </c>
      <c r="S47" s="3202"/>
      <c r="T47" s="3202">
        <f>ROUND(PRODUCT(T46,AB7:AB45),0)</f>
        <v>21503</v>
      </c>
      <c r="U47" s="3202"/>
      <c r="V47" s="3202">
        <f>ROUND(PRODUCT(V46,AC7:AC45),0)</f>
        <v>23853</v>
      </c>
      <c r="W47" s="3202"/>
      <c r="X47" s="759"/>
      <c r="Y47" s="759"/>
      <c r="Z47" s="759"/>
      <c r="AA47" s="759"/>
      <c r="AB47" s="759"/>
      <c r="AC47" s="759"/>
    </row>
    <row r="48" spans="1:29" ht="15.75" thickBot="1">
      <c r="A48" s="492" t="s">
        <v>2752</v>
      </c>
      <c r="B48" s="493"/>
      <c r="C48" s="494">
        <f>R48</f>
        <v>22385</v>
      </c>
      <c r="D48" s="494"/>
      <c r="E48" s="494"/>
      <c r="F48" s="494"/>
      <c r="G48" s="494"/>
      <c r="H48" s="494"/>
      <c r="I48" s="494"/>
      <c r="J48" s="494"/>
      <c r="K48" s="785"/>
      <c r="L48" s="1146"/>
      <c r="M48" s="1147"/>
      <c r="N48" s="1147"/>
      <c r="O48" s="1147"/>
      <c r="P48" s="3203" t="str">
        <f>A48</f>
        <v>估价对象XX用房的比较价值（楼面单价，元/平方米）</v>
      </c>
      <c r="Q48" s="3204"/>
      <c r="R48" s="3205">
        <f>ROUND(AVERAGE(R47:V47),0)</f>
        <v>22385</v>
      </c>
      <c r="S48" s="3205"/>
      <c r="T48" s="3205"/>
      <c r="U48" s="3205"/>
      <c r="V48" s="3205"/>
      <c r="W48" s="320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f>IF(E46&lt;E47,E47/E46-1,E46/E47-1)</f>
        <v>0.12344878205422272</v>
      </c>
      <c r="F51" s="500" t="str">
        <f>IF(OR(E51&gt;=0.3,E51&lt;=-0.3),"超过30%","")</f>
        <v/>
      </c>
      <c r="G51" s="499">
        <f>IF(G46&lt;G47,G47/G46-1,G46/G47-1)</f>
        <v>0.13326419569362424</v>
      </c>
      <c r="H51" s="500" t="str">
        <f>IF(OR(G51&gt;=0.3,G51&lt;=-0.3),"超过30%","")</f>
        <v/>
      </c>
      <c r="I51" s="499">
        <f>IF(I46&lt;I47,I47/I46-1,I46/I47-1)</f>
        <v>0.12235987087578093</v>
      </c>
      <c r="J51" s="500" t="str">
        <f>IF(OR(I51&gt;=0.3,I51&lt;=-0.3),"超过30%","")</f>
        <v/>
      </c>
      <c r="K51" s="1108"/>
      <c r="L51" s="1109"/>
      <c r="M51" s="1147"/>
      <c r="N51" s="1147"/>
      <c r="O51" s="1147"/>
    </row>
    <row r="52" spans="1:15" ht="13.5" customHeight="1">
      <c r="A52" s="1147"/>
      <c r="B52" s="1147"/>
      <c r="C52" s="497" t="s">
        <v>2667</v>
      </c>
      <c r="D52" s="501"/>
      <c r="E52" s="499">
        <f>IF(E47&lt;G47,G47/E47-1,E47/G47-1)</f>
        <v>1.3765521090080446E-2</v>
      </c>
      <c r="F52" s="500" t="str">
        <f>IF(OR(E52&gt;=0.2,E52&lt;=-0.2),"超过20%","")</f>
        <v/>
      </c>
      <c r="G52" s="499">
        <f>IF(G47&lt;I47,I47/G47-1,G47/I47-1)</f>
        <v>0.10928707622192246</v>
      </c>
      <c r="H52" s="500" t="str">
        <f>IF(OR(G52&gt;=0.2,G52&lt;=-0.2),"超过20%","")</f>
        <v/>
      </c>
      <c r="I52" s="499">
        <f>IF(I47&lt;E47,E47/I47-1,I47/E47-1)</f>
        <v>9.4224505711271167E-2</v>
      </c>
      <c r="J52" s="500" t="str">
        <f>IF(OR(I52&gt;=0.2,I52&lt;=-0.2),"超过20%","")</f>
        <v/>
      </c>
      <c r="K52" s="1108"/>
      <c r="L52" s="1109"/>
      <c r="M52" s="1147"/>
      <c r="N52" s="1147"/>
      <c r="O52" s="1147"/>
    </row>
    <row r="53" spans="1:15" s="502" customFormat="1" ht="13.5" customHeight="1">
      <c r="A53" s="1148"/>
      <c r="B53" s="1148"/>
      <c r="C53" s="497" t="s">
        <v>2668</v>
      </c>
      <c r="D53" s="501"/>
      <c r="E53" s="499">
        <f>IF(E46&lt;G46,G46/E46-1,E46/G46-1)</f>
        <v>4.9851078725144937E-3</v>
      </c>
      <c r="F53" s="500" t="str">
        <f>IF(OR(E53&gt;=0.3,E53&lt;=-0.3),"超过30%","")</f>
        <v/>
      </c>
      <c r="G53" s="499">
        <f>IF(G46&lt;I46,I46/G46-1,G46/I46-1)</f>
        <v>9.861346044783903E-2</v>
      </c>
      <c r="H53" s="500" t="str">
        <f>IF(OR(G53&gt;=0.3,G53&lt;=-0.3),"超过30%","")</f>
        <v/>
      </c>
      <c r="I53" s="499">
        <f>IF(I46&lt;E46,E46/I46-1,I46/E46-1)</f>
        <v>9.3163920382391963E-2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84" t="s">
        <v>2759</v>
      </c>
      <c r="H55" s="3206"/>
      <c r="I55" s="144" t="s">
        <v>2760</v>
      </c>
      <c r="J55" s="2708">
        <f>项目基本情况!F35</f>
        <v>0</v>
      </c>
      <c r="K55" s="2709" t="s">
        <v>2761</v>
      </c>
      <c r="L55" s="1109"/>
      <c r="M55" s="1147"/>
      <c r="N55" s="1147"/>
      <c r="O55" s="1147"/>
    </row>
    <row r="56" spans="1:15" s="692" customFormat="1">
      <c r="A56" s="688" t="s">
        <v>2762</v>
      </c>
      <c r="B56" s="689">
        <f>C48</f>
        <v>22385</v>
      </c>
      <c r="C56" s="690">
        <v>1</v>
      </c>
      <c r="D56" s="1166">
        <v>1</v>
      </c>
      <c r="E56" s="690">
        <f>'数据-汇总表'!E8+'数据-汇总表'!E9</f>
        <v>84498</v>
      </c>
      <c r="F56" s="1106">
        <f t="shared" ref="F56:F65" si="15">ROUND(B56*E56/10000,0)</f>
        <v>189149</v>
      </c>
      <c r="G56" s="3207"/>
      <c r="H56" s="3183"/>
      <c r="I56" s="1111">
        <v>1</v>
      </c>
      <c r="J56" s="1114">
        <v>1</v>
      </c>
      <c r="K56" s="1148"/>
      <c r="L56" s="944"/>
      <c r="M56" s="944"/>
      <c r="N56" s="944"/>
      <c r="O56" s="944"/>
    </row>
    <row r="57" spans="1:15" s="692" customFormat="1">
      <c r="A57" s="693" t="s">
        <v>2763</v>
      </c>
      <c r="B57" s="262">
        <f>ROUND($C$48*C57*D57,0)</f>
        <v>3917</v>
      </c>
      <c r="C57" s="200">
        <f t="shared" ref="C57:C65" si="16">IF($C$55="北京市系数",I57,J57)</f>
        <v>0.7</v>
      </c>
      <c r="D57" s="1167">
        <v>0.25</v>
      </c>
      <c r="E57" s="694">
        <f>'数据-汇总表'!G22</f>
        <v>5963.33</v>
      </c>
      <c r="F57" s="1106">
        <f t="shared" si="15"/>
        <v>2336</v>
      </c>
      <c r="G57" s="3208"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2239</v>
      </c>
      <c r="C58" s="200">
        <f t="shared" si="16"/>
        <v>0.4</v>
      </c>
      <c r="D58" s="1167">
        <v>0.25</v>
      </c>
      <c r="E58" s="694"/>
      <c r="F58" s="1106">
        <f t="shared" si="15"/>
        <v>0</v>
      </c>
      <c r="G58" s="3208"/>
      <c r="H58" s="1107" t="str">
        <f>项目基本情况!B37</f>
        <v>六级</v>
      </c>
      <c r="I58" s="1111">
        <f>SUMIF(修正!A45:A56,H58,修正!C45:C56)</f>
        <v>0.4</v>
      </c>
      <c r="J58" s="1115"/>
      <c r="K58" s="1148"/>
      <c r="L58" s="944"/>
      <c r="M58" s="944"/>
      <c r="N58" s="944"/>
      <c r="O58" s="944"/>
    </row>
    <row r="59" spans="1:15" s="692" customFormat="1">
      <c r="A59" s="693" t="s">
        <v>2766</v>
      </c>
      <c r="B59" s="262">
        <f t="shared" si="17"/>
        <v>1567</v>
      </c>
      <c r="C59" s="200">
        <f t="shared" si="16"/>
        <v>0.28000000000000003</v>
      </c>
      <c r="D59" s="1167">
        <v>0.25</v>
      </c>
      <c r="E59" s="694"/>
      <c r="F59" s="1106">
        <f t="shared" si="15"/>
        <v>0</v>
      </c>
      <c r="G59" s="3208"/>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1399</v>
      </c>
      <c r="C60" s="200">
        <f t="shared" si="16"/>
        <v>0.25</v>
      </c>
      <c r="D60" s="1167">
        <v>0.25</v>
      </c>
      <c r="E60" s="694"/>
      <c r="F60" s="1106">
        <f t="shared" si="15"/>
        <v>0</v>
      </c>
      <c r="G60" s="3208"/>
      <c r="H60" s="1107" t="str">
        <f>项目基本情况!B37</f>
        <v>六级</v>
      </c>
      <c r="I60" s="1111">
        <f>SUMIF(修正!A45:A56,H60,修正!E45:E56)</f>
        <v>0.25</v>
      </c>
      <c r="J60" s="1115"/>
      <c r="K60" s="1148"/>
      <c r="L60" s="944"/>
      <c r="M60" s="944"/>
      <c r="N60" s="944"/>
      <c r="O60" s="944"/>
    </row>
    <row r="61" spans="1:15" s="692" customFormat="1">
      <c r="A61" s="693" t="s">
        <v>2768</v>
      </c>
      <c r="B61" s="262">
        <f t="shared" si="17"/>
        <v>1399</v>
      </c>
      <c r="C61" s="200">
        <f t="shared" si="16"/>
        <v>0.25</v>
      </c>
      <c r="D61" s="1167">
        <v>0.25</v>
      </c>
      <c r="E61" s="261">
        <f>'数据-汇总表'!E11</f>
        <v>285.77999999999997</v>
      </c>
      <c r="F61" s="1106">
        <f t="shared" si="15"/>
        <v>40</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1399</v>
      </c>
      <c r="C62" s="200">
        <f t="shared" si="16"/>
        <v>0.25</v>
      </c>
      <c r="D62" s="1167">
        <v>0.25</v>
      </c>
      <c r="E62" s="261">
        <f>'数据-汇总表'!E12</f>
        <v>1400.8</v>
      </c>
      <c r="F62" s="1106">
        <f t="shared" si="15"/>
        <v>196</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3068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1119</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5" thickBot="1">
      <c r="A65" s="693" t="s">
        <v>2775</v>
      </c>
      <c r="B65" s="262">
        <f t="shared" si="17"/>
        <v>1119</v>
      </c>
      <c r="C65" s="200">
        <f t="shared" si="16"/>
        <v>0.2</v>
      </c>
      <c r="D65" s="1167">
        <v>0.25</v>
      </c>
      <c r="E65" s="261">
        <f>'数据-汇总表'!E15</f>
        <v>19749.8</v>
      </c>
      <c r="F65" s="1106">
        <f t="shared" si="15"/>
        <v>2210</v>
      </c>
      <c r="G65" s="2711" t="s">
        <v>2769</v>
      </c>
      <c r="H65" s="1117" t="str">
        <f>项目基本情况!C37</f>
        <v>六级</v>
      </c>
      <c r="I65" s="1113">
        <f>SUMIF(修正!A45:A56,H65,修正!H45:H56)</f>
        <v>0.2</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111897.71</v>
      </c>
      <c r="F66" s="697">
        <f>IF(B46="楼面地价",SUM(F56:F65),ROUND(C48*E66/10000,0))</f>
        <v>193931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2"/>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3142</v>
      </c>
      <c r="B71" s="332" t="str">
        <f>"北京市平均增长率"&amp;TEXT(SUMIF(基准地价修正!N21:N25,A71,基准地价修正!P21:P25),"0.00%")</f>
        <v>北京市平均增长率2.30%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2962" t="s">
        <v>3145</v>
      </c>
      <c r="D106" s="2962" t="s">
        <v>3146</v>
      </c>
      <c r="E106" s="2962" t="s">
        <v>3147</v>
      </c>
      <c r="F106" s="2962" t="s">
        <v>3148</v>
      </c>
      <c r="G106" s="2962" t="s">
        <v>3149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2558</v>
      </c>
      <c r="B116" s="528" t="s">
        <v>2785</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2786</v>
      </c>
      <c r="C119" s="2963" t="s">
        <v>3150</v>
      </c>
      <c r="D119" s="2963" t="s">
        <v>3151</v>
      </c>
      <c r="E119" s="2963" t="s">
        <v>3152</v>
      </c>
      <c r="F119" s="2963" t="s">
        <v>3153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12</v>
      </c>
    </row>
    <row r="2" spans="1:33" ht="18" customHeight="1">
      <c r="A2" s="245" t="s">
        <v>2325</v>
      </c>
      <c r="B2" s="248">
        <f ca="1">C32</f>
        <v>314019</v>
      </c>
      <c r="C2" s="320" t="s">
        <v>2458</v>
      </c>
      <c r="D2" s="320"/>
      <c r="E2" s="320"/>
      <c r="F2" s="320"/>
      <c r="G2" s="320"/>
      <c r="H2" s="320"/>
      <c r="I2" s="320"/>
      <c r="J2" s="320"/>
      <c r="K2" s="320"/>
    </row>
    <row r="3" spans="1:33" ht="18" customHeight="1" thickBot="1">
      <c r="A3" s="247" t="s">
        <v>2327</v>
      </c>
      <c r="B3" s="248">
        <f ca="1">ROUND(B2*10000/IF(C1="",'数据-汇总表'!E3,INDIRECT("'数据-取费表'!K"&amp;$K$1)),0)</f>
        <v>26435</v>
      </c>
      <c r="C3" s="320" t="s">
        <v>2459</v>
      </c>
      <c r="D3" s="320"/>
      <c r="E3" s="320"/>
      <c r="F3" s="320"/>
      <c r="G3" s="320"/>
      <c r="H3" s="320"/>
      <c r="I3" s="320"/>
      <c r="J3" s="320"/>
      <c r="K3" s="320"/>
    </row>
    <row r="4" spans="1:33" s="959" customFormat="1" ht="16.5" customHeight="1">
      <c r="A4" s="956" t="s">
        <v>2460</v>
      </c>
      <c r="B4" s="957"/>
      <c r="C4" s="999">
        <f ca="1">SUM(C8:K8)</f>
        <v>501515</v>
      </c>
      <c r="D4" s="957"/>
      <c r="E4" s="957"/>
      <c r="F4" s="957"/>
      <c r="G4" s="957"/>
      <c r="H4" s="957"/>
      <c r="I4" s="957"/>
      <c r="J4" s="957"/>
      <c r="K4" s="958"/>
    </row>
    <row r="5" spans="1:33" s="963" customFormat="1" ht="15">
      <c r="A5" s="960" t="s">
        <v>2461</v>
      </c>
      <c r="B5" s="961" t="s">
        <v>2462</v>
      </c>
      <c r="C5" s="2555" t="s">
        <v>3059</v>
      </c>
      <c r="D5" s="2555" t="s">
        <v>3061</v>
      </c>
      <c r="E5" s="2555" t="s">
        <v>3063</v>
      </c>
      <c r="F5" s="2555" t="s">
        <v>3065</v>
      </c>
      <c r="G5" s="2555" t="s">
        <v>3056</v>
      </c>
      <c r="H5" s="2555" t="s">
        <v>3057</v>
      </c>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f>'比较法-办公'!C49</f>
        <v>57492</v>
      </c>
      <c r="D6" s="965">
        <f>C6*0.7</f>
        <v>40244.399999999994</v>
      </c>
      <c r="E6" s="965">
        <f ca="1">收益法地上商业!B3</f>
        <v>39733</v>
      </c>
      <c r="F6" s="965">
        <f ca="1">收益法地下商业!B3</f>
        <v>27677</v>
      </c>
      <c r="G6" s="965">
        <f ca="1">收益法车库!B3</f>
        <v>8047</v>
      </c>
      <c r="H6" s="965">
        <f ca="1">收益法仓储!B3</f>
        <v>8845</v>
      </c>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73762</v>
      </c>
      <c r="D7" s="321">
        <f>SUMIF('数据-汇总表'!$C19:$C33,假设开发法!D5,'数据-汇总表'!$E19:$E33)</f>
        <v>285.77999999999997</v>
      </c>
      <c r="E7" s="321">
        <f>SUMIF('数据-汇总表'!$C19:$C33,假设开发法!E5,'数据-汇总表'!$E19:$E33)</f>
        <v>10736</v>
      </c>
      <c r="F7" s="321">
        <f>SUMIF('数据-汇总表'!$C19:$C33,假设开发法!F5,'数据-汇总表'!$E19:$E33)</f>
        <v>5963.33</v>
      </c>
      <c r="G7" s="321">
        <f>SUMIF('数据-汇总表'!$C19:$C33,假设开发法!G5,'数据-汇总表'!$E19:$E33)</f>
        <v>19749.8</v>
      </c>
      <c r="H7" s="321">
        <f>SUMIF('数据-汇总表'!$C19:$C33,假设开发法!H5,'数据-汇总表'!$E19:$E33)</f>
        <v>1400.8</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2466</v>
      </c>
      <c r="B8" s="177" t="s">
        <v>2467</v>
      </c>
      <c r="C8" s="1000">
        <f>'比较法-办公'!B2</f>
        <v>424072</v>
      </c>
      <c r="D8" s="1000">
        <f>ROUND(D7*D6/10000,0)</f>
        <v>1150</v>
      </c>
      <c r="E8" s="1000">
        <f ca="1">收益法地上商业!B2</f>
        <v>42657</v>
      </c>
      <c r="F8" s="1001">
        <f ca="1">收益法地下商业!B2</f>
        <v>16505</v>
      </c>
      <c r="G8" s="1001">
        <f ca="1">收益法车库!B2</f>
        <v>15892</v>
      </c>
      <c r="H8" s="1001">
        <f ca="1">收益法仓储!B2</f>
        <v>1239</v>
      </c>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28419</v>
      </c>
      <c r="D11" s="976"/>
      <c r="E11" s="375"/>
      <c r="F11" s="977">
        <f ca="1">1-IF('数据-取费表'!B24=0,1,IF(C1="",'数据-取费表'!N16,INDIRECT("'数据-取费表'!n"&amp;$K$1)))</f>
        <v>0.9</v>
      </c>
      <c r="G11" s="8"/>
      <c r="H11" s="971"/>
      <c r="I11" s="971"/>
      <c r="J11" s="971"/>
      <c r="K11" s="972"/>
    </row>
    <row r="12" spans="1:33" s="978" customFormat="1" ht="13.5" customHeight="1">
      <c r="A12" s="974" t="s">
        <v>1335</v>
      </c>
      <c r="B12" s="975" t="s">
        <v>2476</v>
      </c>
      <c r="C12" s="24">
        <f ca="1">ROUND(C11*F12,0)</f>
        <v>853</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0.05</v>
      </c>
      <c r="G13" s="8" t="s">
        <v>2479</v>
      </c>
      <c r="H13" s="971"/>
      <c r="I13" s="971"/>
      <c r="J13" s="971"/>
      <c r="K13" s="972"/>
    </row>
    <row r="14" spans="1:33" s="980" customFormat="1" ht="13.5" customHeight="1">
      <c r="A14" s="974" t="s">
        <v>1337</v>
      </c>
      <c r="B14" s="975" t="s">
        <v>2480</v>
      </c>
      <c r="C14" s="24">
        <f ca="1">ROUND(D14*E14*F11/10000,0)</f>
        <v>2138</v>
      </c>
      <c r="D14" s="1036">
        <f ca="1">IF(C1="",'数据-汇总表'!E3,INDIRECT("'数据-取费表'!K"&amp;$K$1)+INDIRECT("'数据-取费表'!S"&amp;$K$1))</f>
        <v>118787.11</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426</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31836</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118787.11</v>
      </c>
      <c r="E17" s="24">
        <f>'数据-取费表'!B32</f>
        <v>0</v>
      </c>
      <c r="F17" s="981"/>
      <c r="G17" s="140" t="s">
        <v>2486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7"/>
      <c r="H18" s="1579"/>
      <c r="I18" s="2558"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2490</v>
      </c>
      <c r="C20" s="24">
        <f ca="1">ROUND(D20*E20/10000,0)</f>
        <v>2376</v>
      </c>
      <c r="D20" s="1036">
        <f ca="1">IF(C1="",'数据-汇总表'!E6,IF(INDIRECT("'数据-取费表'!c"&amp;$K$1)="住宅",INDIRECT("'数据-取费表'!s"&amp;$K$1),INDIRECT("'数据-取费表'!k"&amp;$K$1)+INDIRECT("'数据-取费表'!s"&amp;$K$1)))</f>
        <v>118787.11</v>
      </c>
      <c r="E20" s="24">
        <f>'数据-取费表'!B28</f>
        <v>200</v>
      </c>
      <c r="F20" s="979"/>
      <c r="G20" s="15"/>
      <c r="H20" s="984"/>
      <c r="I20" s="984"/>
      <c r="J20" s="984"/>
      <c r="K20" s="985"/>
    </row>
    <row r="21" spans="1:33" s="978" customFormat="1" ht="13.5" customHeight="1">
      <c r="A21" s="964" t="s">
        <v>802</v>
      </c>
      <c r="B21" s="988" t="s">
        <v>2491</v>
      </c>
      <c r="C21" s="989">
        <f ca="1">C16+C17+C18</f>
        <v>31836</v>
      </c>
      <c r="D21" s="990"/>
      <c r="E21" s="325"/>
      <c r="F21" s="325"/>
      <c r="G21" s="140" t="s">
        <v>2492</v>
      </c>
      <c r="H21" s="982"/>
      <c r="I21" s="982"/>
      <c r="J21" s="982"/>
      <c r="K21" s="983"/>
    </row>
    <row r="22" spans="1:33" s="978" customFormat="1" ht="13.5" customHeight="1">
      <c r="A22" s="964" t="s">
        <v>2464</v>
      </c>
      <c r="B22" s="988" t="s">
        <v>2493</v>
      </c>
      <c r="C22" s="989">
        <f ca="1">ROUND(C21*F22,0)</f>
        <v>637</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9027</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2479</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0.12659999999999999</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2479</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2504</v>
      </c>
      <c r="B28" s="2560" t="s">
        <v>2505</v>
      </c>
      <c r="C28" s="331">
        <f ca="1">C30</f>
        <v>9130</v>
      </c>
      <c r="D28" s="324">
        <f ca="1">C29</f>
        <v>0.18870000000000001</v>
      </c>
      <c r="E28" s="326" t="s">
        <v>15</v>
      </c>
      <c r="F28" s="332">
        <f ca="1">IF(C1="",'数据-取费表'!Q16,INDIRECT("'数据-取费表'!q"&amp;$K$1))</f>
        <v>0.22</v>
      </c>
      <c r="G28" s="992"/>
      <c r="H28" s="993"/>
      <c r="I28" s="993"/>
      <c r="J28" s="993"/>
      <c r="K28" s="994"/>
    </row>
    <row r="29" spans="1:33" s="335" customFormat="1" ht="13.5" customHeight="1">
      <c r="A29" s="974" t="s">
        <v>803</v>
      </c>
      <c r="B29" s="997" t="s">
        <v>2506</v>
      </c>
      <c r="C29" s="328">
        <f ca="1">ROUND((1+C24)*F28*'数据-取费表'!B24/'数据-取费表'!B20,4)</f>
        <v>0.18870000000000001</v>
      </c>
      <c r="D29" s="328"/>
      <c r="E29" s="329"/>
      <c r="F29" s="334"/>
      <c r="G29" s="140" t="s">
        <v>2507</v>
      </c>
      <c r="H29" s="982"/>
      <c r="I29" s="982"/>
      <c r="J29" s="982"/>
      <c r="K29" s="983"/>
    </row>
    <row r="30" spans="1:33" s="335" customFormat="1" ht="13.5" customHeight="1">
      <c r="A30" s="974" t="s">
        <v>804</v>
      </c>
      <c r="B30" s="997" t="s">
        <v>2508</v>
      </c>
      <c r="C30" s="336">
        <f ca="1">ROUND((C21+C22+C23)*F28,0)</f>
        <v>9130</v>
      </c>
      <c r="D30" s="328"/>
      <c r="E30" s="329"/>
      <c r="F30" s="334"/>
      <c r="G30" s="140"/>
      <c r="H30" s="982"/>
      <c r="I30" s="982"/>
      <c r="J30" s="982"/>
      <c r="K30" s="983"/>
    </row>
    <row r="31" spans="1:33" s="978" customFormat="1" ht="13.5" customHeight="1" thickBot="1">
      <c r="A31" s="2561" t="s">
        <v>2509</v>
      </c>
      <c r="B31" s="1008" t="s">
        <v>2510</v>
      </c>
      <c r="C31" s="1009">
        <f ca="1">ROUND(C4*F31/(1+'数据-取费表'!C42),0)</f>
        <v>26270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314019</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E48" sqref="E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670" t="s">
        <v>2681</v>
      </c>
      <c r="C1" s="1622" t="s">
        <v>2525</v>
      </c>
      <c r="D1" s="1623" t="s">
        <v>3059</v>
      </c>
      <c r="E1" s="1632"/>
      <c r="F1" s="2585" t="s">
        <v>3161</v>
      </c>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f>IF(C2="——",ROUND(C50*D3/10000,0),ROUND(C50*D3/10000,0)-D2)</f>
        <v>424072</v>
      </c>
      <c r="C2" s="2587" t="s">
        <v>70</v>
      </c>
      <c r="D2" s="1368"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57492</v>
      </c>
      <c r="C3" s="400" t="s">
        <v>2639</v>
      </c>
      <c r="D3" s="399">
        <f>IF(D1="",'数据-汇总表'!E3,SUMIF('数据-汇总表'!$C19:$C33,D1,'数据-汇总表'!$E19:$E33))</f>
        <v>73762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84" t="s">
        <v>2641</v>
      </c>
      <c r="D4" s="3185"/>
      <c r="E4" s="3186" t="s">
        <v>2642</v>
      </c>
      <c r="F4" s="3187"/>
      <c r="G4" s="3184" t="s">
        <v>2643</v>
      </c>
      <c r="H4" s="3185"/>
      <c r="I4" s="3184" t="s">
        <v>2644</v>
      </c>
      <c r="J4" s="3185"/>
      <c r="K4" s="610" t="s">
        <v>2645</v>
      </c>
      <c r="L4" s="1133"/>
      <c r="M4" s="1134"/>
      <c r="N4" s="1134"/>
      <c r="O4" s="1134"/>
      <c r="P4" s="3221" t="s">
        <v>2646</v>
      </c>
      <c r="Q4" s="3222"/>
      <c r="R4" s="3210" t="s">
        <v>2642</v>
      </c>
      <c r="S4" s="3211"/>
      <c r="T4" s="3210" t="s">
        <v>2643</v>
      </c>
      <c r="U4" s="3211"/>
      <c r="V4" s="3225" t="s">
        <v>2644</v>
      </c>
      <c r="W4" s="3225"/>
      <c r="X4" s="2671"/>
      <c r="Y4" s="3210" t="s">
        <v>2646</v>
      </c>
      <c r="Z4" s="3211"/>
      <c r="AA4" s="3209" t="s">
        <v>2642</v>
      </c>
      <c r="AB4" s="3209" t="s">
        <v>2643</v>
      </c>
      <c r="AC4" s="3218" t="s">
        <v>2644</v>
      </c>
    </row>
    <row r="5" spans="1:29" ht="15" customHeight="1">
      <c r="A5" s="404"/>
      <c r="B5" s="405"/>
      <c r="C5" s="3177" t="s">
        <v>2537</v>
      </c>
      <c r="D5" s="3178"/>
      <c r="E5" s="3212" t="s">
        <v>3191</v>
      </c>
      <c r="F5" s="3213"/>
      <c r="G5" s="3214" t="s">
        <v>3192</v>
      </c>
      <c r="H5" s="3215"/>
      <c r="I5" s="3214" t="s">
        <v>3190</v>
      </c>
      <c r="J5" s="3215"/>
      <c r="K5" s="610"/>
      <c r="L5" s="1133"/>
      <c r="M5" s="1134"/>
      <c r="N5" s="1134"/>
      <c r="O5" s="1134"/>
      <c r="P5" s="3223"/>
      <c r="Q5" s="3191"/>
      <c r="R5" s="3173"/>
      <c r="S5" s="3174"/>
      <c r="T5" s="3173"/>
      <c r="U5" s="3174"/>
      <c r="V5" s="3196"/>
      <c r="W5" s="3196"/>
      <c r="X5" s="1814"/>
      <c r="Y5" s="3173"/>
      <c r="Z5" s="3174"/>
      <c r="AA5" s="3167"/>
      <c r="AB5" s="3167"/>
      <c r="AC5" s="3219"/>
    </row>
    <row r="6" spans="1:29" ht="33" customHeight="1" thickBot="1">
      <c r="A6" s="406"/>
      <c r="B6" s="407"/>
      <c r="C6" s="3179" t="s">
        <v>2541</v>
      </c>
      <c r="D6" s="3180"/>
      <c r="E6" s="3216"/>
      <c r="F6" s="3182"/>
      <c r="G6" s="3217"/>
      <c r="H6" s="3180"/>
      <c r="I6" s="3217"/>
      <c r="J6" s="3180"/>
      <c r="K6" s="610" t="s">
        <v>2542</v>
      </c>
      <c r="L6" s="1133"/>
      <c r="M6" s="1134"/>
      <c r="N6" s="1134"/>
      <c r="O6" s="1134"/>
      <c r="P6" s="3224"/>
      <c r="Q6" s="3193"/>
      <c r="R6" s="3173"/>
      <c r="S6" s="3174"/>
      <c r="T6" s="3194"/>
      <c r="U6" s="3195"/>
      <c r="V6" s="3196"/>
      <c r="W6" s="3196"/>
      <c r="X6" s="1814"/>
      <c r="Y6" s="3194"/>
      <c r="Z6" s="3195"/>
      <c r="AA6" s="3168"/>
      <c r="AB6" s="3168"/>
      <c r="AC6" s="3220"/>
    </row>
    <row r="7" spans="1:29" s="117" customFormat="1" ht="15.75" thickBot="1">
      <c r="A7" s="408" t="s">
        <v>2543</v>
      </c>
      <c r="B7" s="409"/>
      <c r="C7" s="410">
        <f>'数据-取费表'!B2</f>
        <v>43142</v>
      </c>
      <c r="D7" s="411">
        <v>100</v>
      </c>
      <c r="E7" s="412">
        <v>43101</v>
      </c>
      <c r="F7" s="413">
        <f>SUMIF(59:59,YEAR(E7)&amp;"-"&amp;MONTH(E7),60:60)</f>
        <v>99</v>
      </c>
      <c r="G7" s="2697">
        <v>43070</v>
      </c>
      <c r="H7" s="411">
        <f>SUMIF(59:59,YEAR(G7)&amp;"-"&amp;MONTH(G7),60:60)</f>
        <v>98</v>
      </c>
      <c r="I7" s="2697">
        <v>43101</v>
      </c>
      <c r="J7" s="411">
        <f>SUMIF(59:59,YEAR(I7)&amp;"-"&amp;MONTH(I7),60:60)</f>
        <v>99</v>
      </c>
      <c r="K7" s="611"/>
      <c r="L7" s="1135"/>
      <c r="M7" s="1136"/>
      <c r="N7" s="1136"/>
      <c r="O7" s="1136"/>
      <c r="P7" s="3226" t="s">
        <v>2544</v>
      </c>
      <c r="Q7" s="3197"/>
      <c r="R7" s="770" t="s">
        <v>17</v>
      </c>
      <c r="S7" s="771">
        <f t="shared" ref="S7:S15" si="0">F7</f>
        <v>99</v>
      </c>
      <c r="T7" s="770" t="s">
        <v>17</v>
      </c>
      <c r="U7" s="771">
        <f t="shared" ref="U7:U15" si="1">H7</f>
        <v>98</v>
      </c>
      <c r="V7" s="770" t="s">
        <v>17</v>
      </c>
      <c r="W7" s="771">
        <f t="shared" ref="W7:W15" si="2">J7</f>
        <v>99</v>
      </c>
      <c r="X7" s="772"/>
      <c r="Y7" s="3169" t="s">
        <v>2544</v>
      </c>
      <c r="Z7" s="3170"/>
      <c r="AA7" s="773">
        <f>D7/F7</f>
        <v>1.0101010101010102</v>
      </c>
      <c r="AB7" s="773">
        <f>D7/H7</f>
        <v>1.0204081632653061</v>
      </c>
      <c r="AC7" s="2672">
        <f>D7/J7</f>
        <v>1.0101010101010102</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35"/>
      <c r="M8" s="1136"/>
      <c r="N8" s="1136"/>
      <c r="O8" s="1136"/>
      <c r="P8" s="3226" t="s">
        <v>2547</v>
      </c>
      <c r="Q8" s="3170"/>
      <c r="R8" s="770" t="s">
        <v>17</v>
      </c>
      <c r="S8" s="771">
        <f t="shared" si="0"/>
        <v>100</v>
      </c>
      <c r="T8" s="770" t="s">
        <v>17</v>
      </c>
      <c r="U8" s="771">
        <f t="shared" si="1"/>
        <v>100</v>
      </c>
      <c r="V8" s="770" t="s">
        <v>17</v>
      </c>
      <c r="W8" s="771">
        <f t="shared" si="2"/>
        <v>100</v>
      </c>
      <c r="X8" s="772"/>
      <c r="Y8" s="3169" t="s">
        <v>2547</v>
      </c>
      <c r="Z8" s="3170"/>
      <c r="AA8" s="773">
        <f t="shared" ref="AA8:AA47" si="3">D8/F8</f>
        <v>1</v>
      </c>
      <c r="AB8" s="773">
        <f t="shared" ref="AB8:AB47" si="4">D8/H8</f>
        <v>1</v>
      </c>
      <c r="AC8" s="2672">
        <f t="shared" ref="AC8:AC47" si="5">D8/J8</f>
        <v>1</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2550</v>
      </c>
      <c r="Q9" s="1796"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72">
        <f t="shared" si="5"/>
        <v>1</v>
      </c>
    </row>
    <row r="11" spans="1:29" ht="15">
      <c r="A11" s="428"/>
      <c r="B11" s="422" t="s">
        <v>2553</v>
      </c>
      <c r="C11" s="429">
        <f>'数据-汇总表'!I7</f>
        <v>9.44</v>
      </c>
      <c r="D11" s="136">
        <v>100</v>
      </c>
      <c r="E11" s="2969">
        <f>117609/13620</f>
        <v>8.6350220264317183</v>
      </c>
      <c r="F11" s="136">
        <f>LOOKUP(E11,69:69,70:70)-LOOKUP(C11,69:69,70:70)+100</f>
        <v>101</v>
      </c>
      <c r="G11" s="2970">
        <v>7.5</v>
      </c>
      <c r="H11" s="136">
        <f>LOOKUP(G11,69:69,70:70)-LOOKUP(C11,69:69,70:70)+100</f>
        <v>102</v>
      </c>
      <c r="I11" s="2969">
        <v>3.9</v>
      </c>
      <c r="J11" s="136">
        <f>LOOKUP(I11,69:69,70:70)-LOOKUP(C11,69:69,70:70)+100</f>
        <v>106</v>
      </c>
      <c r="K11" s="612">
        <f>'土地比较法-住宅、综合'!K11</f>
        <v>1</v>
      </c>
      <c r="L11" s="1141"/>
      <c r="M11" s="1134"/>
      <c r="N11" s="1134"/>
      <c r="O11" s="1134"/>
      <c r="P11" s="3207"/>
      <c r="Q11" s="1796" t="str">
        <f t="shared" si="6"/>
        <v>容积率</v>
      </c>
      <c r="R11" s="770" t="s">
        <v>17</v>
      </c>
      <c r="S11" s="771">
        <f t="shared" si="0"/>
        <v>101</v>
      </c>
      <c r="T11" s="770" t="s">
        <v>17</v>
      </c>
      <c r="U11" s="771">
        <f t="shared" si="1"/>
        <v>102</v>
      </c>
      <c r="V11" s="770" t="s">
        <v>17</v>
      </c>
      <c r="W11" s="771">
        <f t="shared" si="2"/>
        <v>106</v>
      </c>
      <c r="X11" s="772"/>
      <c r="Y11" s="3043"/>
      <c r="Z11" s="55" t="str">
        <f t="shared" si="7"/>
        <v>容积率</v>
      </c>
      <c r="AA11" s="773">
        <f t="shared" si="3"/>
        <v>0.99009900990099009</v>
      </c>
      <c r="AB11" s="773">
        <f t="shared" si="4"/>
        <v>0.98039215686274506</v>
      </c>
      <c r="AC11" s="2672">
        <f t="shared" si="5"/>
        <v>0.94339622641509435</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7"/>
      <c r="Q12" s="1796">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7"/>
      <c r="Q13" s="1796">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7"/>
      <c r="Q14" s="1796">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2">
        <f t="shared" si="5"/>
        <v>1</v>
      </c>
    </row>
    <row r="15" spans="1:29" ht="85.5">
      <c r="A15" s="440" t="s">
        <v>2554</v>
      </c>
      <c r="B15" s="629" t="s">
        <v>2682</v>
      </c>
      <c r="C15" s="2674" t="str">
        <f>估价对象房地状况!C5</f>
        <v>估价对象位于通州运河核心区，周边办公楼项目数量一般，入驻率一般，办公集聚程度一般。</v>
      </c>
      <c r="D15" s="441">
        <v>100</v>
      </c>
      <c r="E15" s="444"/>
      <c r="F15" s="441">
        <f>SUMIF(77:77,E16,78:78)-SUMIF(77:77,C16,78:78)+100</f>
        <v>101</v>
      </c>
      <c r="G15" s="442"/>
      <c r="H15" s="441">
        <f>SUMIF(77:77,G16,78:78)-SUMIF(77:77,C16,78:78)+100</f>
        <v>100</v>
      </c>
      <c r="I15" s="2973" t="s">
        <v>3193</v>
      </c>
      <c r="J15" s="441">
        <f>SUMIF(77:77,I16,78:78)-SUMIF(77:77,C16,78:78)+100</f>
        <v>101</v>
      </c>
      <c r="K15" s="614">
        <v>1</v>
      </c>
      <c r="L15" s="1143"/>
      <c r="M15" s="1134"/>
      <c r="N15" s="1134"/>
      <c r="O15" s="1134"/>
      <c r="P15" s="3227" t="s">
        <v>2555</v>
      </c>
      <c r="Q15" s="1811" t="str">
        <f t="shared" si="6"/>
        <v>办公集聚程度</v>
      </c>
      <c r="R15" s="774" t="s">
        <v>17</v>
      </c>
      <c r="S15" s="775">
        <f t="shared" si="0"/>
        <v>101</v>
      </c>
      <c r="T15" s="774" t="s">
        <v>17</v>
      </c>
      <c r="U15" s="775">
        <f t="shared" si="1"/>
        <v>100</v>
      </c>
      <c r="V15" s="774" t="s">
        <v>17</v>
      </c>
      <c r="W15" s="775">
        <f t="shared" si="2"/>
        <v>101</v>
      </c>
      <c r="X15" s="1814"/>
      <c r="Y15" s="3198" t="s">
        <v>2555</v>
      </c>
      <c r="Z15" s="1815" t="str">
        <f t="shared" si="7"/>
        <v>办公集聚程度</v>
      </c>
      <c r="AA15" s="1812">
        <f t="shared" si="3"/>
        <v>0.99009900990099009</v>
      </c>
      <c r="AB15" s="1812">
        <f t="shared" si="4"/>
        <v>1</v>
      </c>
      <c r="AC15" s="2675">
        <f t="shared" si="5"/>
        <v>0.99009900990099009</v>
      </c>
    </row>
    <row r="16" spans="1:29" ht="15">
      <c r="A16" s="428"/>
      <c r="B16" s="630"/>
      <c r="C16" s="2612" t="s">
        <v>3138</v>
      </c>
      <c r="D16" s="448"/>
      <c r="E16" s="2612" t="s">
        <v>3140</v>
      </c>
      <c r="F16" s="448"/>
      <c r="G16" s="2612" t="s">
        <v>3138</v>
      </c>
      <c r="H16" s="450"/>
      <c r="I16" s="2612" t="s">
        <v>3140</v>
      </c>
      <c r="J16" s="448"/>
      <c r="K16" s="615"/>
      <c r="L16" s="1143"/>
      <c r="M16" s="1134"/>
      <c r="N16" s="1134"/>
      <c r="O16" s="1134"/>
      <c r="P16" s="3228"/>
      <c r="Q16" s="1811"/>
      <c r="R16" s="774"/>
      <c r="S16" s="775"/>
      <c r="T16" s="774"/>
      <c r="U16" s="775"/>
      <c r="V16" s="774"/>
      <c r="W16" s="775"/>
      <c r="X16" s="1814"/>
      <c r="Y16" s="3199"/>
      <c r="Z16" s="1815"/>
      <c r="AA16" s="1812">
        <v>1</v>
      </c>
      <c r="AB16" s="1812">
        <v>1</v>
      </c>
      <c r="AC16" s="2675">
        <v>1</v>
      </c>
    </row>
    <row r="17" spans="1:29" ht="99.75">
      <c r="A17" s="428"/>
      <c r="B17" s="631" t="s">
        <v>2094</v>
      </c>
      <c r="C17" s="2676" t="str">
        <f>估价对象房地状况!C6</f>
        <v>附近主要有317路、552路、809、通49路等公交线路，紧邻地铁6号线，路网密集度较好，交通便捷度较好。</v>
      </c>
      <c r="D17" s="450">
        <v>100</v>
      </c>
      <c r="E17" s="452" t="s">
        <v>3194</v>
      </c>
      <c r="F17" s="450">
        <f>SUMIF(79:79,E18,80:80)-SUMIF(79:79,C18,80:80)+100</f>
        <v>100</v>
      </c>
      <c r="G17" s="452" t="s">
        <v>3195</v>
      </c>
      <c r="H17" s="455">
        <f>SUMIF(79:79,G18,80:80)-SUMIF(79:79,C18,80:80)+100</f>
        <v>100</v>
      </c>
      <c r="I17" s="452" t="s">
        <v>3194</v>
      </c>
      <c r="J17" s="455">
        <f>SUMIF(79:79,I18,80:80)-SUMIF(79:79,C18,80:80)+100</f>
        <v>100</v>
      </c>
      <c r="K17" s="614">
        <v>1</v>
      </c>
      <c r="L17" s="1143"/>
      <c r="M17" s="1134"/>
      <c r="N17" s="1134"/>
      <c r="O17" s="1134"/>
      <c r="P17" s="3228"/>
      <c r="Q17" s="1811" t="str">
        <f>B17</f>
        <v>交通便捷度</v>
      </c>
      <c r="R17" s="774" t="s">
        <v>17</v>
      </c>
      <c r="S17" s="775">
        <f>F17</f>
        <v>100</v>
      </c>
      <c r="T17" s="774" t="s">
        <v>17</v>
      </c>
      <c r="U17" s="775">
        <f>H17</f>
        <v>100</v>
      </c>
      <c r="V17" s="774" t="s">
        <v>17</v>
      </c>
      <c r="W17" s="775">
        <f>J17</f>
        <v>100</v>
      </c>
      <c r="X17" s="1814"/>
      <c r="Y17" s="3199"/>
      <c r="Z17" s="1815" t="str">
        <f>Q17</f>
        <v>交通便捷度</v>
      </c>
      <c r="AA17" s="1812">
        <f t="shared" si="3"/>
        <v>1</v>
      </c>
      <c r="AB17" s="1812">
        <f t="shared" si="4"/>
        <v>1</v>
      </c>
      <c r="AC17" s="2675">
        <f t="shared" si="5"/>
        <v>1</v>
      </c>
    </row>
    <row r="18" spans="1:29" ht="15">
      <c r="A18" s="428"/>
      <c r="B18" s="632"/>
      <c r="C18" s="2677" t="s">
        <v>3140</v>
      </c>
      <c r="D18" s="450"/>
      <c r="E18" s="2677" t="s">
        <v>3140</v>
      </c>
      <c r="F18" s="450"/>
      <c r="G18" s="2677" t="s">
        <v>3140</v>
      </c>
      <c r="H18" s="448"/>
      <c r="I18" s="2677" t="s">
        <v>3140</v>
      </c>
      <c r="J18" s="448"/>
      <c r="K18" s="615"/>
      <c r="L18" s="1143"/>
      <c r="M18" s="1134"/>
      <c r="N18" s="1134"/>
      <c r="O18" s="1134"/>
      <c r="P18" s="3228"/>
      <c r="Q18" s="1811"/>
      <c r="R18" s="774"/>
      <c r="S18" s="775"/>
      <c r="T18" s="774"/>
      <c r="U18" s="775"/>
      <c r="V18" s="774"/>
      <c r="W18" s="775"/>
      <c r="X18" s="1814"/>
      <c r="Y18" s="3199"/>
      <c r="Z18" s="1815"/>
      <c r="AA18" s="1812">
        <v>1</v>
      </c>
      <c r="AB18" s="1812">
        <v>1</v>
      </c>
      <c r="AC18" s="2675">
        <v>1</v>
      </c>
    </row>
    <row r="19" spans="1:29" ht="149.25">
      <c r="A19" s="428"/>
      <c r="B19" s="631" t="s">
        <v>2683</v>
      </c>
      <c r="C19" s="2676" t="str">
        <f>估价对象房地状况!C7</f>
        <v>估价对象周边有银行（兴业银行（北京通州运河支行）等）、医院（北京京通医院等）、超市（隆品源超市等）、学校（北京通州芙蓉小学等），公共配套设施齐备情况较好。</v>
      </c>
      <c r="D19" s="455">
        <v>100</v>
      </c>
      <c r="E19" s="2974" t="s">
        <v>3196</v>
      </c>
      <c r="F19" s="455">
        <f>SUMIF(81:81,E20,82:82)-SUMIF(81:81,C20,82:82)+100</f>
        <v>100</v>
      </c>
      <c r="G19" s="457" t="s">
        <v>3198</v>
      </c>
      <c r="H19" s="450">
        <f>SUMIF(81:81,G20,82:82)-SUMIF(81:81,C20,82:82)+100</f>
        <v>100</v>
      </c>
      <c r="I19" s="2974" t="s">
        <v>3197</v>
      </c>
      <c r="J19" s="450">
        <f>SUMIF(81:81,I20,82:82)-SUMIF(81:81,C20,82:82)+100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199"/>
      <c r="Z19" s="1815" t="str">
        <f>Q19</f>
        <v>公共配套设施</v>
      </c>
      <c r="AA19" s="1812">
        <f t="shared" si="3"/>
        <v>1</v>
      </c>
      <c r="AB19" s="1812">
        <f t="shared" si="4"/>
        <v>1</v>
      </c>
      <c r="AC19" s="2675">
        <f t="shared" si="5"/>
        <v>1</v>
      </c>
    </row>
    <row r="20" spans="1:29" ht="15">
      <c r="A20" s="428"/>
      <c r="B20" s="632"/>
      <c r="C20" s="2612" t="s">
        <v>3140</v>
      </c>
      <c r="D20" s="448"/>
      <c r="E20" s="2612" t="s">
        <v>3140</v>
      </c>
      <c r="F20" s="448"/>
      <c r="G20" s="2612" t="s">
        <v>3140</v>
      </c>
      <c r="H20" s="448"/>
      <c r="I20" s="2612" t="s">
        <v>3140</v>
      </c>
      <c r="J20" s="448"/>
      <c r="K20" s="615"/>
      <c r="L20" s="1143"/>
      <c r="M20" s="1134"/>
      <c r="N20" s="1134"/>
      <c r="O20" s="1134"/>
      <c r="P20" s="3228"/>
      <c r="Q20" s="1811"/>
      <c r="R20" s="774"/>
      <c r="S20" s="775"/>
      <c r="T20" s="774"/>
      <c r="U20" s="775"/>
      <c r="V20" s="774"/>
      <c r="W20" s="775"/>
      <c r="X20" s="1814"/>
      <c r="Y20" s="3199"/>
      <c r="Z20" s="1815"/>
      <c r="AA20" s="1812">
        <v>1</v>
      </c>
      <c r="AB20" s="1812">
        <v>1</v>
      </c>
      <c r="AC20" s="2675">
        <v>1</v>
      </c>
    </row>
    <row r="21" spans="1:29" ht="15">
      <c r="A21" s="428"/>
      <c r="B21" s="633" t="s">
        <v>2684</v>
      </c>
      <c r="C21" s="267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199"/>
      <c r="Z21" s="1815" t="str">
        <f>Q21</f>
        <v>基础设施水平</v>
      </c>
      <c r="AA21" s="1812">
        <f t="shared" ref="AA21" si="8">D21/F21</f>
        <v>1</v>
      </c>
      <c r="AB21" s="1812">
        <f t="shared" ref="AB21" si="9">D21/H21</f>
        <v>1</v>
      </c>
      <c r="AC21" s="2675">
        <f t="shared" ref="AC21" si="10">D21/J21</f>
        <v>1</v>
      </c>
    </row>
    <row r="22" spans="1:29" ht="15">
      <c r="A22" s="428"/>
      <c r="B22" s="633"/>
      <c r="C22" s="2677" t="s">
        <v>3144</v>
      </c>
      <c r="D22" s="448"/>
      <c r="E22" s="2677" t="s">
        <v>3144</v>
      </c>
      <c r="F22" s="448"/>
      <c r="G22" s="2677" t="s">
        <v>3144</v>
      </c>
      <c r="H22" s="448"/>
      <c r="I22" s="2677" t="s">
        <v>3144</v>
      </c>
      <c r="J22" s="448"/>
      <c r="K22" s="1386"/>
      <c r="L22" s="1143"/>
      <c r="M22" s="1134"/>
      <c r="N22" s="1134"/>
      <c r="O22" s="1134"/>
      <c r="P22" s="3228"/>
      <c r="Q22" s="1811"/>
      <c r="R22" s="774"/>
      <c r="S22" s="775"/>
      <c r="T22" s="774"/>
      <c r="U22" s="775"/>
      <c r="V22" s="774"/>
      <c r="W22" s="775"/>
      <c r="X22" s="1814"/>
      <c r="Y22" s="3199"/>
      <c r="Z22" s="1815"/>
      <c r="AA22" s="1812">
        <v>1</v>
      </c>
      <c r="AB22" s="1812">
        <v>1</v>
      </c>
      <c r="AC22" s="2675">
        <v>1</v>
      </c>
    </row>
    <row r="23" spans="1:29" ht="121.5">
      <c r="A23" s="428"/>
      <c r="B23" s="631" t="s">
        <v>2685</v>
      </c>
      <c r="C23" s="2676" t="str">
        <f>估价对象房地状况!C9</f>
        <v>估价对象周边有水系、运河奥体公园，自然环境较好；周边有大运河美术馆等人文设施，人文环境较好；综合评价环境状况较好。</v>
      </c>
      <c r="D23" s="450">
        <v>100</v>
      </c>
      <c r="E23" s="2961" t="s">
        <v>3199</v>
      </c>
      <c r="F23" s="450">
        <f>SUMIF(85:85,E24,86:86)-SUMIF(85:85,C24,86:86)+100</f>
        <v>100</v>
      </c>
      <c r="G23" s="452"/>
      <c r="H23" s="450">
        <f>SUMIF(85:85,G24,86:86)-SUMIF(85:85,C24,86:86)+100</f>
        <v>100</v>
      </c>
      <c r="I23" s="2961" t="s">
        <v>3200</v>
      </c>
      <c r="J23" s="450">
        <f>SUMIF(85:85,I24,86:86)-SUMIF(85:85,C24,86:86)+100</f>
        <v>100</v>
      </c>
      <c r="K23" s="614"/>
      <c r="L23" s="1143"/>
      <c r="M23" s="1134"/>
      <c r="N23" s="1134"/>
      <c r="O23" s="1134"/>
      <c r="P23" s="3228"/>
      <c r="Q23" s="1811" t="str">
        <f>B23</f>
        <v>环境质量</v>
      </c>
      <c r="R23" s="774" t="s">
        <v>17</v>
      </c>
      <c r="S23" s="775">
        <f>F23</f>
        <v>100</v>
      </c>
      <c r="T23" s="774" t="s">
        <v>17</v>
      </c>
      <c r="U23" s="775">
        <f>H23</f>
        <v>100</v>
      </c>
      <c r="V23" s="774" t="s">
        <v>17</v>
      </c>
      <c r="W23" s="775">
        <f>J23</f>
        <v>100</v>
      </c>
      <c r="X23" s="1814"/>
      <c r="Y23" s="3199"/>
      <c r="Z23" s="1815" t="str">
        <f>Q23</f>
        <v>环境质量</v>
      </c>
      <c r="AA23" s="1812">
        <f t="shared" si="3"/>
        <v>1</v>
      </c>
      <c r="AB23" s="1812">
        <f t="shared" si="4"/>
        <v>1</v>
      </c>
      <c r="AC23" s="2675">
        <f t="shared" si="5"/>
        <v>1</v>
      </c>
    </row>
    <row r="24" spans="1:29" ht="15">
      <c r="A24" s="428"/>
      <c r="B24" s="633"/>
      <c r="C24" s="2612" t="s">
        <v>3140</v>
      </c>
      <c r="D24" s="448"/>
      <c r="E24" s="2612" t="s">
        <v>3140</v>
      </c>
      <c r="F24" s="448"/>
      <c r="G24" s="2612" t="s">
        <v>3140</v>
      </c>
      <c r="H24" s="448"/>
      <c r="I24" s="2612" t="s">
        <v>3140</v>
      </c>
      <c r="J24" s="448"/>
      <c r="K24" s="615"/>
      <c r="L24" s="1143"/>
      <c r="M24" s="1134"/>
      <c r="N24" s="1134"/>
      <c r="O24" s="1134"/>
      <c r="P24" s="3228"/>
      <c r="Q24" s="1811"/>
      <c r="R24" s="774"/>
      <c r="S24" s="775"/>
      <c r="T24" s="774"/>
      <c r="U24" s="775"/>
      <c r="V24" s="774"/>
      <c r="W24" s="775"/>
      <c r="X24" s="1814"/>
      <c r="Y24" s="3199"/>
      <c r="Z24" s="1815"/>
      <c r="AA24" s="1812">
        <v>1</v>
      </c>
      <c r="AB24" s="1812">
        <v>1</v>
      </c>
      <c r="AC24" s="2675">
        <v>1</v>
      </c>
    </row>
    <row r="25" spans="1:29" ht="28.5">
      <c r="A25" s="404"/>
      <c r="B25" s="631" t="s">
        <v>2686</v>
      </c>
      <c r="C25" s="2616" t="str">
        <f>估价对象房地状况!C10</f>
        <v>城市支路——永顺南街</v>
      </c>
      <c r="D25" s="435">
        <v>100</v>
      </c>
      <c r="E25" s="2968"/>
      <c r="F25" s="435">
        <f>SUMIF(87:87,E26,88:88)-SUMIF(87:87,C26,88:88)+100</f>
        <v>102</v>
      </c>
      <c r="G25" s="2968"/>
      <c r="H25" s="435">
        <f>SUMIF(87:87,G26,88:88)-SUMIF(87:87,C26,88:88)+100</f>
        <v>102</v>
      </c>
      <c r="I25" s="2968"/>
      <c r="J25" s="435">
        <f>SUMIF(87:87,I26,88:88)-SUMIF(87:87,C26,88:88)+100</f>
        <v>102</v>
      </c>
      <c r="K25" s="614">
        <v>1</v>
      </c>
      <c r="L25" s="1143"/>
      <c r="M25" s="1134"/>
      <c r="N25" s="1134"/>
      <c r="O25" s="1134"/>
      <c r="P25" s="3228"/>
      <c r="Q25" s="1811" t="str">
        <f>B25</f>
        <v>毗邻道路的类型与等级</v>
      </c>
      <c r="R25" s="774" t="s">
        <v>17</v>
      </c>
      <c r="S25" s="775">
        <f>F25</f>
        <v>102</v>
      </c>
      <c r="T25" s="774" t="s">
        <v>17</v>
      </c>
      <c r="U25" s="775">
        <f>H25</f>
        <v>102</v>
      </c>
      <c r="V25" s="774" t="s">
        <v>17</v>
      </c>
      <c r="W25" s="775">
        <f>J25</f>
        <v>102</v>
      </c>
      <c r="X25" s="1814"/>
      <c r="Y25" s="3199"/>
      <c r="Z25" s="1815" t="str">
        <f>Q25</f>
        <v>毗邻道路的类型与等级</v>
      </c>
      <c r="AA25" s="1812">
        <f t="shared" si="3"/>
        <v>0.98039215686274506</v>
      </c>
      <c r="AB25" s="1812">
        <f t="shared" si="4"/>
        <v>0.98039215686274506</v>
      </c>
      <c r="AC25" s="2675">
        <f t="shared" si="5"/>
        <v>0.98039215686274506</v>
      </c>
    </row>
    <row r="26" spans="1:29" ht="15">
      <c r="A26" s="404"/>
      <c r="B26" s="632"/>
      <c r="C26" s="634" t="s">
        <v>3154</v>
      </c>
      <c r="D26" s="435"/>
      <c r="E26" s="634" t="s">
        <v>3155</v>
      </c>
      <c r="F26" s="435"/>
      <c r="G26" s="634" t="s">
        <v>3155</v>
      </c>
      <c r="H26" s="435"/>
      <c r="I26" s="634" t="s">
        <v>3155</v>
      </c>
      <c r="J26" s="435"/>
      <c r="K26" s="615"/>
      <c r="L26" s="1143"/>
      <c r="M26" s="1134"/>
      <c r="N26" s="1134"/>
      <c r="O26" s="1134"/>
      <c r="P26" s="3228"/>
      <c r="Q26" s="1811"/>
      <c r="R26" s="774"/>
      <c r="S26" s="775"/>
      <c r="T26" s="774"/>
      <c r="U26" s="775"/>
      <c r="V26" s="774"/>
      <c r="W26" s="775"/>
      <c r="X26" s="1814"/>
      <c r="Y26" s="3199"/>
      <c r="Z26" s="1815"/>
      <c r="AA26" s="1812">
        <v>1</v>
      </c>
      <c r="AB26" s="1812">
        <v>1</v>
      </c>
      <c r="AC26" s="2675">
        <v>1</v>
      </c>
    </row>
    <row r="27" spans="1:29" ht="15">
      <c r="A27" s="428"/>
      <c r="B27" s="632" t="s">
        <v>2654</v>
      </c>
      <c r="C27" s="634" t="s">
        <v>3219</v>
      </c>
      <c r="D27" s="435">
        <v>100</v>
      </c>
      <c r="E27" s="616" t="s">
        <v>3219</v>
      </c>
      <c r="F27" s="435">
        <f>SUMIF(89:89,E27,90:90)-SUMIF(89:89,C27,90:90)+100</f>
        <v>100</v>
      </c>
      <c r="G27" s="634" t="s">
        <v>3220</v>
      </c>
      <c r="H27" s="435">
        <f>SUMIF(89:89,G27,90:90)-SUMIF(89:89,C27,90:90)+100</f>
        <v>95</v>
      </c>
      <c r="I27" s="616" t="s">
        <v>3220</v>
      </c>
      <c r="J27" s="435">
        <f>SUMIF(89:89,I27,90:90)-SUMIF(89:89,C27,90:90)+100</f>
        <v>95</v>
      </c>
      <c r="K27" s="612">
        <v>5</v>
      </c>
      <c r="L27" s="1143"/>
      <c r="M27" s="1134"/>
      <c r="N27" s="1134"/>
      <c r="O27" s="1134"/>
      <c r="P27" s="3228"/>
      <c r="Q27" s="1811" t="str">
        <f t="shared" ref="Q27:Q47" si="11">B27</f>
        <v>楼层</v>
      </c>
      <c r="R27" s="774" t="s">
        <v>17</v>
      </c>
      <c r="S27" s="775">
        <f>F27</f>
        <v>100</v>
      </c>
      <c r="T27" s="774" t="s">
        <v>17</v>
      </c>
      <c r="U27" s="775">
        <f>H27</f>
        <v>95</v>
      </c>
      <c r="V27" s="774" t="s">
        <v>17</v>
      </c>
      <c r="W27" s="775">
        <f>J27</f>
        <v>95</v>
      </c>
      <c r="X27" s="1814"/>
      <c r="Y27" s="3199"/>
      <c r="Z27" s="1815" t="str">
        <f>Q27</f>
        <v>楼层</v>
      </c>
      <c r="AA27" s="1812">
        <f t="shared" si="3"/>
        <v>1</v>
      </c>
      <c r="AB27" s="1812">
        <f t="shared" si="4"/>
        <v>1.0526315789473684</v>
      </c>
      <c r="AC27" s="2675">
        <f t="shared" si="5"/>
        <v>1.0526315789473684</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8"/>
      <c r="Q28" s="1796" t="str">
        <f t="shared" si="11"/>
        <v>朝向</v>
      </c>
      <c r="R28" s="770" t="s">
        <v>17</v>
      </c>
      <c r="S28" s="771">
        <f>F28</f>
        <v>100</v>
      </c>
      <c r="T28" s="770" t="s">
        <v>17</v>
      </c>
      <c r="U28" s="771">
        <f>H28</f>
        <v>100</v>
      </c>
      <c r="V28" s="770" t="s">
        <v>17</v>
      </c>
      <c r="W28" s="771">
        <f>J28</f>
        <v>100</v>
      </c>
      <c r="X28" s="772"/>
      <c r="Y28" s="3199"/>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8"/>
      <c r="Q29" s="1811">
        <f t="shared" si="11"/>
        <v>111</v>
      </c>
      <c r="R29" s="774" t="s">
        <v>17</v>
      </c>
      <c r="S29" s="775">
        <f t="shared" ref="S29:S47" si="12">F29</f>
        <v>100</v>
      </c>
      <c r="T29" s="774" t="s">
        <v>17</v>
      </c>
      <c r="U29" s="775">
        <f t="shared" ref="U29:U47" si="13">H29</f>
        <v>100</v>
      </c>
      <c r="V29" s="774" t="s">
        <v>17</v>
      </c>
      <c r="W29" s="775">
        <f t="shared" ref="W29:W47" si="14">J29</f>
        <v>100</v>
      </c>
      <c r="X29" s="1814"/>
      <c r="Y29" s="3199"/>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199"/>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199"/>
      <c r="Z31" s="1815">
        <f t="shared" si="15"/>
        <v>111</v>
      </c>
      <c r="AA31" s="1812">
        <f t="shared" si="3"/>
        <v>1</v>
      </c>
      <c r="AB31" s="1812">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8"/>
      <c r="Q32" s="1811">
        <f t="shared" si="11"/>
        <v>111</v>
      </c>
      <c r="R32" s="774" t="s">
        <v>17</v>
      </c>
      <c r="S32" s="775">
        <f t="shared" si="12"/>
        <v>100</v>
      </c>
      <c r="T32" s="774" t="s">
        <v>17</v>
      </c>
      <c r="U32" s="775">
        <f t="shared" si="13"/>
        <v>100</v>
      </c>
      <c r="V32" s="774" t="s">
        <v>17</v>
      </c>
      <c r="W32" s="775">
        <f t="shared" si="14"/>
        <v>100</v>
      </c>
      <c r="X32" s="1814"/>
      <c r="Y32" s="3199"/>
      <c r="Z32" s="1815">
        <f t="shared" si="15"/>
        <v>111</v>
      </c>
      <c r="AA32" s="1812">
        <f t="shared" si="3"/>
        <v>1</v>
      </c>
      <c r="AB32" s="1812">
        <f t="shared" si="4"/>
        <v>1</v>
      </c>
      <c r="AC32" s="2675">
        <f t="shared" si="5"/>
        <v>1</v>
      </c>
    </row>
    <row r="33" spans="1:29" ht="15">
      <c r="A33" s="440" t="s">
        <v>2558</v>
      </c>
      <c r="B33" s="71" t="s">
        <v>2688</v>
      </c>
      <c r="C33" s="2680" t="s">
        <v>3207</v>
      </c>
      <c r="D33" s="467">
        <v>100</v>
      </c>
      <c r="E33" s="2680" t="s">
        <v>3207</v>
      </c>
      <c r="F33" s="461">
        <f>SUMIF(101:101,E33,102:102)-SUMIF(101:101,C33,102:102)+100</f>
        <v>100</v>
      </c>
      <c r="G33" s="2680" t="s">
        <v>3207</v>
      </c>
      <c r="H33" s="435">
        <f>SUMIF(101:101,G33,102:102)-SUMIF(101:101,C33,102:102)+100</f>
        <v>100</v>
      </c>
      <c r="I33" s="2680" t="s">
        <v>3207</v>
      </c>
      <c r="J33" s="467">
        <f>SUMIF(101:101,I33,102:102)-SUMIF(101:101,C33,102:102)+100</f>
        <v>100</v>
      </c>
      <c r="K33" s="612"/>
      <c r="L33" s="1143"/>
      <c r="M33" s="1134"/>
      <c r="N33" s="1134"/>
      <c r="O33" s="1134"/>
      <c r="P33" s="3229" t="s">
        <v>2560</v>
      </c>
      <c r="Q33" s="1811" t="str">
        <f t="shared" si="11"/>
        <v>建筑类型</v>
      </c>
      <c r="R33" s="774" t="s">
        <v>17</v>
      </c>
      <c r="S33" s="775">
        <f t="shared" si="12"/>
        <v>100</v>
      </c>
      <c r="T33" s="774" t="s">
        <v>17</v>
      </c>
      <c r="U33" s="775">
        <f t="shared" si="13"/>
        <v>100</v>
      </c>
      <c r="V33" s="774" t="s">
        <v>17</v>
      </c>
      <c r="W33" s="775">
        <f t="shared" si="14"/>
        <v>100</v>
      </c>
      <c r="X33" s="1814"/>
      <c r="Y33" s="3201" t="s">
        <v>2560</v>
      </c>
      <c r="Z33" s="1815" t="str">
        <f t="shared" si="15"/>
        <v>建筑类型</v>
      </c>
      <c r="AA33" s="1812">
        <f t="shared" si="3"/>
        <v>1</v>
      </c>
      <c r="AB33" s="1812">
        <f t="shared" si="4"/>
        <v>1</v>
      </c>
      <c r="AC33" s="2675">
        <f t="shared" si="5"/>
        <v>1</v>
      </c>
    </row>
    <row r="34" spans="1:29" s="471" customFormat="1" ht="15">
      <c r="A34" s="468"/>
      <c r="B34" s="422" t="s">
        <v>2561</v>
      </c>
      <c r="C34" s="469">
        <f>'数据-汇总表'!E3</f>
        <v>118787.11</v>
      </c>
      <c r="D34" s="136">
        <v>100</v>
      </c>
      <c r="E34" s="430">
        <v>117609</v>
      </c>
      <c r="F34" s="425">
        <f>LOOKUP(E34,104:104,105:105)-LOOKUP(C34,104:104,105:105)+100</f>
        <v>100</v>
      </c>
      <c r="G34" s="429">
        <v>315968</v>
      </c>
      <c r="H34" s="136">
        <f>LOOKUP(G34,104:104,105:105)-LOOKUP(C34,104:104,105:105)+100</f>
        <v>102</v>
      </c>
      <c r="I34" s="429">
        <v>584084</v>
      </c>
      <c r="J34" s="136">
        <f>LOOKUP(I34,104:104,105:105)-LOOKUP(C34,104:104,105:105)+100</f>
        <v>103</v>
      </c>
      <c r="K34" s="613"/>
      <c r="L34" s="1141"/>
      <c r="M34" s="1144"/>
      <c r="N34" s="1144"/>
      <c r="O34" s="1144"/>
      <c r="P34" s="3230"/>
      <c r="Q34" s="776" t="str">
        <f t="shared" si="11"/>
        <v>项目建筑规模</v>
      </c>
      <c r="R34" s="777" t="s">
        <v>17</v>
      </c>
      <c r="S34" s="778">
        <f t="shared" si="12"/>
        <v>100</v>
      </c>
      <c r="T34" s="777" t="s">
        <v>17</v>
      </c>
      <c r="U34" s="778">
        <f t="shared" si="13"/>
        <v>102</v>
      </c>
      <c r="V34" s="777" t="s">
        <v>17</v>
      </c>
      <c r="W34" s="778">
        <f t="shared" si="14"/>
        <v>103</v>
      </c>
      <c r="X34" s="779"/>
      <c r="Y34" s="3201"/>
      <c r="Z34" s="780" t="str">
        <f t="shared" si="15"/>
        <v>项目建筑规模</v>
      </c>
      <c r="AA34" s="1812">
        <f t="shared" si="3"/>
        <v>1</v>
      </c>
      <c r="AB34" s="1812">
        <f t="shared" si="4"/>
        <v>0.98039215686274506</v>
      </c>
      <c r="AC34" s="2675">
        <f t="shared" si="5"/>
        <v>0.970873786407767</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0"/>
      <c r="Q35" s="1811" t="str">
        <f t="shared" si="11"/>
        <v>建筑结构</v>
      </c>
      <c r="R35" s="774" t="s">
        <v>17</v>
      </c>
      <c r="S35" s="775">
        <f t="shared" si="12"/>
        <v>100</v>
      </c>
      <c r="T35" s="774" t="s">
        <v>17</v>
      </c>
      <c r="U35" s="775">
        <f t="shared" si="13"/>
        <v>100</v>
      </c>
      <c r="V35" s="774" t="s">
        <v>17</v>
      </c>
      <c r="W35" s="775">
        <f t="shared" si="14"/>
        <v>100</v>
      </c>
      <c r="X35" s="1814"/>
      <c r="Y35" s="3201"/>
      <c r="Z35" s="1815" t="str">
        <f t="shared" si="15"/>
        <v>建筑结构</v>
      </c>
      <c r="AA35" s="1812">
        <f t="shared" si="3"/>
        <v>1</v>
      </c>
      <c r="AB35" s="1812">
        <f t="shared" si="4"/>
        <v>1</v>
      </c>
      <c r="AC35" s="2675">
        <f t="shared" si="5"/>
        <v>1</v>
      </c>
    </row>
    <row r="36" spans="1:29" ht="15">
      <c r="A36" s="472"/>
      <c r="B36" s="422" t="s">
        <v>2656</v>
      </c>
      <c r="C36" s="460" t="s">
        <v>3208</v>
      </c>
      <c r="D36" s="435">
        <v>100</v>
      </c>
      <c r="E36" s="460" t="s">
        <v>3208</v>
      </c>
      <c r="F36" s="461">
        <f>SUMIF(108:108,E36,109:109)-SUMIF(108:108,C36,109:109)+100</f>
        <v>100</v>
      </c>
      <c r="G36" s="460" t="s">
        <v>3208</v>
      </c>
      <c r="H36" s="435">
        <f>SUMIF(108:108,G36,109:109)-SUMIF(108:108,C36,109:109)+100</f>
        <v>100</v>
      </c>
      <c r="I36" s="460" t="s">
        <v>3208</v>
      </c>
      <c r="J36" s="435">
        <f>SUMIF(108:108,I36,109:109)-SUMIF(108:108,C36,109:109)+100</f>
        <v>100</v>
      </c>
      <c r="K36" s="612"/>
      <c r="L36" s="1143"/>
      <c r="M36" s="1134"/>
      <c r="N36" s="1134"/>
      <c r="O36" s="1134"/>
      <c r="P36" s="3230"/>
      <c r="Q36" s="1811" t="str">
        <f t="shared" si="11"/>
        <v>公共部分装修</v>
      </c>
      <c r="R36" s="774" t="s">
        <v>17</v>
      </c>
      <c r="S36" s="775">
        <f t="shared" si="12"/>
        <v>100</v>
      </c>
      <c r="T36" s="774" t="s">
        <v>17</v>
      </c>
      <c r="U36" s="775">
        <f t="shared" si="13"/>
        <v>100</v>
      </c>
      <c r="V36" s="774" t="s">
        <v>17</v>
      </c>
      <c r="W36" s="775">
        <f t="shared" si="14"/>
        <v>100</v>
      </c>
      <c r="X36" s="1814"/>
      <c r="Y36" s="3201"/>
      <c r="Z36" s="1815" t="str">
        <f t="shared" si="15"/>
        <v>公共部分装修</v>
      </c>
      <c r="AA36" s="1812">
        <f t="shared" si="3"/>
        <v>1</v>
      </c>
      <c r="AB36" s="1812">
        <f t="shared" si="4"/>
        <v>1</v>
      </c>
      <c r="AC36" s="2675">
        <f t="shared" si="5"/>
        <v>1</v>
      </c>
    </row>
    <row r="37" spans="1:29" ht="15">
      <c r="A37" s="472"/>
      <c r="B37" s="422" t="s">
        <v>2657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30"/>
      <c r="Q37" s="1811" t="str">
        <f t="shared" si="11"/>
        <v>成新度</v>
      </c>
      <c r="R37" s="774" t="s">
        <v>17</v>
      </c>
      <c r="S37" s="775">
        <f t="shared" si="12"/>
        <v>100</v>
      </c>
      <c r="T37" s="774" t="s">
        <v>17</v>
      </c>
      <c r="U37" s="775">
        <f t="shared" si="13"/>
        <v>100</v>
      </c>
      <c r="V37" s="774" t="s">
        <v>17</v>
      </c>
      <c r="W37" s="775">
        <f t="shared" si="14"/>
        <v>100</v>
      </c>
      <c r="X37" s="1814"/>
      <c r="Y37" s="3201"/>
      <c r="Z37" s="1815" t="str">
        <f t="shared" si="15"/>
        <v>成新度</v>
      </c>
      <c r="AA37" s="1812">
        <f t="shared" si="3"/>
        <v>1</v>
      </c>
      <c r="AB37" s="1812">
        <f t="shared" si="4"/>
        <v>1</v>
      </c>
      <c r="AC37" s="2675">
        <f t="shared" si="5"/>
        <v>1</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6"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2560</v>
      </c>
      <c r="Q39" s="1811" t="str">
        <f t="shared" si="11"/>
        <v>物业管理</v>
      </c>
      <c r="R39" s="774" t="s">
        <v>17</v>
      </c>
      <c r="S39" s="775">
        <f t="shared" si="12"/>
        <v>100</v>
      </c>
      <c r="T39" s="774" t="s">
        <v>17</v>
      </c>
      <c r="U39" s="775">
        <f t="shared" si="13"/>
        <v>100</v>
      </c>
      <c r="V39" s="774" t="s">
        <v>17</v>
      </c>
      <c r="W39" s="775">
        <f t="shared" si="14"/>
        <v>100</v>
      </c>
      <c r="X39" s="1814"/>
      <c r="Y39" s="3201" t="s">
        <v>2560</v>
      </c>
      <c r="Z39" s="1815" t="str">
        <f t="shared" si="15"/>
        <v>物业管理</v>
      </c>
      <c r="AA39" s="1812">
        <f t="shared" si="3"/>
        <v>1</v>
      </c>
      <c r="AB39" s="1812">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0"/>
      <c r="Q40" s="1811" t="str">
        <f t="shared" si="11"/>
        <v>市政基础设施</v>
      </c>
      <c r="R40" s="774" t="s">
        <v>17</v>
      </c>
      <c r="S40" s="775">
        <f t="shared" si="12"/>
        <v>100</v>
      </c>
      <c r="T40" s="774" t="s">
        <v>17</v>
      </c>
      <c r="U40" s="775">
        <f t="shared" si="13"/>
        <v>100</v>
      </c>
      <c r="V40" s="774" t="s">
        <v>17</v>
      </c>
      <c r="W40" s="775">
        <f t="shared" si="14"/>
        <v>100</v>
      </c>
      <c r="X40" s="1814"/>
      <c r="Y40" s="3201"/>
      <c r="Z40" s="1815" t="str">
        <f t="shared" si="15"/>
        <v>市政基础设施</v>
      </c>
      <c r="AA40" s="1812">
        <f t="shared" si="3"/>
        <v>1</v>
      </c>
      <c r="AB40" s="1812">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1" t="str">
        <f t="shared" si="11"/>
        <v>层高</v>
      </c>
      <c r="R41" s="774" t="s">
        <v>17</v>
      </c>
      <c r="S41" s="775">
        <f t="shared" si="12"/>
        <v>100</v>
      </c>
      <c r="T41" s="774" t="s">
        <v>17</v>
      </c>
      <c r="U41" s="775">
        <f t="shared" si="13"/>
        <v>100</v>
      </c>
      <c r="V41" s="774" t="s">
        <v>17</v>
      </c>
      <c r="W41" s="775">
        <f t="shared" si="14"/>
        <v>100</v>
      </c>
      <c r="X41" s="1814"/>
      <c r="Y41" s="3201"/>
      <c r="Z41" s="1815" t="str">
        <f t="shared" si="15"/>
        <v>层高</v>
      </c>
      <c r="AA41" s="1812">
        <f t="shared" si="3"/>
        <v>1</v>
      </c>
      <c r="AB41" s="1812">
        <f t="shared" si="4"/>
        <v>1</v>
      </c>
      <c r="AC41" s="2675">
        <f t="shared" si="5"/>
        <v>1</v>
      </c>
    </row>
    <row r="42" spans="1:29" s="471" customFormat="1" ht="15">
      <c r="A42" s="468"/>
      <c r="B42" s="1813" t="s">
        <v>2691</v>
      </c>
      <c r="C42" s="434" t="s">
        <v>3209</v>
      </c>
      <c r="D42" s="435">
        <v>100</v>
      </c>
      <c r="E42" s="434" t="s">
        <v>3210</v>
      </c>
      <c r="F42" s="461">
        <f>SUMIF(121:121,E42,122:122)-SUMIF(121:121,C42,122:122)+100</f>
        <v>100</v>
      </c>
      <c r="G42" s="434" t="s">
        <v>3211</v>
      </c>
      <c r="H42" s="435">
        <f>SUMIF(121:121,G42,122:122)-SUMIF(121:121,C42,122:122)+100</f>
        <v>98</v>
      </c>
      <c r="I42" s="434">
        <v>80</v>
      </c>
      <c r="J42" s="435">
        <f>SUMIF(121:121,I42,122:122)-SUMIF(121:121,C42,122:122)+100</f>
        <v>96</v>
      </c>
      <c r="K42" s="613"/>
      <c r="L42" s="1141"/>
      <c r="M42" s="1144"/>
      <c r="N42" s="1144"/>
      <c r="O42" s="1144"/>
      <c r="P42" s="3230"/>
      <c r="Q42" s="776" t="str">
        <f t="shared" si="11"/>
        <v>单套建筑面积</v>
      </c>
      <c r="R42" s="777" t="s">
        <v>17</v>
      </c>
      <c r="S42" s="778">
        <f t="shared" si="12"/>
        <v>100</v>
      </c>
      <c r="T42" s="777" t="s">
        <v>17</v>
      </c>
      <c r="U42" s="778">
        <f t="shared" si="13"/>
        <v>98</v>
      </c>
      <c r="V42" s="777" t="s">
        <v>17</v>
      </c>
      <c r="W42" s="778">
        <f t="shared" si="14"/>
        <v>96</v>
      </c>
      <c r="X42" s="779"/>
      <c r="Y42" s="3201"/>
      <c r="Z42" s="780" t="str">
        <f t="shared" si="15"/>
        <v>单套建筑面积</v>
      </c>
      <c r="AA42" s="1812">
        <f t="shared" si="3"/>
        <v>1</v>
      </c>
      <c r="AB42" s="1812">
        <f t="shared" si="4"/>
        <v>1.0204081632653061</v>
      </c>
      <c r="AC42" s="2675">
        <f t="shared" si="5"/>
        <v>1.0416666666666667</v>
      </c>
    </row>
    <row r="43" spans="1:29" ht="15">
      <c r="A43" s="472"/>
      <c r="B43" s="422" t="s">
        <v>2663</v>
      </c>
      <c r="C43" s="460" t="s">
        <v>3175</v>
      </c>
      <c r="D43" s="435">
        <v>100</v>
      </c>
      <c r="E43" s="460" t="s">
        <v>3175</v>
      </c>
      <c r="F43" s="461">
        <f>SUMIF(123:123,E43,124:124)-SUMIF(123:123,C43,124:124)+100</f>
        <v>100</v>
      </c>
      <c r="G43" s="460" t="s">
        <v>3175</v>
      </c>
      <c r="H43" s="435">
        <f>SUMIF(123:123,G43,124:124)-SUMIF(123:123,C43,124:124)+100</f>
        <v>100</v>
      </c>
      <c r="I43" s="460" t="s">
        <v>3175</v>
      </c>
      <c r="J43" s="435">
        <f>SUMIF(123:123,I43,124:124)-SUMIF(123:123,C43,124:124)+100</f>
        <v>100</v>
      </c>
      <c r="K43" s="612"/>
      <c r="L43" s="1143"/>
      <c r="M43" s="1134"/>
      <c r="N43" s="1134"/>
      <c r="O43" s="1134"/>
      <c r="P43" s="3230"/>
      <c r="Q43" s="1811" t="str">
        <f t="shared" si="11"/>
        <v>内部装修</v>
      </c>
      <c r="R43" s="774" t="s">
        <v>17</v>
      </c>
      <c r="S43" s="775">
        <f t="shared" si="12"/>
        <v>100</v>
      </c>
      <c r="T43" s="774" t="s">
        <v>17</v>
      </c>
      <c r="U43" s="775">
        <f t="shared" si="13"/>
        <v>100</v>
      </c>
      <c r="V43" s="774" t="s">
        <v>17</v>
      </c>
      <c r="W43" s="775">
        <f t="shared" si="14"/>
        <v>100</v>
      </c>
      <c r="X43" s="1814"/>
      <c r="Y43" s="3201"/>
      <c r="Z43" s="1815" t="str">
        <f t="shared" si="15"/>
        <v>内部装修</v>
      </c>
      <c r="AA43" s="1812">
        <f t="shared" si="3"/>
        <v>1</v>
      </c>
      <c r="AB43" s="1812">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30"/>
      <c r="Q44" s="1811" t="str">
        <f t="shared" si="11"/>
        <v>内部装修维护情况</v>
      </c>
      <c r="R44" s="774" t="s">
        <v>17</v>
      </c>
      <c r="S44" s="775">
        <f t="shared" si="12"/>
        <v>100</v>
      </c>
      <c r="T44" s="774" t="s">
        <v>17</v>
      </c>
      <c r="U44" s="775">
        <f t="shared" si="13"/>
        <v>100</v>
      </c>
      <c r="V44" s="774" t="s">
        <v>17</v>
      </c>
      <c r="W44" s="775">
        <f t="shared" si="14"/>
        <v>100</v>
      </c>
      <c r="X44" s="1814"/>
      <c r="Y44" s="3201"/>
      <c r="Z44" s="1815" t="str">
        <f t="shared" si="15"/>
        <v>内部装修维护情况</v>
      </c>
      <c r="AA44" s="1812">
        <f t="shared" si="3"/>
        <v>1</v>
      </c>
      <c r="AB44" s="1812">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6">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1">
        <f t="shared" si="11"/>
        <v>111</v>
      </c>
      <c r="R46" s="774" t="s">
        <v>17</v>
      </c>
      <c r="S46" s="775">
        <f t="shared" si="12"/>
        <v>100</v>
      </c>
      <c r="T46" s="774" t="s">
        <v>17</v>
      </c>
      <c r="U46" s="775">
        <f t="shared" si="13"/>
        <v>100</v>
      </c>
      <c r="V46" s="774" t="s">
        <v>17</v>
      </c>
      <c r="W46" s="775">
        <f t="shared" si="14"/>
        <v>100</v>
      </c>
      <c r="X46" s="1814"/>
      <c r="Y46" s="3201"/>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1">
        <f t="shared" si="11"/>
        <v>111</v>
      </c>
      <c r="R47" s="774" t="s">
        <v>17</v>
      </c>
      <c r="S47" s="775">
        <f t="shared" si="12"/>
        <v>100</v>
      </c>
      <c r="T47" s="774" t="s">
        <v>17</v>
      </c>
      <c r="U47" s="775">
        <f t="shared" si="13"/>
        <v>100</v>
      </c>
      <c r="V47" s="774" t="s">
        <v>17</v>
      </c>
      <c r="W47" s="775">
        <f t="shared" si="14"/>
        <v>100</v>
      </c>
      <c r="X47" s="1814"/>
      <c r="Y47" s="3232"/>
      <c r="Z47" s="1815">
        <f t="shared" si="15"/>
        <v>111</v>
      </c>
      <c r="AA47" s="1812">
        <f t="shared" si="3"/>
        <v>1</v>
      </c>
      <c r="AB47" s="1812">
        <f t="shared" si="4"/>
        <v>1</v>
      </c>
      <c r="AC47" s="2675">
        <f t="shared" si="5"/>
        <v>1</v>
      </c>
    </row>
    <row r="48" spans="1:29" ht="15">
      <c r="A48" s="479" t="s">
        <v>2572</v>
      </c>
      <c r="B48" s="480"/>
      <c r="C48" s="1410" t="s">
        <v>1</v>
      </c>
      <c r="D48" s="1411"/>
      <c r="E48" s="1412">
        <v>64319</v>
      </c>
      <c r="F48" s="1413"/>
      <c r="G48" s="1414">
        <v>54102</v>
      </c>
      <c r="H48" s="1415"/>
      <c r="I48" s="1412">
        <v>55000</v>
      </c>
      <c r="J48" s="485"/>
      <c r="K48" s="783"/>
      <c r="L48" s="1146"/>
      <c r="M48" s="1134"/>
      <c r="N48" s="1134"/>
      <c r="O48" s="1134"/>
      <c r="P48" s="3207" t="str">
        <f>A48</f>
        <v>成交单价（元/平方米）</v>
      </c>
      <c r="Q48" s="3183"/>
      <c r="R48" s="3233">
        <f>E48</f>
        <v>64319</v>
      </c>
      <c r="S48" s="3233"/>
      <c r="T48" s="3233">
        <f>G48</f>
        <v>54102</v>
      </c>
      <c r="U48" s="3233"/>
      <c r="V48" s="3233">
        <f>I48</f>
        <v>55000</v>
      </c>
      <c r="W48" s="3233"/>
      <c r="X48" s="446"/>
      <c r="Y48" s="781"/>
      <c r="Z48" s="446"/>
      <c r="AA48" s="446"/>
      <c r="AB48" s="446"/>
      <c r="AC48" s="630"/>
    </row>
    <row r="49" spans="1:29" ht="15.75" thickBot="1">
      <c r="A49" s="486" t="s">
        <v>2664</v>
      </c>
      <c r="B49" s="487"/>
      <c r="C49" s="1416">
        <f>R50</f>
        <v>57492</v>
      </c>
      <c r="D49" s="1417"/>
      <c r="E49" s="1418">
        <f>R49</f>
        <v>62440</v>
      </c>
      <c r="F49" s="1418"/>
      <c r="G49" s="1416">
        <f>T49</f>
        <v>55878</v>
      </c>
      <c r="H49" s="1417"/>
      <c r="I49" s="1418">
        <f>V49</f>
        <v>54159</v>
      </c>
      <c r="J49" s="489"/>
      <c r="K49" s="784"/>
      <c r="L49" s="1146"/>
      <c r="M49" s="1134"/>
      <c r="N49" s="1134"/>
      <c r="O49" s="1134"/>
      <c r="P49" s="3207" t="str">
        <f>A49</f>
        <v>比较价值（元/平方米）</v>
      </c>
      <c r="Q49" s="3183"/>
      <c r="R49" s="3233">
        <f>IF(F1="售价",ROUND(PRODUCT(R48,AA7:AA47),0),ROUND(PRODUCT(R48,AA7:AA47),1))</f>
        <v>62440</v>
      </c>
      <c r="S49" s="3233"/>
      <c r="T49" s="3233">
        <f>IF(F1="售价",ROUND(PRODUCT(T48,AB7:AB47),0),ROUND(PRODUCT(T48,AB7:AB47),1))</f>
        <v>55878</v>
      </c>
      <c r="U49" s="3233"/>
      <c r="V49" s="3233">
        <f>IF(F1="售价",ROUND(PRODUCT(V48,AC7:AC47),0),ROUND(PRODUCT(V48,AC7:AC47),1))</f>
        <v>54159</v>
      </c>
      <c r="W49" s="3233"/>
      <c r="X49" s="446"/>
      <c r="Y49" s="446"/>
      <c r="Z49" s="446"/>
      <c r="AA49" s="446"/>
      <c r="AB49" s="446"/>
      <c r="AC49" s="630"/>
    </row>
    <row r="50" spans="1:29" ht="15.75" thickBot="1">
      <c r="A50" s="492" t="s">
        <v>2665</v>
      </c>
      <c r="B50" s="493"/>
      <c r="C50" s="1420">
        <f>R50</f>
        <v>57492</v>
      </c>
      <c r="D50" s="1420"/>
      <c r="E50" s="1420"/>
      <c r="F50" s="1420"/>
      <c r="G50" s="1420"/>
      <c r="H50" s="1420"/>
      <c r="I50" s="1420"/>
      <c r="J50" s="494"/>
      <c r="K50" s="785"/>
      <c r="L50" s="1146"/>
      <c r="M50" s="1134"/>
      <c r="N50" s="1134"/>
      <c r="O50" s="1134"/>
      <c r="P50" s="3234" t="str">
        <f>A50</f>
        <v>估价对象XX用房的比较价值（楼面单价，元/平方米）</v>
      </c>
      <c r="Q50" s="3235"/>
      <c r="R50" s="3236">
        <f>IF(F1="售价",ROUND(AVERAGE(R49:V49),0),ROUND(AVERAGE(R49:V49),1))</f>
        <v>57492</v>
      </c>
      <c r="S50" s="3236"/>
      <c r="T50" s="3236"/>
      <c r="U50" s="3236"/>
      <c r="V50" s="3236"/>
      <c r="W50" s="323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3.0092889173606752E-2</v>
      </c>
      <c r="F53" s="500" t="str">
        <f>IF(OR(E53&gt;=0.3,E53&lt;=-0.3),"超过30%","")</f>
        <v/>
      </c>
      <c r="G53" s="499">
        <f>IF(G48&lt;G49,G49/G48-1,G48/G49-1)</f>
        <v>3.2826882555173631E-2</v>
      </c>
      <c r="H53" s="500" t="str">
        <f>IF(OR(G53&gt;=0.3,G53&lt;=-0.3),"超过30%","")</f>
        <v/>
      </c>
      <c r="I53" s="499">
        <f>IF(I48&lt;I49,I49/I48-1,I48/I49-1)</f>
        <v>1.5528351705164534E-2</v>
      </c>
      <c r="J53" s="500" t="str">
        <f>IF(OR(I53&gt;=0.3,I53&lt;=-0.3),"超过30%","")</f>
        <v/>
      </c>
      <c r="K53" s="1108"/>
      <c r="L53" s="1109"/>
      <c r="M53" s="1147"/>
      <c r="N53" s="1147"/>
      <c r="O53" s="1147"/>
    </row>
    <row r="54" spans="1:29" ht="13.5" customHeight="1">
      <c r="A54" s="1147"/>
      <c r="B54" s="1147"/>
      <c r="C54" s="497" t="s">
        <v>2667</v>
      </c>
      <c r="D54" s="501"/>
      <c r="E54" s="499">
        <f>IF(E49&lt;G49,G49/E49-1,E49/G49-1)</f>
        <v>0.11743441068041083</v>
      </c>
      <c r="F54" s="500" t="str">
        <f>IF(OR(E54&gt;=0.2,E54&lt;=-0.2),"超过20%","")</f>
        <v/>
      </c>
      <c r="G54" s="499">
        <f>IF(G49&lt;I49,I49/G49-1,G49/I49-1)</f>
        <v>3.1739877028748698E-2</v>
      </c>
      <c r="H54" s="500" t="str">
        <f>IF(OR(G54&gt;=0.2,G54&lt;=-0.2),"超过20%","")</f>
        <v/>
      </c>
      <c r="I54" s="499">
        <f>IF(I49&lt;E49,E49/I49-1,I49/E49-1)</f>
        <v>0.15290164146309948</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0.18884699271745964</v>
      </c>
      <c r="F55" s="500" t="str">
        <f>IF(OR(E55&gt;=0.3,E55&lt;=-0.3),"超过30%","")</f>
        <v/>
      </c>
      <c r="G55" s="499">
        <f>IF(G48&lt;I48,I48/G48-1,G48/I48-1)</f>
        <v>1.6598277328010003E-2</v>
      </c>
      <c r="H55" s="500" t="str">
        <f>IF(OR(G55&gt;=0.3,G55&lt;=-0.3),"超过30%","")</f>
        <v/>
      </c>
      <c r="I55" s="499">
        <f>IF(I48&lt;E48,E48/I48-1,I48/E48-1)</f>
        <v>0.16943636363636361</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2"/>
      <c r="Q58" s="504"/>
    </row>
    <row r="59" spans="1:29" s="508" customFormat="1" ht="15">
      <c r="A59" s="505" t="s">
        <v>2543</v>
      </c>
      <c r="B59" s="506"/>
      <c r="C59" s="1576" t="str">
        <f>YEAR(C7)&amp;"-"&amp;MONTH(C7)</f>
        <v>2018-2</v>
      </c>
      <c r="D59" s="1577">
        <f>EDATE(C59,-1)</f>
        <v>43101</v>
      </c>
      <c r="E59" s="1577">
        <f>EDATE(D59,-1)</f>
        <v>43070</v>
      </c>
      <c r="F59" s="1577">
        <f t="shared" ref="F59:O59" si="16">EDATE(E59,-1)</f>
        <v>43040</v>
      </c>
      <c r="G59" s="1577">
        <f t="shared" si="16"/>
        <v>43009</v>
      </c>
      <c r="H59" s="1577">
        <f t="shared" si="16"/>
        <v>42979</v>
      </c>
      <c r="I59" s="1577">
        <f t="shared" si="16"/>
        <v>42948</v>
      </c>
      <c r="J59" s="1577">
        <f t="shared" si="16"/>
        <v>42917</v>
      </c>
      <c r="K59" s="1577">
        <f t="shared" si="16"/>
        <v>42887</v>
      </c>
      <c r="L59" s="1577">
        <f t="shared" si="16"/>
        <v>42856</v>
      </c>
      <c r="M59" s="1577">
        <f t="shared" si="16"/>
        <v>42826</v>
      </c>
      <c r="N59" s="1577">
        <f t="shared" si="16"/>
        <v>42795</v>
      </c>
      <c r="O59" s="1577">
        <f t="shared" si="16"/>
        <v>42767</v>
      </c>
      <c r="P59" s="1573"/>
    </row>
    <row r="60" spans="1:29" s="117" customFormat="1" ht="15">
      <c r="A60" s="509"/>
      <c r="B60" s="510"/>
      <c r="C60" s="1575">
        <v>100</v>
      </c>
      <c r="D60" s="512">
        <v>99</v>
      </c>
      <c r="E60" s="512">
        <v>98</v>
      </c>
      <c r="F60" s="512">
        <v>97</v>
      </c>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2583</v>
      </c>
      <c r="B64" s="528" t="s">
        <v>2549</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49">
        <v>8</v>
      </c>
      <c r="L69" s="549">
        <v>9</v>
      </c>
      <c r="M69" s="549">
        <v>10</v>
      </c>
      <c r="N69" s="1155"/>
      <c r="O69" s="1155"/>
      <c r="P69" s="2685"/>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89"/>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6"/>
      <c r="O78" s="1156"/>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5"/>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2694</v>
      </c>
      <c r="C87" s="2962" t="s">
        <v>3145</v>
      </c>
      <c r="D87" s="2962" t="s">
        <v>3146</v>
      </c>
      <c r="E87" s="2962" t="s">
        <v>3147</v>
      </c>
      <c r="F87" s="2962" t="s">
        <v>3148</v>
      </c>
      <c r="G87" s="2962" t="s">
        <v>3149</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2962" t="s">
        <v>3216</v>
      </c>
      <c r="D89" s="2962" t="s">
        <v>3217</v>
      </c>
      <c r="E89" s="2962" t="s">
        <v>3218</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2558</v>
      </c>
      <c r="B101" s="528" t="s">
        <v>2607</v>
      </c>
      <c r="C101" s="2975" t="s">
        <v>3201</v>
      </c>
      <c r="D101" s="2975" t="s">
        <v>3202</v>
      </c>
      <c r="E101" s="2975" t="s">
        <v>3203</v>
      </c>
      <c r="F101" s="2975" t="s">
        <v>3204</v>
      </c>
      <c r="G101" s="2975" t="s">
        <v>3205</v>
      </c>
      <c r="H101" s="2975" t="s">
        <v>3206</v>
      </c>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21" customHeight="1" thickTop="1">
      <c r="A103" s="534"/>
      <c r="B103" s="538" t="s">
        <v>2608</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100000</v>
      </c>
      <c r="E104" s="595">
        <v>200000</v>
      </c>
      <c r="F104" s="595">
        <v>300000</v>
      </c>
      <c r="G104" s="595">
        <v>400000</v>
      </c>
      <c r="H104" s="595"/>
      <c r="I104" s="595"/>
      <c r="J104" s="596"/>
      <c r="K104" s="596"/>
      <c r="L104" s="597"/>
      <c r="M104" s="598"/>
      <c r="N104" s="1157"/>
      <c r="O104" s="1157"/>
      <c r="P104" s="2686"/>
      <c r="Q104" s="559"/>
    </row>
    <row r="105" spans="1:17" s="471" customFormat="1" ht="15.75" thickBot="1">
      <c r="A105" s="553"/>
      <c r="B105" s="543"/>
      <c r="C105" s="560">
        <v>99</v>
      </c>
      <c r="D105" s="536">
        <v>100</v>
      </c>
      <c r="E105" s="536">
        <v>101</v>
      </c>
      <c r="F105" s="536">
        <v>102</v>
      </c>
      <c r="G105" s="536">
        <v>103</v>
      </c>
      <c r="H105" s="536"/>
      <c r="I105" s="536"/>
      <c r="J105" s="536"/>
      <c r="K105" s="536"/>
      <c r="L105" s="536"/>
      <c r="M105" s="537"/>
      <c r="N105" s="1156"/>
      <c r="O105" s="1156"/>
      <c r="P105" s="2686"/>
      <c r="Q105" s="559"/>
    </row>
    <row r="106" spans="1:17" ht="15" thickTop="1">
      <c r="A106" s="599"/>
      <c r="B106" s="538" t="s">
        <v>2609</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2611</v>
      </c>
      <c r="C108" s="2962" t="s">
        <v>3167</v>
      </c>
      <c r="D108" s="2962" t="s">
        <v>3168</v>
      </c>
      <c r="E108" s="2962" t="s">
        <v>3169</v>
      </c>
      <c r="F108" s="2963" t="s">
        <v>3170</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2612</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2613</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2696</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2679</v>
      </c>
      <c r="C121" s="554" t="s">
        <v>3209</v>
      </c>
      <c r="D121" s="554" t="s">
        <v>3212</v>
      </c>
      <c r="E121" s="554" t="s">
        <v>3213</v>
      </c>
      <c r="F121" s="583" t="s">
        <v>3214</v>
      </c>
      <c r="G121" s="555" t="s">
        <v>3210</v>
      </c>
      <c r="H121" s="555" t="s">
        <v>3215</v>
      </c>
      <c r="I121" s="555">
        <v>80</v>
      </c>
      <c r="J121" s="555"/>
      <c r="K121" s="555"/>
      <c r="L121" s="556"/>
      <c r="M121" s="557"/>
      <c r="N121" s="1157"/>
      <c r="O121" s="1157"/>
      <c r="P121" s="2686"/>
      <c r="Q121" s="559"/>
    </row>
    <row r="122" spans="1:17" s="471" customFormat="1" ht="15.75" thickBot="1">
      <c r="A122" s="553"/>
      <c r="B122" s="535"/>
      <c r="C122" s="560">
        <v>100</v>
      </c>
      <c r="D122" s="560">
        <v>100</v>
      </c>
      <c r="E122" s="560">
        <v>100</v>
      </c>
      <c r="F122" s="560">
        <v>100</v>
      </c>
      <c r="G122" s="560">
        <v>100</v>
      </c>
      <c r="H122" s="560">
        <v>98</v>
      </c>
      <c r="I122" s="560">
        <v>96</v>
      </c>
      <c r="J122" s="560"/>
      <c r="K122" s="560"/>
      <c r="L122" s="560"/>
      <c r="M122" s="560"/>
      <c r="N122" s="1157"/>
      <c r="O122" s="1157"/>
      <c r="P122" s="2686"/>
      <c r="Q122" s="559"/>
    </row>
    <row r="123" spans="1:17" ht="15" thickTop="1">
      <c r="A123" s="599"/>
      <c r="B123" s="538" t="s">
        <v>2615</v>
      </c>
      <c r="C123" s="2962" t="s">
        <v>3171</v>
      </c>
      <c r="D123" s="2962" t="s">
        <v>3172</v>
      </c>
      <c r="E123" s="2962" t="s">
        <v>3173</v>
      </c>
      <c r="F123" s="2963" t="s">
        <v>3174</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5" sqref="F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3063</v>
      </c>
      <c r="D1" s="1821" t="s">
        <v>3163</v>
      </c>
      <c r="E1" s="1822" t="s">
        <v>1381</v>
      </c>
      <c r="F1" s="1286">
        <f ca="1">J53</f>
        <v>30.6</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42657</v>
      </c>
      <c r="C2" s="1846" t="s">
        <v>1511</v>
      </c>
      <c r="D2" s="1846"/>
      <c r="E2" s="1847"/>
      <c r="F2" s="1848"/>
      <c r="G2" s="1849"/>
      <c r="H2" s="1841"/>
      <c r="I2" s="1841"/>
      <c r="J2" s="1841"/>
      <c r="K2" s="1842"/>
      <c r="L2" s="1841"/>
      <c r="M2" s="1841"/>
    </row>
    <row r="3" spans="1:37" ht="18" customHeight="1" thickBot="1">
      <c r="A3" s="1850" t="s">
        <v>1512</v>
      </c>
      <c r="B3" s="1851">
        <f ca="1">IF(ISERROR(B2*10000/F43),0,ROUND(B2*10000/F43,0))</f>
        <v>39733</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2472</v>
      </c>
      <c r="D5" s="1823" t="s">
        <v>1396</v>
      </c>
      <c r="E5" s="1296"/>
      <c r="F5" s="1297"/>
      <c r="G5" s="1852"/>
      <c r="H5" s="344">
        <v>1</v>
      </c>
      <c r="I5" s="345" t="s">
        <v>1395</v>
      </c>
      <c r="J5" s="1295">
        <f ca="1">J6+J10+J12</f>
        <v>0</v>
      </c>
      <c r="K5" s="1823" t="s">
        <v>1396</v>
      </c>
      <c r="L5" s="1296"/>
      <c r="M5" s="1297"/>
    </row>
    <row r="6" spans="1:37" ht="18" customHeight="1">
      <c r="A6" s="1294" t="s">
        <v>1035</v>
      </c>
      <c r="B6" s="3239" t="s">
        <v>1397</v>
      </c>
      <c r="C6" s="1299">
        <f ca="1">ROUND(F6*F8*F7*(1-F9)/10000,0)</f>
        <v>2469</v>
      </c>
      <c r="D6" s="164" t="s">
        <v>3029</v>
      </c>
      <c r="E6" s="347" t="s">
        <v>1399</v>
      </c>
      <c r="F6" s="348">
        <f ca="1">INDIRECT("'数据-取费表'!u"&amp;$G$1)</f>
        <v>7</v>
      </c>
      <c r="G6" s="1852"/>
      <c r="H6" s="1294" t="s">
        <v>1035</v>
      </c>
      <c r="I6" s="3239" t="s">
        <v>1397</v>
      </c>
      <c r="J6" s="346">
        <f ca="1">ROUND(M6*M8*M7*(1-M9)/10000,0)</f>
        <v>0</v>
      </c>
      <c r="K6" s="164" t="s">
        <v>3028</v>
      </c>
      <c r="L6" s="347" t="s">
        <v>1399</v>
      </c>
      <c r="M6" s="348">
        <f ca="1">INDIRECT("'数据-取费表'!z"&amp;$G$1)</f>
        <v>0</v>
      </c>
    </row>
    <row r="7" spans="1:37" ht="18" customHeight="1">
      <c r="A7" s="1298"/>
      <c r="B7" s="3240"/>
      <c r="C7" s="1300"/>
      <c r="D7" s="352"/>
      <c r="E7" s="1301" t="s">
        <v>1400</v>
      </c>
      <c r="F7" s="348">
        <f ca="1">IF(INDIRECT("'数据-取费表'!ah"&amp;$G$1)="",INDIRECT("'数据-取费表'!k"&amp;$G$1),INDIRECT("'数据-取费表'!ah"&amp;$G$1))</f>
        <v>10736</v>
      </c>
      <c r="G7" s="1852"/>
      <c r="H7" s="349"/>
      <c r="I7" s="3240"/>
      <c r="J7" s="351"/>
      <c r="K7" s="352"/>
      <c r="L7" s="347" t="s">
        <v>1400</v>
      </c>
      <c r="M7" s="348">
        <f ca="1">F7</f>
        <v>10736</v>
      </c>
    </row>
    <row r="8" spans="1:37" ht="18" customHeight="1">
      <c r="A8" s="349"/>
      <c r="B8" s="3240"/>
      <c r="C8" s="351"/>
      <c r="D8" s="352"/>
      <c r="E8" s="347" t="s">
        <v>1401</v>
      </c>
      <c r="F8" s="348">
        <f ca="1">INDIRECT("'数据-取费表'!ai"&amp;$G$1)</f>
        <v>365</v>
      </c>
      <c r="G8" s="1852"/>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52"/>
      <c r="H9" s="349"/>
      <c r="I9" s="3241"/>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3</v>
      </c>
      <c r="D10" s="1825" t="s">
        <v>3030</v>
      </c>
      <c r="E10" s="358" t="s">
        <v>1405</v>
      </c>
      <c r="F10" s="1369" t="s">
        <v>3164</v>
      </c>
      <c r="G10" s="1852"/>
      <c r="H10" s="1294" t="s">
        <v>1039</v>
      </c>
      <c r="I10" s="1824" t="s">
        <v>1403</v>
      </c>
      <c r="J10" s="346">
        <f ca="1">ROUND(IF(M10="押一",M6*M8*M7/12*M11,IF(M10="押二",M6*M8*M7/12*2*M11,IF(M10="押三",M6*M8*M7/12*3*M11,J11*M11)))/10000,0)</f>
        <v>0</v>
      </c>
      <c r="K10" s="1825" t="s">
        <v>3031</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5154</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3151</v>
      </c>
      <c r="D14" s="1801" t="s">
        <v>1413</v>
      </c>
      <c r="E14" s="1795"/>
      <c r="F14" s="364"/>
      <c r="G14" s="1852"/>
      <c r="H14" s="1204" t="s">
        <v>1035</v>
      </c>
      <c r="I14" s="347" t="s">
        <v>1414</v>
      </c>
      <c r="J14" s="24">
        <f ca="1">C29</f>
        <v>5154</v>
      </c>
      <c r="K14" s="15"/>
      <c r="L14" s="982"/>
      <c r="M14" s="983"/>
    </row>
    <row r="15" spans="1:37" s="1859" customFormat="1" ht="18" customHeight="1" thickBot="1">
      <c r="A15" s="1204" t="s">
        <v>1036</v>
      </c>
      <c r="B15" s="347" t="s">
        <v>1415</v>
      </c>
      <c r="C15" s="24">
        <f ca="1">ROUND(C14*F15,0)</f>
        <v>95</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121</v>
      </c>
      <c r="K16" s="1340" t="s">
        <v>1420</v>
      </c>
      <c r="L16" s="1341"/>
      <c r="M16" s="1297"/>
    </row>
    <row r="17" spans="1:37" s="1859" customFormat="1" ht="18" customHeight="1">
      <c r="A17" s="1204" t="s">
        <v>1384</v>
      </c>
      <c r="B17" s="347" t="s">
        <v>1421</v>
      </c>
      <c r="C17" s="24">
        <f ca="1">ROUND(F17*(F43+INDIRECT("'数据-取费表'!S"&amp;$G$1))/10000,0)</f>
        <v>228</v>
      </c>
      <c r="D17" s="347" t="s">
        <v>1422</v>
      </c>
      <c r="E17" s="347" t="s">
        <v>1423</v>
      </c>
      <c r="F17" s="26">
        <f>'数据-取费表'!B35</f>
        <v>200</v>
      </c>
      <c r="G17" s="1855"/>
      <c r="H17" s="1204" t="s">
        <v>1035</v>
      </c>
      <c r="I17" s="347" t="s">
        <v>1424</v>
      </c>
      <c r="J17" s="24">
        <f ca="1">ROUND(IF(项目基本情况!B11="自然人",J5*M17,J18+J19+J20),1)</f>
        <v>43.4</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47</v>
      </c>
      <c r="D18" s="347" t="s">
        <v>1416</v>
      </c>
      <c r="E18" s="347" t="s">
        <v>1417</v>
      </c>
      <c r="F18" s="367">
        <f>'数据-取费表'!B36</f>
        <v>1.4999999999999999E-2</v>
      </c>
      <c r="G18" s="1855"/>
      <c r="H18" s="1204" t="s">
        <v>1034</v>
      </c>
      <c r="I18" s="347" t="s">
        <v>1428</v>
      </c>
      <c r="J18" s="24">
        <f ca="1">ROUND(J5*M18/(1+'数据-取费表'!C42),2)</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3521</v>
      </c>
      <c r="D19" s="140" t="s">
        <v>1431</v>
      </c>
      <c r="E19" s="1819"/>
      <c r="F19" s="26"/>
      <c r="G19" s="1852"/>
      <c r="H19" s="1204" t="s">
        <v>1036</v>
      </c>
      <c r="I19" s="347" t="s">
        <v>1432</v>
      </c>
      <c r="J19" s="24">
        <f ca="1">IF(K19="按租金收入计税",ROUND(J5*M19,2),ROUND(C29*M19*0.7,2))</f>
        <v>43.29</v>
      </c>
      <c r="K19" s="1829" t="s">
        <v>1433</v>
      </c>
      <c r="L19" s="347" t="s">
        <v>1417</v>
      </c>
      <c r="M19" s="367">
        <f>IF(K19="按租金收入计税",'数据-取费表'!B51,'数据-取费表'!B50)</f>
        <v>1.2E-2</v>
      </c>
    </row>
    <row r="20" spans="1:37" s="1859" customFormat="1" ht="18" customHeight="1">
      <c r="A20" s="1204" t="s">
        <v>1039</v>
      </c>
      <c r="B20" s="347" t="s">
        <v>1434</v>
      </c>
      <c r="C20" s="24">
        <f ca="1">ROUND(C19*F20,0)</f>
        <v>70</v>
      </c>
      <c r="D20" s="369" t="s">
        <v>1435</v>
      </c>
      <c r="E20" s="347" t="s">
        <v>1417</v>
      </c>
      <c r="F20" s="367">
        <f>'数据-取费表'!B37</f>
        <v>0.02</v>
      </c>
      <c r="G20" s="1855"/>
      <c r="H20" s="1204" t="s">
        <v>1383</v>
      </c>
      <c r="I20" s="164" t="s">
        <v>1436</v>
      </c>
      <c r="J20" s="25">
        <f ca="1">ROUND(M20*M21/10000,2)</f>
        <v>0.13</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858.63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1819"/>
      <c r="F22" s="26"/>
      <c r="G22" s="1852"/>
      <c r="H22" s="1204" t="s">
        <v>1039</v>
      </c>
      <c r="I22" s="347" t="s">
        <v>1444</v>
      </c>
      <c r="J22" s="24">
        <f ca="1">ROUND(J14*M22,1)</f>
        <v>77.3</v>
      </c>
      <c r="K22" s="1799"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259</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1799" t="s">
        <v>1449</v>
      </c>
      <c r="L23" s="347" t="s">
        <v>1450</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1387</v>
      </c>
      <c r="I24" s="1343" t="s">
        <v>1434</v>
      </c>
      <c r="J24" s="1344">
        <f ca="1">ROUND(J5*M24,1)</f>
        <v>0</v>
      </c>
      <c r="K24" s="1345" t="s">
        <v>1454</v>
      </c>
      <c r="L24" s="1343" t="s">
        <v>1450</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1031</v>
      </c>
      <c r="I25" s="1347" t="s">
        <v>1458</v>
      </c>
      <c r="J25" s="355">
        <f ca="1">J5-J16</f>
        <v>-121</v>
      </c>
      <c r="K25" s="1348" t="s">
        <v>1459</v>
      </c>
      <c r="L25" s="1349"/>
      <c r="M25" s="1350"/>
    </row>
    <row r="26" spans="1:37">
      <c r="A26" s="1204" t="s">
        <v>1034</v>
      </c>
      <c r="B26" s="347" t="s">
        <v>1460</v>
      </c>
      <c r="C26" s="24">
        <f ca="1">ROUND((C19+C20)*F26,0)</f>
        <v>898</v>
      </c>
      <c r="D26" s="369" t="s">
        <v>1461</v>
      </c>
      <c r="E26" s="358" t="s">
        <v>1462</v>
      </c>
      <c r="F26" s="357">
        <f ca="1">INDIRECT("'数据-取费表'!q"&amp;$G$1)</f>
        <v>0.25</v>
      </c>
      <c r="G26" s="1852"/>
      <c r="H26" s="344" t="s">
        <v>1032</v>
      </c>
      <c r="I26" s="345" t="s">
        <v>1463</v>
      </c>
      <c r="J26" s="346">
        <f ca="1">IF(J5&lt;&gt;0,ROUND(J25*(1-((1+M28)/(1+M26))^M27)/(M26-M28),0),0)</f>
        <v>0</v>
      </c>
      <c r="K26" s="370" t="s">
        <v>1464</v>
      </c>
      <c r="L26" s="347" t="s">
        <v>1465</v>
      </c>
      <c r="M26" s="357">
        <f ca="1">INDIRECT("'数据-取费表'!I"&amp;$G$1)</f>
        <v>0.06</v>
      </c>
    </row>
    <row r="27" spans="1:37" ht="18" customHeight="1">
      <c r="A27" s="1204" t="s">
        <v>1036</v>
      </c>
      <c r="B27" s="347" t="s">
        <v>1466</v>
      </c>
      <c r="C27" s="24">
        <f ca="1">ROUND(F21*F26,4)</f>
        <v>5.0000000000000001E-3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5154</v>
      </c>
      <c r="D29" s="1345"/>
      <c r="E29" s="1343"/>
      <c r="F29" s="1346"/>
      <c r="G29" s="1855"/>
      <c r="H29" s="380" t="s">
        <v>1033</v>
      </c>
      <c r="I29" s="381" t="s">
        <v>1474</v>
      </c>
      <c r="J29" s="382">
        <f ca="1">ROUND(J26/(1+F40)^F41,0)</f>
        <v>0</v>
      </c>
      <c r="K29" s="383" t="s">
        <v>1475</v>
      </c>
      <c r="L29" s="384"/>
      <c r="M29" s="385">
        <f ca="1">INDIRECT("'数据-取费表'!k"&amp;$G$1)</f>
        <v>10736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283</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ROUND(IF(项目基本情况!B11="自然人",C5*F31,C32+C33+C34),1)</f>
        <v>172.9</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129.49</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43.29</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0.13</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858.63</v>
      </c>
      <c r="G35" s="1852"/>
      <c r="H35" s="745"/>
      <c r="I35" s="1861"/>
      <c r="J35" s="1862"/>
      <c r="K35" s="1863"/>
      <c r="L35" s="1860"/>
      <c r="M35" s="1860"/>
    </row>
    <row r="36" spans="1:18" ht="18" customHeight="1">
      <c r="A36" s="1355" t="s">
        <v>1039</v>
      </c>
      <c r="B36" s="347" t="s">
        <v>1444</v>
      </c>
      <c r="C36" s="24">
        <f ca="1">ROUND(C29*F36,1)</f>
        <v>77.3</v>
      </c>
      <c r="D36" s="1799"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7.7</v>
      </c>
      <c r="D37" s="1799" t="s">
        <v>1449</v>
      </c>
      <c r="E37" s="347" t="s">
        <v>1450</v>
      </c>
      <c r="F37" s="376">
        <f ca="1">INDIRECT("'数据-取费表'!Al"&amp;$G$1)</f>
        <v>1.5E-3</v>
      </c>
      <c r="G37" s="1852"/>
      <c r="H37" s="1860"/>
      <c r="I37" s="1861"/>
      <c r="J37" s="1862"/>
      <c r="K37" s="751"/>
      <c r="L37" s="1860"/>
      <c r="M37" s="1860"/>
    </row>
    <row r="38" spans="1:18" ht="18" customHeight="1" thickBot="1">
      <c r="A38" s="1342" t="s">
        <v>1387</v>
      </c>
      <c r="B38" s="1343" t="s">
        <v>1434</v>
      </c>
      <c r="C38" s="1344">
        <f ca="1">ROUND(C5*F38,1)</f>
        <v>24.7</v>
      </c>
      <c r="D38" s="1345" t="s">
        <v>1454</v>
      </c>
      <c r="E38" s="1343" t="s">
        <v>1450</v>
      </c>
      <c r="F38" s="1339">
        <f ca="1">INDIRECT("'数据-取费表'!Am"&amp;$G$1)</f>
        <v>0.01</v>
      </c>
      <c r="G38" s="1852"/>
      <c r="H38" s="1860"/>
      <c r="I38" s="1861"/>
      <c r="J38" s="1862"/>
      <c r="K38" s="1866"/>
      <c r="L38" s="1860"/>
      <c r="M38" s="1860"/>
    </row>
    <row r="39" spans="1:18" ht="24.6" customHeight="1" thickTop="1">
      <c r="A39" s="1332" t="s">
        <v>1031</v>
      </c>
      <c r="B39" s="1347" t="s">
        <v>1478</v>
      </c>
      <c r="C39" s="355">
        <f ca="1">C5-C30</f>
        <v>2189</v>
      </c>
      <c r="D39" s="1348" t="s">
        <v>1479</v>
      </c>
      <c r="E39" s="1349"/>
      <c r="F39" s="1350"/>
      <c r="G39" s="1852"/>
      <c r="H39" s="1860"/>
      <c r="I39" s="1861"/>
      <c r="J39" s="1862"/>
      <c r="K39" s="1866"/>
      <c r="L39" s="1860"/>
      <c r="M39" s="1860"/>
    </row>
    <row r="40" spans="1:18" ht="18" customHeight="1">
      <c r="A40" s="344" t="s">
        <v>1032</v>
      </c>
      <c r="B40" s="345" t="s">
        <v>1480</v>
      </c>
      <c r="C40" s="346">
        <f ca="1">ROUND(C39*(1-((1+F42)/(1+F40))^F41)/(F40-F42),0)</f>
        <v>42657</v>
      </c>
      <c r="D40" s="370" t="s">
        <v>1464</v>
      </c>
      <c r="E40" s="347" t="s">
        <v>1465</v>
      </c>
      <c r="F40" s="357">
        <f ca="1">INDIRECT("'数据-取费表'!I"&amp;$G$1)</f>
        <v>0.06</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30.6</v>
      </c>
      <c r="G41" s="1852"/>
      <c r="H41" s="732"/>
      <c r="I41" s="1861"/>
      <c r="J41" s="1862"/>
      <c r="K41" s="751"/>
      <c r="L41" s="732"/>
      <c r="M41" s="732"/>
    </row>
    <row r="42" spans="1:18" ht="18" customHeight="1">
      <c r="A42" s="353"/>
      <c r="B42" s="354"/>
      <c r="C42" s="355"/>
      <c r="D42" s="373"/>
      <c r="E42" s="347" t="s">
        <v>1472</v>
      </c>
      <c r="F42" s="357">
        <f ca="1">INDIRECT("'数据-取费表'!v"&amp;$G$1)</f>
        <v>0.03</v>
      </c>
      <c r="G42" s="1852"/>
      <c r="H42" s="732"/>
      <c r="I42" s="1861"/>
      <c r="J42" s="1862"/>
      <c r="K42" s="751"/>
      <c r="L42" s="732"/>
      <c r="M42" s="732"/>
    </row>
    <row r="43" spans="1:18" ht="18" customHeight="1" thickBot="1">
      <c r="A43" s="380" t="s">
        <v>1033</v>
      </c>
      <c r="B43" s="381" t="s">
        <v>1482</v>
      </c>
      <c r="C43" s="382">
        <f ca="1">ROUND(C40*10000/F43,0)</f>
        <v>39733</v>
      </c>
      <c r="D43" s="383" t="s">
        <v>1483</v>
      </c>
      <c r="E43" s="384" t="s">
        <v>1484</v>
      </c>
      <c r="F43" s="385">
        <f ca="1">INDIRECT("'数据-取费表'!k"&amp;$G$1)</f>
        <v>10736</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-44432</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40</v>
      </c>
      <c r="M47" s="1839" t="str">
        <f>IF(ISNUMBER(FIND("住宅",C1)),"住宅","非住宅")</f>
        <v>非住宅</v>
      </c>
      <c r="O47" s="1885" t="s">
        <v>1040</v>
      </c>
      <c r="P47" s="1886" t="s">
        <v>1523</v>
      </c>
      <c r="Q47" s="1887">
        <f ca="1">C40+J29</f>
        <v>42657</v>
      </c>
      <c r="R47" s="1887" t="s">
        <v>1524</v>
      </c>
    </row>
    <row r="48" spans="1:18" s="1843" customFormat="1" ht="28.5" thickBot="1">
      <c r="A48" s="1363" t="s">
        <v>1135</v>
      </c>
      <c r="B48" s="345" t="s">
        <v>1395</v>
      </c>
      <c r="C48" s="1818">
        <f ca="1">C49+C53+C55</f>
        <v>0</v>
      </c>
      <c r="D48" s="1365"/>
      <c r="E48" s="1366"/>
      <c r="F48" s="1184"/>
      <c r="G48" s="792"/>
      <c r="H48" s="793"/>
      <c r="I48" s="1888" t="s">
        <v>1525</v>
      </c>
      <c r="J48" s="1889" t="s">
        <v>3166</v>
      </c>
      <c r="K48" s="1890" t="s">
        <v>1526</v>
      </c>
      <c r="L48" s="1891">
        <f ca="1">INDIRECT("'数据-取费表'!f"&amp;$G$1)</f>
        <v>33.1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3032</v>
      </c>
      <c r="E49" s="1831" t="s">
        <v>1486</v>
      </c>
      <c r="F49" s="1284"/>
      <c r="G49" s="1892"/>
      <c r="H49" s="793"/>
      <c r="I49" s="1888" t="s">
        <v>1529</v>
      </c>
      <c r="J49" s="1893"/>
      <c r="K49" s="1890" t="s">
        <v>1530</v>
      </c>
      <c r="L49" s="1894"/>
      <c r="O49" s="1895" t="s">
        <v>1042</v>
      </c>
      <c r="P49" s="1886" t="s">
        <v>1531</v>
      </c>
      <c r="Q49" s="1887">
        <f ca="1">C29</f>
        <v>5154</v>
      </c>
      <c r="R49" s="1887" t="s">
        <v>1524</v>
      </c>
    </row>
    <row r="50" spans="1:18" s="1843" customFormat="1" ht="13.5" thickBot="1">
      <c r="A50" s="1198"/>
      <c r="B50" s="1201"/>
      <c r="C50" s="1371"/>
      <c r="D50" s="1175"/>
      <c r="E50" s="1280" t="s">
        <v>1400</v>
      </c>
      <c r="F50" s="1281">
        <f ca="1">F7</f>
        <v>10736</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26424</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30.6</v>
      </c>
      <c r="R52" s="1887" t="s">
        <v>1541</v>
      </c>
    </row>
    <row r="53" spans="1:18" s="1843" customFormat="1" ht="24.75" thickBot="1">
      <c r="A53" s="1408" t="s">
        <v>1137</v>
      </c>
      <c r="B53" s="1832" t="s">
        <v>1403</v>
      </c>
      <c r="C53" s="361">
        <f ca="1">ROUND(IF(F53="押一",F49*F51*F50/12*F11,IF(F53="押二",F49*F51*F50/12*2*F11,IF(F53="押三",F49*F51*F50/12*3*F11,C54*F11)))/10000,0)</f>
        <v>0</v>
      </c>
      <c r="D53" s="1825" t="s">
        <v>3030</v>
      </c>
      <c r="E53" s="358" t="s">
        <v>1405</v>
      </c>
      <c r="F53" s="1369"/>
      <c r="I53" s="1906" t="s">
        <v>1542</v>
      </c>
      <c r="J53" s="1907">
        <f ca="1">IF(M47="住宅",J51,IF(D1="——",MIN(J51,L48),IF(D1="在建（套用方法）",MIN(J51,L48-'数据-取费表'!B24),IF(D1="土地（套用方法）",MIN(J51,L48-'数据-取费表'!B20)))))</f>
        <v>30.6</v>
      </c>
      <c r="K53" s="3237" t="s">
        <v>1543</v>
      </c>
      <c r="L53" s="3238"/>
      <c r="O53" s="1885" t="s">
        <v>1046</v>
      </c>
      <c r="P53" s="1886" t="s">
        <v>1544</v>
      </c>
      <c r="Q53" s="1887">
        <f ca="1">Q47+Q48</f>
        <v>42657</v>
      </c>
      <c r="R53" s="1887" t="s">
        <v>1047</v>
      </c>
    </row>
    <row r="54" spans="1:18" s="1843" customFormat="1" ht="13.5" thickBot="1">
      <c r="A54" s="1409"/>
      <c r="B54" s="1826" t="s">
        <v>1382</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5154</v>
      </c>
      <c r="D56" s="1915"/>
      <c r="E56" s="1916"/>
      <c r="F56" s="1908"/>
      <c r="I56" s="1917" t="s">
        <v>1549</v>
      </c>
      <c r="J56" s="1918" t="s">
        <v>3047</v>
      </c>
      <c r="K56" s="1888" t="s">
        <v>1550</v>
      </c>
      <c r="L56" s="1891" t="str">
        <f ca="1">IF(L48&lt;J51,"——",L48-J53)</f>
        <v>——</v>
      </c>
      <c r="O56" s="1885" t="s">
        <v>1040</v>
      </c>
      <c r="P56" s="1886" t="s">
        <v>1523</v>
      </c>
      <c r="Q56" s="1887">
        <f ca="1">C40+J29</f>
        <v>42657</v>
      </c>
      <c r="R56" s="1887" t="s">
        <v>1524</v>
      </c>
    </row>
    <row r="57" spans="1:18" s="1843" customFormat="1" ht="24.75" thickBot="1">
      <c r="A57" s="1919"/>
      <c r="B57" s="1172" t="s">
        <v>1473</v>
      </c>
      <c r="C57" s="282">
        <f ca="1">C29</f>
        <v>5154</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128</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43.4</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IF(项目基本情况!B11="自然人","——",IF(D61="按租金收入计税",ROUND(C48*F61,2),IF(D61="按房产原值计税",ROUND(C57*F61*0.7,2),INDIRECT("'数据-取费表'!Aj"&amp;$G$1))))</f>
        <v>43.29</v>
      </c>
      <c r="D61" s="1829" t="s">
        <v>1433</v>
      </c>
      <c r="E61" s="1172" t="s">
        <v>1489</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IF(项目基本情况!B11="自然人","——",ROUND(F62*F63/10000,2))</f>
        <v>0.13</v>
      </c>
      <c r="D62" s="1187" t="s">
        <v>1492</v>
      </c>
      <c r="E62" s="1172" t="s">
        <v>1493</v>
      </c>
      <c r="F62" s="371">
        <f t="shared" si="0"/>
        <v>1.5</v>
      </c>
      <c r="I62" s="1930" t="s">
        <v>1565</v>
      </c>
      <c r="J62" s="1931" t="s">
        <v>1566</v>
      </c>
      <c r="K62" s="1931" t="s">
        <v>1567</v>
      </c>
      <c r="L62" s="1931" t="s">
        <v>1568</v>
      </c>
      <c r="M62" s="1932" t="s">
        <v>1569</v>
      </c>
      <c r="O62" s="1885" t="s">
        <v>1046</v>
      </c>
      <c r="P62" s="1886" t="s">
        <v>1570</v>
      </c>
      <c r="Q62" s="1887">
        <f ca="1">Q56+Q57</f>
        <v>42657</v>
      </c>
      <c r="R62" s="1887" t="s">
        <v>1047</v>
      </c>
    </row>
    <row r="63" spans="1:18" s="1843" customFormat="1" ht="13.5" thickBot="1">
      <c r="A63" s="372"/>
      <c r="B63" s="1178"/>
      <c r="C63" s="29"/>
      <c r="D63" s="1188"/>
      <c r="E63" s="1172" t="s">
        <v>1494</v>
      </c>
      <c r="F63" s="348">
        <f t="shared" ca="1" si="0"/>
        <v>858.63</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ROUND(C57*F64,1)</f>
        <v>77.3</v>
      </c>
      <c r="D64" s="1186" t="s">
        <v>1497</v>
      </c>
      <c r="E64" s="1172" t="s">
        <v>1489</v>
      </c>
      <c r="F64" s="374">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7.7</v>
      </c>
      <c r="D65" s="1186" t="s">
        <v>1449</v>
      </c>
      <c r="E65" s="1172" t="s">
        <v>1450</v>
      </c>
      <c r="F65" s="376">
        <f t="shared" ca="1" si="0"/>
        <v>1.5E-3</v>
      </c>
      <c r="I65" s="1930" t="s">
        <v>1574</v>
      </c>
      <c r="J65" s="1931">
        <v>40</v>
      </c>
      <c r="K65" s="1931">
        <v>30</v>
      </c>
      <c r="L65" s="1931">
        <v>50</v>
      </c>
      <c r="M65" s="1933">
        <v>0.02</v>
      </c>
      <c r="O65" s="1885" t="s">
        <v>1040</v>
      </c>
      <c r="P65" s="1886" t="s">
        <v>1575</v>
      </c>
      <c r="Q65" s="1887">
        <f ca="1">C40+J29</f>
        <v>42657</v>
      </c>
      <c r="R65" s="1887" t="s">
        <v>1524</v>
      </c>
    </row>
    <row r="66" spans="1:18" s="1843" customFormat="1" ht="16.5" thickBot="1">
      <c r="A66" s="1204" t="s">
        <v>1499</v>
      </c>
      <c r="B66" s="1172" t="s">
        <v>1434</v>
      </c>
      <c r="C66" s="24">
        <f ca="1">ROUND(C48*F66,1)</f>
        <v>0</v>
      </c>
      <c r="D66" s="1186" t="s">
        <v>1500</v>
      </c>
      <c r="E66" s="1172" t="s">
        <v>1417</v>
      </c>
      <c r="F66" s="357">
        <f t="shared" ca="1" si="0"/>
        <v>0.01</v>
      </c>
      <c r="O66" s="1885" t="s">
        <v>1041</v>
      </c>
      <c r="P66" s="1886" t="s">
        <v>1553</v>
      </c>
      <c r="Q66" s="1887">
        <f ca="1">L60</f>
        <v>0</v>
      </c>
      <c r="R66" s="1887" t="s">
        <v>1576</v>
      </c>
    </row>
    <row r="67" spans="1:18" s="1843" customFormat="1" ht="16.5" thickBot="1">
      <c r="A67" s="1179" t="s">
        <v>1031</v>
      </c>
      <c r="B67" s="1189" t="s">
        <v>1458</v>
      </c>
      <c r="C67" s="361">
        <f ca="1">C48-C58</f>
        <v>-128</v>
      </c>
      <c r="D67" s="1185" t="s">
        <v>1459</v>
      </c>
      <c r="E67" s="1190"/>
      <c r="F67" s="1191"/>
      <c r="O67" s="1895" t="s">
        <v>1042</v>
      </c>
      <c r="P67" s="1886" t="s">
        <v>1557</v>
      </c>
      <c r="Q67" s="1934">
        <f ca="1">L51</f>
        <v>26424</v>
      </c>
      <c r="R67" s="1887" t="s">
        <v>1577</v>
      </c>
    </row>
    <row r="68" spans="1:18" s="1843" customFormat="1" ht="16.5" thickBot="1">
      <c r="A68" s="1169" t="s">
        <v>1032</v>
      </c>
      <c r="B68" s="1170" t="s">
        <v>1480</v>
      </c>
      <c r="C68" s="346">
        <f ca="1">ROUND(C67*(1-((1+F70)/(1+F68))^F69)/(F68-F70),0)</f>
        <v>-1775</v>
      </c>
      <c r="D68" s="1187" t="s">
        <v>1464</v>
      </c>
      <c r="E68" s="1172" t="s">
        <v>1465</v>
      </c>
      <c r="F68" s="357">
        <f ca="1">F40</f>
        <v>0.06</v>
      </c>
      <c r="O68" s="1895" t="s">
        <v>1043</v>
      </c>
      <c r="P68" s="1935" t="s">
        <v>1578</v>
      </c>
      <c r="Q68" s="1887">
        <f ca="1">ROUND(Q69-Q70*Q71,0)</f>
        <v>1751</v>
      </c>
      <c r="R68" s="1887" t="s">
        <v>1051</v>
      </c>
    </row>
    <row r="69" spans="1:18" s="1843" customFormat="1" ht="13.5" thickBot="1">
      <c r="A69" s="1173"/>
      <c r="B69" s="1174"/>
      <c r="C69" s="351"/>
      <c r="D69" s="1192" t="s">
        <v>1468</v>
      </c>
      <c r="E69" s="1172" t="s">
        <v>1469</v>
      </c>
      <c r="F69" s="379">
        <f ca="1">F41</f>
        <v>30.6</v>
      </c>
      <c r="O69" s="1895" t="s">
        <v>1048</v>
      </c>
      <c r="P69" s="1935" t="s">
        <v>1579</v>
      </c>
      <c r="Q69" s="1887">
        <f ca="1">C39</f>
        <v>2189</v>
      </c>
      <c r="R69" s="1887" t="s">
        <v>1524</v>
      </c>
    </row>
    <row r="70" spans="1:18" s="1843" customFormat="1" ht="13.5" thickBot="1">
      <c r="A70" s="1176"/>
      <c r="B70" s="1177"/>
      <c r="C70" s="355"/>
      <c r="D70" s="1188"/>
      <c r="E70" s="1172" t="s">
        <v>1472</v>
      </c>
      <c r="F70" s="1278"/>
      <c r="O70" s="1895" t="s">
        <v>1049</v>
      </c>
      <c r="P70" s="1935" t="s">
        <v>1580</v>
      </c>
      <c r="Q70" s="1887">
        <f ca="1">C13</f>
        <v>5154</v>
      </c>
      <c r="R70" s="1887" t="s">
        <v>1524</v>
      </c>
    </row>
    <row r="71" spans="1:18" s="1843" customFormat="1" ht="13.5" thickBot="1">
      <c r="A71" s="1193" t="s">
        <v>1033</v>
      </c>
      <c r="B71" s="1194" t="s">
        <v>1482</v>
      </c>
      <c r="C71" s="382">
        <f ca="1">ROUND(C68*10000/F71,0)</f>
        <v>-1653</v>
      </c>
      <c r="D71" s="1195" t="s">
        <v>1483</v>
      </c>
      <c r="E71" s="1196" t="s">
        <v>1484</v>
      </c>
      <c r="F71" s="385">
        <f ca="1">F43</f>
        <v>10736</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438</v>
      </c>
      <c r="D75" s="1843"/>
      <c r="E75" s="1843"/>
      <c r="F75" s="1843"/>
      <c r="K75" s="1869"/>
      <c r="L75" s="1843"/>
      <c r="O75" s="1885" t="s">
        <v>1046</v>
      </c>
      <c r="P75" s="1886" t="s">
        <v>1544</v>
      </c>
      <c r="Q75" s="1887">
        <f ca="1">Q65+Q66</f>
        <v>42657</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0.8</v>
      </c>
    </row>
    <row r="80" spans="1:18">
      <c r="B80" s="386" t="s">
        <v>1506</v>
      </c>
      <c r="C80" s="318">
        <f ca="1">ROUND(C75/C39,3)</f>
        <v>0.2</v>
      </c>
    </row>
    <row r="81" spans="2:3">
      <c r="B81" s="314" t="s">
        <v>1507</v>
      </c>
      <c r="C81" s="282"/>
    </row>
    <row r="82" spans="2:3">
      <c r="B82" s="317" t="s">
        <v>1508</v>
      </c>
      <c r="C82" s="319">
        <f ca="1">1-C83</f>
        <v>0.879</v>
      </c>
    </row>
    <row r="83" spans="2:3">
      <c r="B83" s="317" t="s">
        <v>1509</v>
      </c>
      <c r="C83" s="318">
        <f ca="1">ROUND(C13/C40,3)</f>
        <v>0.121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c r="D1" s="1821"/>
      <c r="E1" s="1822" t="s">
        <v>1381</v>
      </c>
      <c r="F1" s="1286" t="b">
        <f>J53</f>
        <v>0</v>
      </c>
      <c r="G1" s="1837">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4" t="s">
        <v>1583</v>
      </c>
      <c r="I3" s="1841"/>
      <c r="J3" s="1841"/>
      <c r="K3" s="1842"/>
      <c r="L3" s="1841"/>
      <c r="M3" s="1841"/>
    </row>
    <row r="4" spans="1:37" ht="18" customHeight="1">
      <c r="A4" s="340" t="s">
        <v>1590</v>
      </c>
      <c r="B4" s="341" t="s">
        <v>1591</v>
      </c>
      <c r="C4" s="341" t="s">
        <v>1592</v>
      </c>
      <c r="D4" s="341" t="s">
        <v>1593</v>
      </c>
      <c r="E4" s="342" t="s">
        <v>1594</v>
      </c>
      <c r="F4" s="343"/>
      <c r="G4" s="1852"/>
      <c r="H4" s="340" t="s">
        <v>1590</v>
      </c>
      <c r="I4" s="341" t="s">
        <v>1591</v>
      </c>
      <c r="J4" s="341" t="s">
        <v>1592</v>
      </c>
      <c r="K4" s="341" t="s">
        <v>1593</v>
      </c>
      <c r="L4" s="342" t="s">
        <v>1594</v>
      </c>
      <c r="M4" s="343"/>
    </row>
    <row r="5" spans="1:37" ht="18" customHeight="1">
      <c r="A5" s="344">
        <v>1</v>
      </c>
      <c r="B5" s="345" t="s">
        <v>1595</v>
      </c>
      <c r="C5" s="1295">
        <f ca="1">C6+C10+C12</f>
        <v>0</v>
      </c>
      <c r="D5" s="1823" t="s">
        <v>1596</v>
      </c>
      <c r="E5" s="1296"/>
      <c r="F5" s="1297"/>
      <c r="G5" s="1852"/>
      <c r="H5" s="344">
        <v>1</v>
      </c>
      <c r="I5" s="345" t="s">
        <v>1595</v>
      </c>
      <c r="J5" s="1295">
        <f ca="1">J6+J10+J12</f>
        <v>0</v>
      </c>
      <c r="K5" s="1823" t="s">
        <v>1596</v>
      </c>
      <c r="L5" s="1296"/>
      <c r="M5" s="1297"/>
    </row>
    <row r="6" spans="1:37" ht="18" customHeight="1">
      <c r="A6" s="1294" t="s">
        <v>1035</v>
      </c>
      <c r="B6" s="3239" t="s">
        <v>1397</v>
      </c>
      <c r="C6" s="1299">
        <f ca="1">ROUND(F6*F8*F7*(1-F9),0)</f>
        <v>0</v>
      </c>
      <c r="D6" s="164" t="s">
        <v>3024</v>
      </c>
      <c r="E6" s="347" t="s">
        <v>1399</v>
      </c>
      <c r="F6" s="348">
        <f ca="1">INDIRECT("'数据-取费表'!u"&amp;$G$1)</f>
        <v>0</v>
      </c>
      <c r="G6" s="1852"/>
      <c r="H6" s="1294" t="s">
        <v>1035</v>
      </c>
      <c r="I6" s="3239" t="s">
        <v>1397</v>
      </c>
      <c r="J6" s="346">
        <f ca="1">ROUND(M6*M8*M7*(1-M9),0)</f>
        <v>0</v>
      </c>
      <c r="K6" s="1835" t="s">
        <v>3027</v>
      </c>
      <c r="L6" s="347" t="s">
        <v>1399</v>
      </c>
      <c r="M6" s="348">
        <f ca="1">INDIRECT("'数据-取费表'!z"&amp;$G$1)</f>
        <v>0</v>
      </c>
    </row>
    <row r="7" spans="1:37" ht="18" customHeight="1">
      <c r="A7" s="1298"/>
      <c r="B7" s="3240"/>
      <c r="C7" s="1300"/>
      <c r="D7" s="352"/>
      <c r="E7" s="1301" t="s">
        <v>1400</v>
      </c>
      <c r="F7" s="348">
        <f ca="1">IF(INDIRECT("'数据-取费表'!ah"&amp;$G$1)="",INDIRECT("'数据-取费表'!k"&amp;$G$1),INDIRECT("'数据-取费表'!ah"&amp;$G$1))</f>
        <v>0</v>
      </c>
      <c r="G7" s="1852"/>
      <c r="H7" s="349"/>
      <c r="I7" s="3240"/>
      <c r="J7" s="351"/>
      <c r="K7" s="352"/>
      <c r="L7" s="347" t="s">
        <v>1400</v>
      </c>
      <c r="M7" s="348">
        <f ca="1">F7</f>
        <v>0</v>
      </c>
    </row>
    <row r="8" spans="1:37" ht="18" customHeight="1">
      <c r="A8" s="349"/>
      <c r="B8" s="3240"/>
      <c r="C8" s="351"/>
      <c r="D8" s="352"/>
      <c r="E8" s="347" t="s">
        <v>1401</v>
      </c>
      <c r="F8" s="348">
        <f ca="1">INDIRECT("'数据-取费表'!ai"&amp;$G$1)</f>
        <v>365</v>
      </c>
      <c r="G8" s="1852"/>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v>
      </c>
      <c r="G9" s="1852"/>
      <c r="H9" s="349"/>
      <c r="I9" s="3241"/>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ROUND(IF(F10="押一",F6*F8*F7/12*F11,IF(F10="押二",F6*F8*F7/12*2*F11,IF(F10="押三",F6*F8*F7/12*3*F11,C11*F11))),0)</f>
        <v>0</v>
      </c>
      <c r="D10" s="1825" t="s">
        <v>3025</v>
      </c>
      <c r="E10" s="358" t="s">
        <v>1405</v>
      </c>
      <c r="F10" s="1369"/>
      <c r="G10" s="1852"/>
      <c r="H10" s="1294" t="s">
        <v>1039</v>
      </c>
      <c r="I10" s="1824" t="s">
        <v>1403</v>
      </c>
      <c r="J10" s="346">
        <f ca="1">ROUND(IF(M10="押一",M6*M8*M7/12*M11,IF(M10="押二",M6*M8*M7/12*2*M11,IF(M10="押三",M6*M8*M7/12*3*M11,J11*M11))),0)</f>
        <v>0</v>
      </c>
      <c r="K10" s="1836" t="s">
        <v>3026</v>
      </c>
      <c r="L10" s="358" t="s">
        <v>1405</v>
      </c>
      <c r="M10" s="1369"/>
    </row>
    <row r="11" spans="1:37" ht="18" customHeight="1">
      <c r="A11" s="353"/>
      <c r="B11" s="1826" t="s">
        <v>1597</v>
      </c>
      <c r="C11" s="1181"/>
      <c r="D11" s="352"/>
      <c r="E11" s="358" t="s">
        <v>1407</v>
      </c>
      <c r="F11" s="359">
        <f ca="1">'数据-取费表'!B39</f>
        <v>1.4999999999999999E-2</v>
      </c>
      <c r="G11" s="1852"/>
      <c r="H11" s="1302"/>
      <c r="I11" s="1826" t="s">
        <v>1598</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1034</v>
      </c>
      <c r="B14" s="347" t="s">
        <v>1412</v>
      </c>
      <c r="C14" s="363">
        <f ca="1">ROUND(INDIRECT("'数据-取费表'!l"&amp;$G$1)*F43+'数据-取费表'!L14*INDIRECT("'数据-取费表'!S"&amp;$G$1),0)</f>
        <v>0</v>
      </c>
      <c r="D14" s="1801" t="s">
        <v>1413</v>
      </c>
      <c r="E14" s="1795"/>
      <c r="F14" s="364"/>
      <c r="G14" s="1852"/>
      <c r="H14" s="1204" t="s">
        <v>1035</v>
      </c>
      <c r="I14" s="347" t="s">
        <v>1414</v>
      </c>
      <c r="J14" s="24">
        <f ca="1">C29</f>
        <v>0</v>
      </c>
      <c r="K14" s="15"/>
      <c r="L14" s="982"/>
      <c r="M14" s="983"/>
    </row>
    <row r="15" spans="1:37" s="1859" customFormat="1" ht="18" customHeight="1" thickBot="1">
      <c r="A15" s="1204" t="s">
        <v>1036</v>
      </c>
      <c r="B15" s="347" t="s">
        <v>1415</v>
      </c>
      <c r="C15" s="24">
        <f ca="1">ROUND(C14*F15,0)</f>
        <v>0</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ROUND(INDIRECT("'数据-取费表'!l"&amp;$G$1)*F43*F16,0)</f>
        <v>0</v>
      </c>
      <c r="D16" s="347" t="s">
        <v>1416</v>
      </c>
      <c r="E16" s="347" t="s">
        <v>1417</v>
      </c>
      <c r="F16" s="367">
        <f ca="1">IF(INDIRECT("'数据-取费表'!c"&amp;$G$1)="住宅",'数据-取费表'!B34,0)</f>
        <v>0</v>
      </c>
      <c r="G16" s="1852"/>
      <c r="H16" s="1332" t="s">
        <v>1030</v>
      </c>
      <c r="I16" s="1333" t="s">
        <v>1419</v>
      </c>
      <c r="J16" s="355">
        <f ca="1">ROUND(J17+J22+J23+J24,0)</f>
        <v>0</v>
      </c>
      <c r="K16" s="1340" t="s">
        <v>1420</v>
      </c>
      <c r="L16" s="1341"/>
      <c r="M16" s="1297"/>
    </row>
    <row r="17" spans="1:37" s="1859" customFormat="1" ht="18" customHeight="1">
      <c r="A17" s="1204" t="s">
        <v>1384</v>
      </c>
      <c r="B17" s="347" t="s">
        <v>1421</v>
      </c>
      <c r="C17" s="24">
        <f ca="1">ROUND(F17*(F43+INDIRECT("'数据-取费表'!S"&amp;$G$1)),0)</f>
        <v>0</v>
      </c>
      <c r="D17" s="347" t="s">
        <v>1422</v>
      </c>
      <c r="E17" s="347" t="s">
        <v>1423</v>
      </c>
      <c r="F17" s="26">
        <f>'数据-取费表'!B35</f>
        <v>200</v>
      </c>
      <c r="G17" s="1855"/>
      <c r="H17" s="1204" t="s">
        <v>1035</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0</v>
      </c>
      <c r="D18" s="347" t="s">
        <v>1416</v>
      </c>
      <c r="E18" s="347" t="s">
        <v>1417</v>
      </c>
      <c r="F18" s="367">
        <f>'数据-取费表'!B36</f>
        <v>1.4999999999999999E-2</v>
      </c>
      <c r="G18" s="1855"/>
      <c r="H18" s="1204" t="s">
        <v>1034</v>
      </c>
      <c r="I18" s="347" t="s">
        <v>1428</v>
      </c>
      <c r="J18" s="24">
        <f ca="1">ROUND(J5*M18/(1+'数据-取费表'!C42),0)</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0</v>
      </c>
      <c r="D19" s="140" t="s">
        <v>1431</v>
      </c>
      <c r="E19" s="1819"/>
      <c r="F19" s="26"/>
      <c r="G19" s="1852"/>
      <c r="H19" s="1204" t="s">
        <v>1036</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1039</v>
      </c>
      <c r="B20" s="347" t="s">
        <v>1434</v>
      </c>
      <c r="C20" s="24">
        <f ca="1">ROUND(C19*F20,0)</f>
        <v>0</v>
      </c>
      <c r="D20" s="369" t="s">
        <v>1435</v>
      </c>
      <c r="E20" s="347" t="s">
        <v>1417</v>
      </c>
      <c r="F20" s="367">
        <f>'数据-取费表'!B37</f>
        <v>0.02</v>
      </c>
      <c r="G20" s="1855"/>
      <c r="H20" s="1204" t="s">
        <v>1383</v>
      </c>
      <c r="I20" s="164" t="s">
        <v>1436</v>
      </c>
      <c r="J20" s="25">
        <f ca="1">ROUND(M20*M21,0)</f>
        <v>0</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v>
      </c>
      <c r="D21" s="369" t="s">
        <v>1440</v>
      </c>
      <c r="E21" s="347" t="s">
        <v>1441</v>
      </c>
      <c r="F21" s="367">
        <f>'数据-取费表'!B38</f>
        <v>0.02</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1819"/>
      <c r="F22" s="26"/>
      <c r="G22" s="1852"/>
      <c r="H22" s="1204" t="s">
        <v>1039</v>
      </c>
      <c r="I22" s="347" t="s">
        <v>1444</v>
      </c>
      <c r="J22" s="24">
        <f ca="1">ROUND(J14*M22,0)</f>
        <v>0</v>
      </c>
      <c r="K22" s="1799" t="s">
        <v>1445</v>
      </c>
      <c r="L22" s="347" t="s">
        <v>1417</v>
      </c>
      <c r="M22" s="374">
        <f ca="1">INDIRECT("'数据-取费表'!Ak"&amp;$G$1)</f>
        <v>0</v>
      </c>
    </row>
    <row r="23" spans="1:37" s="1859" customFormat="1" ht="18" customHeight="1">
      <c r="A23" s="1204" t="s">
        <v>1034</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1387</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1031</v>
      </c>
      <c r="I25" s="1347" t="s">
        <v>1458</v>
      </c>
      <c r="J25" s="355">
        <f ca="1">J5-J16</f>
        <v>0</v>
      </c>
      <c r="K25" s="1348" t="s">
        <v>1459</v>
      </c>
      <c r="L25" s="1349"/>
      <c r="M25" s="1350"/>
    </row>
    <row r="26" spans="1:37" ht="18" customHeight="1">
      <c r="A26" s="1204" t="s">
        <v>1034</v>
      </c>
      <c r="B26" s="347" t="s">
        <v>1460</v>
      </c>
      <c r="C26" s="24">
        <f ca="1">ROUND((C19+C20)*F26,0)</f>
        <v>0</v>
      </c>
      <c r="D26" s="369" t="s">
        <v>1461</v>
      </c>
      <c r="E26" s="358" t="s">
        <v>1462</v>
      </c>
      <c r="F26" s="357">
        <f ca="1">INDIRECT("'数据-取费表'!q"&amp;$G$1)</f>
        <v>0</v>
      </c>
      <c r="G26" s="1852"/>
      <c r="H26" s="344" t="s">
        <v>1032</v>
      </c>
      <c r="I26" s="345" t="s">
        <v>1463</v>
      </c>
      <c r="J26" s="346">
        <f ca="1">IF(J5&lt;&gt;0,ROUND(J25*(1-((1+M28)/(1+M26))^M27)/(M26-M28),0),0)</f>
        <v>0</v>
      </c>
      <c r="K26" s="370" t="s">
        <v>1464</v>
      </c>
      <c r="L26" s="347" t="s">
        <v>1465</v>
      </c>
      <c r="M26" s="357">
        <f ca="1">INDIRECT("'数据-取费表'!I"&amp;$G$1)</f>
        <v>0</v>
      </c>
    </row>
    <row r="27" spans="1:37" ht="18" customHeight="1">
      <c r="A27" s="1204" t="s">
        <v>1036</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0</v>
      </c>
      <c r="D29" s="1345"/>
      <c r="E29" s="1343"/>
      <c r="F29" s="1346"/>
      <c r="G29" s="1855"/>
      <c r="H29" s="380" t="s">
        <v>1033</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0</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IF(项目基本情况!B11="自然人","——",ROUND(C5*F32/(1+'数据-取费表'!C42),0))</f>
        <v>0</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f>
        <v>0</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1039</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1075</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1387</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1031</v>
      </c>
      <c r="B39" s="1347" t="s">
        <v>1478</v>
      </c>
      <c r="C39" s="355">
        <f ca="1">C5-C30</f>
        <v>0</v>
      </c>
      <c r="D39" s="1348" t="s">
        <v>1479</v>
      </c>
      <c r="E39" s="1349"/>
      <c r="F39" s="1350"/>
      <c r="G39" s="1852"/>
      <c r="H39" s="1860"/>
      <c r="I39" s="1861"/>
      <c r="J39" s="1862"/>
      <c r="K39" s="1866"/>
      <c r="L39" s="1860"/>
      <c r="M39" s="1860"/>
    </row>
    <row r="40" spans="1:18" ht="18" customHeight="1">
      <c r="A40" s="344" t="s">
        <v>1032</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1033</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1390</v>
      </c>
      <c r="B47" s="1200" t="s">
        <v>1391</v>
      </c>
      <c r="C47" s="1200" t="s">
        <v>1392</v>
      </c>
      <c r="D47" s="1200" t="s">
        <v>1393</v>
      </c>
      <c r="E47" s="1282" t="s">
        <v>1394</v>
      </c>
      <c r="F47" s="1283"/>
      <c r="G47" s="792"/>
      <c r="I47" s="1881" t="s">
        <v>1521</v>
      </c>
      <c r="J47" s="1882"/>
      <c r="K47" s="1883" t="s">
        <v>1522</v>
      </c>
      <c r="L47" s="1884">
        <f ca="1">INDIRECT("'数据-取费表'!d"&amp;$G$1)</f>
        <v>0</v>
      </c>
      <c r="M47" s="1839" t="str">
        <f>IF(ISNUMBER(FIND("住宅",C1)),"住宅","非住宅")</f>
        <v>非住宅</v>
      </c>
      <c r="O47" s="1885" t="s">
        <v>1040</v>
      </c>
      <c r="P47" s="1886" t="s">
        <v>1523</v>
      </c>
      <c r="Q47" s="1887" t="e">
        <f ca="1">C40+J29</f>
        <v>#DIV/0!</v>
      </c>
      <c r="R47" s="1887" t="s">
        <v>1524</v>
      </c>
    </row>
    <row r="48" spans="1:18" s="1843" customFormat="1" ht="28.5" thickBot="1">
      <c r="A48" s="1363" t="s">
        <v>1135</v>
      </c>
      <c r="B48" s="345" t="s">
        <v>1395</v>
      </c>
      <c r="C48" s="1818">
        <f ca="1">C49+C53+C55</f>
        <v>0</v>
      </c>
      <c r="D48" s="1365"/>
      <c r="E48" s="1366"/>
      <c r="F48" s="1184"/>
      <c r="G48" s="792"/>
      <c r="H48" s="793"/>
      <c r="I48" s="1888" t="s">
        <v>1525</v>
      </c>
      <c r="J48" s="1889"/>
      <c r="K48" s="1890" t="s">
        <v>1526</v>
      </c>
      <c r="L48" s="1891">
        <f ca="1">INDIRECT("'数据-取费表'!f"&amp;$G$1)</f>
        <v>0</v>
      </c>
      <c r="O48" s="1885" t="s">
        <v>1041</v>
      </c>
      <c r="P48" s="1886" t="s">
        <v>1527</v>
      </c>
      <c r="Q48" s="1887" t="e">
        <f ca="1">J60</f>
        <v>#DIV/0!</v>
      </c>
      <c r="R48" s="1887" t="s">
        <v>1528</v>
      </c>
    </row>
    <row r="49" spans="1:18" s="1843" customFormat="1" ht="13.5" thickBot="1">
      <c r="A49" s="1197" t="s">
        <v>1136</v>
      </c>
      <c r="B49" s="1830" t="s">
        <v>1485</v>
      </c>
      <c r="C49" s="1367">
        <f ca="1">ROUND(F49*F51*F50*(1-F52),0)</f>
        <v>0</v>
      </c>
      <c r="D49" s="1279" t="s">
        <v>1398</v>
      </c>
      <c r="E49" s="1831" t="s">
        <v>1486</v>
      </c>
      <c r="F49" s="1284"/>
      <c r="G49" s="1892"/>
      <c r="H49" s="793"/>
      <c r="I49" s="1888" t="s">
        <v>1529</v>
      </c>
      <c r="J49" s="1893"/>
      <c r="K49" s="1890" t="s">
        <v>1530</v>
      </c>
      <c r="L49" s="1894"/>
      <c r="O49" s="1895" t="s">
        <v>1042</v>
      </c>
      <c r="P49" s="1886" t="s">
        <v>1531</v>
      </c>
      <c r="Q49" s="1887">
        <f ca="1">C29</f>
        <v>0</v>
      </c>
      <c r="R49" s="1887" t="s">
        <v>1524</v>
      </c>
    </row>
    <row r="50" spans="1:18" s="1843" customFormat="1" ht="13.5" thickBot="1">
      <c r="A50" s="1198"/>
      <c r="B50" s="1201"/>
      <c r="C50" s="1202"/>
      <c r="D50" s="1175"/>
      <c r="E50" s="1280" t="s">
        <v>1400</v>
      </c>
      <c r="F50" s="1281">
        <f ca="1">F7</f>
        <v>0</v>
      </c>
      <c r="H50" s="793"/>
      <c r="I50" s="1888" t="s">
        <v>1532</v>
      </c>
      <c r="J50" s="1896">
        <f>SUMPRODUCT((I63:I65=J47)*(J62:L62=J48)*(J63:L65))</f>
        <v>0</v>
      </c>
      <c r="K50" s="1890" t="s">
        <v>1533</v>
      </c>
      <c r="L50" s="1894"/>
      <c r="M50" s="1897"/>
      <c r="O50" s="1895" t="s">
        <v>1043</v>
      </c>
      <c r="P50" s="1886" t="s">
        <v>1534</v>
      </c>
      <c r="Q50" s="1898" t="e">
        <f ca="1">J58</f>
        <v>#DIV/0!</v>
      </c>
      <c r="R50" s="1887"/>
    </row>
    <row r="51" spans="1:18" s="1843" customFormat="1" ht="13.5" thickBot="1">
      <c r="A51" s="1199"/>
      <c r="B51" s="1201"/>
      <c r="C51" s="1202"/>
      <c r="D51" s="1175"/>
      <c r="E51" s="1203" t="s">
        <v>1401</v>
      </c>
      <c r="F51" s="348">
        <f ca="1">F8</f>
        <v>365</v>
      </c>
      <c r="I51" s="1899" t="s">
        <v>1535</v>
      </c>
      <c r="J51" s="1900">
        <f>IF(J49="",J50,J49+J50-YEAR('数据-取费表'!B2))</f>
        <v>0</v>
      </c>
      <c r="K51" s="1901" t="s">
        <v>1536</v>
      </c>
      <c r="L51" s="1902">
        <f ca="1">ROUND(-PV(INDIRECT("'数据-取费表'!h"&amp;$G$1),L48,(C39-C13*C76),0),0)</f>
        <v>0</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t="b">
        <f>J53</f>
        <v>0</v>
      </c>
      <c r="R52" s="1887" t="s">
        <v>1541</v>
      </c>
    </row>
    <row r="53" spans="1:18" s="1843" customFormat="1" ht="30.75" customHeight="1" thickBot="1">
      <c r="A53" s="1364" t="s">
        <v>1137</v>
      </c>
      <c r="B53" s="369" t="s">
        <v>1403</v>
      </c>
      <c r="C53" s="361">
        <f ca="1">ROUND(IF(F53="押一",F49*F51*F50/12*F11,IF(F53="押二",F49*F51*F50/12*2*F11,IF(F53="押三",F49*F51*F50/12*3*F11,C54*F11))),0)</f>
        <v>0</v>
      </c>
      <c r="D53" s="1825" t="s">
        <v>1404</v>
      </c>
      <c r="E53" s="358" t="s">
        <v>1405</v>
      </c>
      <c r="F53" s="1369"/>
      <c r="I53" s="1906" t="s">
        <v>1542</v>
      </c>
      <c r="J53" s="1907" t="b">
        <f>IF(M47="住宅",J51,IF(D1="——",MIN(J51,L48),IF(D1="在建（套用方法）",MIN(J51,L48-'数据-取费表'!B24),IF(D1="土地（套用方法）",MIN(J51,L48-'数据-取费表'!B20)))))</f>
        <v>0</v>
      </c>
      <c r="K53" s="3237" t="s">
        <v>1543</v>
      </c>
      <c r="L53" s="3238"/>
      <c r="O53" s="1885" t="s">
        <v>1046</v>
      </c>
      <c r="P53" s="1886" t="s">
        <v>1544</v>
      </c>
      <c r="Q53" s="1887" t="e">
        <f ca="1">Q47+Q48</f>
        <v>#DIV/0!</v>
      </c>
      <c r="R53" s="1887" t="s">
        <v>1047</v>
      </c>
    </row>
    <row r="54" spans="1:18" s="1843" customFormat="1" ht="13.5" thickBot="1">
      <c r="A54" s="1197"/>
      <c r="B54" s="1942" t="s">
        <v>1598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1549</v>
      </c>
      <c r="J56" s="1918"/>
      <c r="K56" s="1888" t="s">
        <v>1550</v>
      </c>
      <c r="L56" s="1891">
        <f ca="1">IF(L48&lt;J51,"——",L48-J51)</f>
        <v>0</v>
      </c>
      <c r="O56" s="1885" t="s">
        <v>1040</v>
      </c>
      <c r="P56" s="1886" t="s">
        <v>1523</v>
      </c>
      <c r="Q56" s="1887" t="e">
        <f ca="1">C40+J29</f>
        <v>#DIV/0!</v>
      </c>
      <c r="R56" s="1887" t="s">
        <v>1524</v>
      </c>
    </row>
    <row r="57" spans="1:18" s="1843" customFormat="1" ht="24.75" thickBot="1">
      <c r="A57" s="1919"/>
      <c r="B57" s="1172" t="s">
        <v>1473</v>
      </c>
      <c r="C57" s="282">
        <f ca="1">C29</f>
        <v>0</v>
      </c>
      <c r="D57" s="1920"/>
      <c r="E57" s="1921"/>
      <c r="F57" s="1922"/>
      <c r="I57" s="1923" t="s">
        <v>1551</v>
      </c>
      <c r="J57" s="1924">
        <f ca="1">IF(OR(M47="住宅",J51&lt;L48,J56="是"),"——",J51-L48)</f>
        <v>0</v>
      </c>
      <c r="K57" s="1888" t="s">
        <v>1600</v>
      </c>
      <c r="L57" s="1891">
        <f ca="1">IF(L48&lt;J51,"——",IF(L55="比较法",L49,IF(L55="基准地价",L50,L51)))</f>
        <v>0</v>
      </c>
      <c r="O57" s="1885" t="s">
        <v>1041</v>
      </c>
      <c r="P57" s="1886" t="s">
        <v>1601</v>
      </c>
      <c r="Q57" s="1887" t="e">
        <f ca="1">L60</f>
        <v>#DIV/0!</v>
      </c>
      <c r="R57" s="1887" t="s">
        <v>1602</v>
      </c>
    </row>
    <row r="58" spans="1:18" s="1843" customFormat="1" ht="24.75" thickBot="1">
      <c r="A58" s="360" t="s">
        <v>1030</v>
      </c>
      <c r="B58" s="1180" t="s">
        <v>1419</v>
      </c>
      <c r="C58" s="361">
        <f ca="1">ROUND(C59+C64+C65+C66,0)</f>
        <v>0</v>
      </c>
      <c r="D58" s="1182" t="s">
        <v>1420</v>
      </c>
      <c r="E58" s="1183"/>
      <c r="F58" s="1184"/>
      <c r="I58" s="1923" t="s">
        <v>1555</v>
      </c>
      <c r="J58" s="1925" t="e">
        <f ca="1">IF(J55&lt;0.4,0.4,J55)</f>
        <v>#DIV/0!</v>
      </c>
      <c r="K58" s="1901" t="s">
        <v>1603</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IF(项目基本情况!B11="自然人","——",ROUND(C48*F60/(1+'数据-取费表'!C42),0))</f>
        <v>0</v>
      </c>
      <c r="D60" s="1186" t="s">
        <v>1429</v>
      </c>
      <c r="E60" s="1172" t="s">
        <v>1417</v>
      </c>
      <c r="F60" s="377">
        <f t="shared" ref="F60:F66" si="0">F32</f>
        <v>5.5000000000000007E-2</v>
      </c>
      <c r="I60" s="1926" t="s">
        <v>1560</v>
      </c>
      <c r="J60" s="1927" t="e">
        <f ca="1">IF(OR(M47="住宅",J51&lt;L48,J56="是"),"0",ROUND(J59/(1+J52)^J53,0))</f>
        <v>#DIV/0!</v>
      </c>
      <c r="K60" s="1928" t="s">
        <v>1561</v>
      </c>
      <c r="L60" s="1927" t="e">
        <f ca="1">IF(OR(M47="住宅",L48&lt;J51),0,ROUND(L57*(L58/L59-1),0))</f>
        <v>#DIV/0!</v>
      </c>
      <c r="O60" s="1895" t="s">
        <v>1044</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1045</v>
      </c>
      <c r="P61" s="1886" t="str">
        <f>K59</f>
        <v>建设期及建筑物耐用年限下的土地年期修正系数Kn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IF(项目基本情况!B11="自然人","——",ROUND(F62*F63,0))</f>
        <v>0</v>
      </c>
      <c r="D62" s="1187" t="s">
        <v>1492</v>
      </c>
      <c r="E62" s="1172" t="s">
        <v>1493</v>
      </c>
      <c r="F62" s="371">
        <f t="shared" si="0"/>
        <v>1.5</v>
      </c>
      <c r="I62" s="1930" t="s">
        <v>1565</v>
      </c>
      <c r="J62" s="1931" t="s">
        <v>1566</v>
      </c>
      <c r="K62" s="1931" t="s">
        <v>1567</v>
      </c>
      <c r="L62" s="1931" t="s">
        <v>1568</v>
      </c>
      <c r="M62" s="1932" t="s">
        <v>1569</v>
      </c>
      <c r="O62" s="1885" t="s">
        <v>1046</v>
      </c>
      <c r="P62" s="1886" t="s">
        <v>1570</v>
      </c>
      <c r="Q62" s="1887" t="e">
        <f ca="1">Q56+Q57</f>
        <v>#DIV/0!</v>
      </c>
      <c r="R62" s="1887" t="s">
        <v>1047</v>
      </c>
    </row>
    <row r="63" spans="1:18" s="1843" customFormat="1" ht="13.5" thickBot="1">
      <c r="A63" s="372"/>
      <c r="B63" s="1178"/>
      <c r="C63" s="29"/>
      <c r="D63" s="1188"/>
      <c r="E63" s="1172" t="s">
        <v>1494</v>
      </c>
      <c r="F63" s="348">
        <f t="shared" ca="1" si="0"/>
        <v>0</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1574</v>
      </c>
      <c r="J65" s="1931">
        <v>40</v>
      </c>
      <c r="K65" s="1931">
        <v>30</v>
      </c>
      <c r="L65" s="1931">
        <v>50</v>
      </c>
      <c r="M65" s="1933">
        <v>0.02</v>
      </c>
      <c r="O65" s="1885" t="s">
        <v>1040</v>
      </c>
      <c r="P65" s="1886" t="s">
        <v>1575</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1041</v>
      </c>
      <c r="P66" s="1886" t="s">
        <v>1553</v>
      </c>
      <c r="Q66" s="1887" t="e">
        <f ca="1">L60</f>
        <v>#DIV/0!</v>
      </c>
      <c r="R66" s="1887" t="s">
        <v>1576</v>
      </c>
    </row>
    <row r="67" spans="1:18" s="1843" customFormat="1" ht="16.5" thickBot="1">
      <c r="A67" s="1179" t="s">
        <v>1031</v>
      </c>
      <c r="B67" s="1189" t="s">
        <v>1458</v>
      </c>
      <c r="C67" s="361">
        <f ca="1">C48-C58</f>
        <v>0</v>
      </c>
      <c r="D67" s="1185" t="s">
        <v>1459</v>
      </c>
      <c r="E67" s="1190"/>
      <c r="F67" s="1191"/>
      <c r="O67" s="1895" t="s">
        <v>1042</v>
      </c>
      <c r="P67" s="1886" t="s">
        <v>1557</v>
      </c>
      <c r="Q67" s="1934">
        <f ca="1">L51</f>
        <v>0</v>
      </c>
      <c r="R67" s="1887" t="s">
        <v>1577</v>
      </c>
    </row>
    <row r="68" spans="1:18" s="1843" customFormat="1" ht="16.5" thickBot="1">
      <c r="A68" s="1169" t="s">
        <v>1032</v>
      </c>
      <c r="B68" s="1170" t="s">
        <v>1480</v>
      </c>
      <c r="C68" s="346" t="e">
        <f ca="1">ROUND(C67*(1-((1+F70)/(1+F68))^F69)/(F68-F70),0)</f>
        <v>#DIV/0!</v>
      </c>
      <c r="D68" s="1187" t="s">
        <v>1464</v>
      </c>
      <c r="E68" s="1172" t="s">
        <v>1465</v>
      </c>
      <c r="F68" s="357">
        <f ca="1">F40</f>
        <v>0</v>
      </c>
      <c r="O68" s="1895" t="s">
        <v>1043</v>
      </c>
      <c r="P68" s="1935" t="s">
        <v>1578</v>
      </c>
      <c r="Q68" s="1887">
        <f ca="1">ROUND(Q69-Q70*Q71,0)</f>
        <v>0</v>
      </c>
      <c r="R68" s="1887" t="s">
        <v>1051</v>
      </c>
    </row>
    <row r="69" spans="1:18" s="1843" customFormat="1" ht="13.5" thickBot="1">
      <c r="A69" s="1173"/>
      <c r="B69" s="1174"/>
      <c r="C69" s="351"/>
      <c r="D69" s="1192" t="s">
        <v>1468</v>
      </c>
      <c r="E69" s="1172" t="s">
        <v>1469</v>
      </c>
      <c r="F69" s="379">
        <f ca="1">F41</f>
        <v>0</v>
      </c>
      <c r="O69" s="1895" t="s">
        <v>1048</v>
      </c>
      <c r="P69" s="1935" t="s">
        <v>1579</v>
      </c>
      <c r="Q69" s="1887">
        <f ca="1">C39</f>
        <v>0</v>
      </c>
      <c r="R69" s="1887" t="s">
        <v>1524</v>
      </c>
    </row>
    <row r="70" spans="1:18" s="1843" customFormat="1" ht="13.5" thickBot="1">
      <c r="A70" s="1176"/>
      <c r="B70" s="1177"/>
      <c r="C70" s="355"/>
      <c r="D70" s="1188"/>
      <c r="E70" s="1172" t="s">
        <v>1472</v>
      </c>
      <c r="F70" s="1278">
        <f ca="1">F42</f>
        <v>0</v>
      </c>
      <c r="O70" s="1895" t="s">
        <v>1049</v>
      </c>
      <c r="P70" s="1935" t="s">
        <v>1580</v>
      </c>
      <c r="Q70" s="1887">
        <f ca="1">C13</f>
        <v>0</v>
      </c>
      <c r="R70" s="1887" t="s">
        <v>1524</v>
      </c>
    </row>
    <row r="71" spans="1:18" s="1843" customFormat="1" ht="13.5" thickBot="1">
      <c r="A71" s="1193" t="s">
        <v>1033</v>
      </c>
      <c r="B71" s="1194" t="s">
        <v>1482</v>
      </c>
      <c r="C71" s="382" t="e">
        <f ca="1">ROUND(C68/F71,0)</f>
        <v>#DIV/0!</v>
      </c>
      <c r="D71" s="1195" t="s">
        <v>1483</v>
      </c>
      <c r="E71" s="1196" t="s">
        <v>1484</v>
      </c>
      <c r="F71" s="385">
        <f ca="1">F43</f>
        <v>0</v>
      </c>
      <c r="O71" s="1895" t="s">
        <v>1050</v>
      </c>
      <c r="P71" s="1935" t="s">
        <v>1581</v>
      </c>
      <c r="Q71" s="1898">
        <f ca="1">C76</f>
        <v>0</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建设期及建筑物耐用年限下的土地年期修正系数Kn</v>
      </c>
      <c r="Q74" s="1887" t="e">
        <f ca="1">L59</f>
        <v>#DIV/0!</v>
      </c>
      <c r="R74" s="1887" t="s">
        <v>1564</v>
      </c>
    </row>
    <row r="75" spans="1:18" ht="13.5" thickBot="1">
      <c r="A75" s="1843"/>
      <c r="B75" s="386" t="s">
        <v>1501</v>
      </c>
      <c r="C75" s="387">
        <f ca="1">ROUND(C13*C76,0)</f>
        <v>0</v>
      </c>
      <c r="D75" s="1843"/>
      <c r="E75" s="1843"/>
      <c r="F75" s="1843"/>
      <c r="K75" s="1869"/>
      <c r="L75" s="1843"/>
      <c r="O75" s="1885" t="s">
        <v>1046</v>
      </c>
      <c r="P75" s="1886" t="s">
        <v>1544</v>
      </c>
      <c r="Q75" s="1887" t="e">
        <f ca="1">Q65+Q66</f>
        <v>#DIV/0!</v>
      </c>
      <c r="R75" s="1887" t="s">
        <v>1047</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2521</v>
      </c>
      <c r="B1" s="2563"/>
      <c r="C1" s="2563"/>
      <c r="D1" s="2563"/>
      <c r="E1" s="2564"/>
    </row>
    <row r="2" spans="1:6" ht="15.75">
      <c r="A2" s="2565" t="s">
        <v>2325</v>
      </c>
      <c r="B2" s="2566">
        <f ca="1">SUMIF(B6:B13,"&lt;&gt;#ref!",B6:B13)</f>
        <v>76293</v>
      </c>
      <c r="C2" s="2567" t="s">
        <v>2514</v>
      </c>
      <c r="D2" s="2568" t="s">
        <v>2515</v>
      </c>
      <c r="E2" s="2569">
        <f>SUM(E6:E13)</f>
        <v>118483.73</v>
      </c>
    </row>
    <row r="3" spans="1:6" ht="15.75">
      <c r="A3" s="2565" t="s">
        <v>1389</v>
      </c>
      <c r="B3" s="2566">
        <f ca="1">ROUND(B2*10000/E2,0)</f>
        <v>6439</v>
      </c>
      <c r="C3" s="2567" t="s">
        <v>2522</v>
      </c>
      <c r="D3" s="2570"/>
      <c r="E3" s="2571"/>
    </row>
    <row r="4" spans="1:6" ht="15.75">
      <c r="A4" s="2572"/>
      <c r="B4" s="2570"/>
      <c r="C4" s="2570"/>
      <c r="D4" s="2570"/>
      <c r="E4" s="2571"/>
    </row>
    <row r="5" spans="1:6" ht="15">
      <c r="A5" s="2573" t="s">
        <v>2516</v>
      </c>
      <c r="B5" s="3242" t="s">
        <v>2517</v>
      </c>
      <c r="C5" s="3242"/>
      <c r="D5" s="2574"/>
      <c r="E5" s="2575" t="s">
        <v>2518</v>
      </c>
      <c r="F5" s="2576" t="s">
        <v>2519</v>
      </c>
    </row>
    <row r="6" spans="1:6">
      <c r="A6" s="2577" t="str">
        <f>'数据-取费表'!AN6</f>
        <v>收益法</v>
      </c>
      <c r="B6" s="2576" t="e">
        <f ca="1">IF(F6="是",'数据-取费表'!AO6,0)</f>
        <v>#REF!</v>
      </c>
      <c r="C6" s="2567" t="s">
        <v>2514</v>
      </c>
      <c r="D6" s="2570"/>
      <c r="E6" s="2578">
        <f>IF(OR(A6=0,F6="否"),0,'数据-取费表'!K6+'数据-取费表'!S6)</f>
        <v>78303.429999999993</v>
      </c>
      <c r="F6" s="2579" t="s">
        <v>2520</v>
      </c>
    </row>
    <row r="7" spans="1:6">
      <c r="A7" s="2577">
        <f>'数据-取费表'!AN7</f>
        <v>0</v>
      </c>
      <c r="B7" s="2576" t="e">
        <f ca="1">IF(F7="是",'数据-取费表'!AO7,0)</f>
        <v>#REF!</v>
      </c>
      <c r="C7" s="2567" t="s">
        <v>2514</v>
      </c>
      <c r="D7" s="2570"/>
      <c r="E7" s="2578">
        <f>IF(OR(A7=0,F7="否"),0,'数据-取费表'!K7+'数据-取费表'!S7)</f>
        <v>0</v>
      </c>
      <c r="F7" s="2579" t="s">
        <v>2520</v>
      </c>
    </row>
    <row r="8" spans="1:6">
      <c r="A8" s="2577" t="str">
        <f>'数据-取费表'!AN8</f>
        <v>收益法地上商业</v>
      </c>
      <c r="B8" s="2576">
        <f ca="1">IF(F8="是",'数据-取费表'!AO8,0)</f>
        <v>42657</v>
      </c>
      <c r="C8" s="2567" t="s">
        <v>2514</v>
      </c>
      <c r="D8" s="2570"/>
      <c r="E8" s="2578">
        <f>IF(OR(A8=0,F8="否"),0,'数据-取费表'!K8+'数据-取费表'!S8)</f>
        <v>11397</v>
      </c>
      <c r="F8" s="2579" t="s">
        <v>2520</v>
      </c>
    </row>
    <row r="9" spans="1:6">
      <c r="A9" s="2577" t="str">
        <f>'数据-取费表'!AN9</f>
        <v>收益法地下商业</v>
      </c>
      <c r="B9" s="2576">
        <f ca="1">IF(F9="是",'数据-取费表'!AO9,0)</f>
        <v>16505</v>
      </c>
      <c r="C9" s="2567" t="s">
        <v>2514</v>
      </c>
      <c r="D9" s="2570"/>
      <c r="E9" s="2578">
        <f>IF(OR(A9=0,F9="否"),0,'数据-取费表'!K9+'数据-取费表'!S9)</f>
        <v>6330.48</v>
      </c>
      <c r="F9" s="2579" t="s">
        <v>2520</v>
      </c>
    </row>
    <row r="10" spans="1:6">
      <c r="A10" s="2577" t="str">
        <f>'数据-取费表'!AN10</f>
        <v>收益法车库</v>
      </c>
      <c r="B10" s="2576">
        <f ca="1">IF(F10="是",'数据-取费表'!AO10,0)</f>
        <v>15892</v>
      </c>
      <c r="C10" s="2567" t="s">
        <v>2514</v>
      </c>
      <c r="D10" s="2570"/>
      <c r="E10" s="2578">
        <f>IF(OR(A10=0,F10="否"),0,'数据-取费表'!K10+'数据-取费表'!S10)</f>
        <v>20965.77</v>
      </c>
      <c r="F10" s="2579" t="s">
        <v>2520</v>
      </c>
    </row>
    <row r="11" spans="1:6">
      <c r="A11" s="2577" t="str">
        <f>'数据-取费表'!AN11</f>
        <v>收益法仓储</v>
      </c>
      <c r="B11" s="2576">
        <f ca="1">IF(F11="是",'数据-取费表'!AO11,0)</f>
        <v>1239</v>
      </c>
      <c r="C11" s="2567" t="s">
        <v>2514</v>
      </c>
      <c r="D11" s="2570"/>
      <c r="E11" s="2578">
        <f>IF(OR(A11=0,F11="否"),0,'数据-取费表'!K11+'数据-取费表'!S11)</f>
        <v>1487.05</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48" t="s">
        <v>1077</v>
      </c>
      <c r="B2" s="3249" t="s">
        <v>1078</v>
      </c>
      <c r="C2" s="3249"/>
      <c r="D2" s="1304" t="s">
        <v>1079</v>
      </c>
      <c r="E2" s="1304" t="s">
        <v>1080</v>
      </c>
      <c r="F2" s="1304" t="s">
        <v>1081</v>
      </c>
      <c r="G2" s="1304" t="s">
        <v>1082</v>
      </c>
      <c r="H2" s="1304" t="s">
        <v>1083</v>
      </c>
      <c r="I2" s="1305" t="s">
        <v>1084</v>
      </c>
    </row>
    <row r="3" spans="1:9">
      <c r="A3" s="3248"/>
      <c r="B3" s="3249" t="s">
        <v>1085</v>
      </c>
      <c r="C3" s="3249"/>
      <c r="D3" s="1306"/>
      <c r="E3" s="1304"/>
      <c r="F3" s="1307"/>
      <c r="G3" s="1307"/>
      <c r="H3" s="1308"/>
      <c r="I3" s="1309">
        <f>ROUND(D3*E3*F3*G3*H3/10000,0)</f>
        <v>0</v>
      </c>
    </row>
    <row r="4" spans="1:9">
      <c r="A4" s="3248"/>
      <c r="B4" s="3249" t="s">
        <v>1086</v>
      </c>
      <c r="C4" s="3249"/>
      <c r="D4" s="1306"/>
      <c r="E4" s="1304"/>
      <c r="F4" s="1307"/>
      <c r="G4" s="1307"/>
      <c r="H4" s="1308"/>
      <c r="I4" s="1309">
        <f t="shared" ref="I4:I9" si="0">ROUND(D4*E4*F4*G4*H4/10000,0)</f>
        <v>0</v>
      </c>
    </row>
    <row r="5" spans="1:9">
      <c r="A5" s="3248"/>
      <c r="B5" s="3249" t="s">
        <v>1087</v>
      </c>
      <c r="C5" s="3249"/>
      <c r="D5" s="1306"/>
      <c r="E5" s="1304"/>
      <c r="F5" s="1307"/>
      <c r="G5" s="1307"/>
      <c r="H5" s="1308"/>
      <c r="I5" s="1309">
        <f t="shared" si="0"/>
        <v>0</v>
      </c>
    </row>
    <row r="6" spans="1:9">
      <c r="A6" s="3248"/>
      <c r="B6" s="3249" t="s">
        <v>1088</v>
      </c>
      <c r="C6" s="3249"/>
      <c r="D6" s="1306"/>
      <c r="E6" s="1304"/>
      <c r="F6" s="1307"/>
      <c r="G6" s="1307"/>
      <c r="H6" s="1308"/>
      <c r="I6" s="1309">
        <f t="shared" si="0"/>
        <v>0</v>
      </c>
    </row>
    <row r="7" spans="1:9">
      <c r="A7" s="3248"/>
      <c r="B7" s="3249" t="s">
        <v>1089</v>
      </c>
      <c r="C7" s="3249"/>
      <c r="D7" s="1306"/>
      <c r="E7" s="1304"/>
      <c r="F7" s="1307"/>
      <c r="G7" s="1307"/>
      <c r="H7" s="1308"/>
      <c r="I7" s="1309">
        <f t="shared" si="0"/>
        <v>0</v>
      </c>
    </row>
    <row r="8" spans="1:9">
      <c r="A8" s="3248"/>
      <c r="B8" s="3249" t="s">
        <v>1090</v>
      </c>
      <c r="C8" s="3249"/>
      <c r="D8" s="1306"/>
      <c r="E8" s="1304"/>
      <c r="F8" s="1307"/>
      <c r="G8" s="1307"/>
      <c r="H8" s="1308"/>
      <c r="I8" s="1309">
        <f t="shared" si="0"/>
        <v>0</v>
      </c>
    </row>
    <row r="9" spans="1:9">
      <c r="A9" s="3248"/>
      <c r="B9" s="3249" t="s">
        <v>1091</v>
      </c>
      <c r="C9" s="3249"/>
      <c r="D9" s="1306"/>
      <c r="E9" s="1304"/>
      <c r="F9" s="1307"/>
      <c r="G9" s="1307"/>
      <c r="H9" s="1308"/>
      <c r="I9" s="1309">
        <f t="shared" si="0"/>
        <v>0</v>
      </c>
    </row>
    <row r="10" spans="1:9">
      <c r="A10" s="3248"/>
      <c r="B10" s="3250" t="s">
        <v>1092</v>
      </c>
      <c r="C10" s="3250"/>
      <c r="D10" s="1310"/>
      <c r="E10" s="1310" t="e">
        <f>ROUND(D1*10000/D10/H9,0)</f>
        <v>#DIV/0!</v>
      </c>
      <c r="F10" s="1311"/>
      <c r="G10" s="1311"/>
      <c r="H10" s="1312"/>
      <c r="I10" s="1313">
        <f>SUM(I3:I9)</f>
        <v>0</v>
      </c>
    </row>
    <row r="11" spans="1:9" ht="14.25">
      <c r="A11" s="3248" t="s">
        <v>1093</v>
      </c>
      <c r="B11" s="3249" t="s">
        <v>1094</v>
      </c>
      <c r="C11" s="3249"/>
      <c r="D11" s="1306" t="s">
        <v>1095</v>
      </c>
      <c r="E11" s="1306" t="s">
        <v>1096</v>
      </c>
      <c r="F11" s="1307" t="s">
        <v>1097</v>
      </c>
      <c r="G11" s="1307" t="s">
        <v>1083</v>
      </c>
      <c r="H11" s="1314" t="s">
        <v>1098</v>
      </c>
      <c r="I11" s="1305" t="s">
        <v>1084</v>
      </c>
    </row>
    <row r="12" spans="1:9">
      <c r="A12" s="3248"/>
      <c r="B12" s="3249" t="s">
        <v>1099</v>
      </c>
      <c r="C12" s="3249"/>
      <c r="D12" s="1306"/>
      <c r="E12" s="1306"/>
      <c r="F12" s="1307"/>
      <c r="G12" s="1308"/>
      <c r="H12" s="1315"/>
      <c r="I12" s="1305">
        <f>ROUND(D12*E12*F12*G12/10000,0)</f>
        <v>0</v>
      </c>
    </row>
    <row r="13" spans="1:9">
      <c r="A13" s="3248"/>
      <c r="B13" s="3249" t="s">
        <v>1100</v>
      </c>
      <c r="C13" s="3249"/>
      <c r="D13" s="1306"/>
      <c r="E13" s="1306"/>
      <c r="F13" s="1307"/>
      <c r="G13" s="1308"/>
      <c r="H13" s="1315"/>
      <c r="I13" s="1305">
        <f>ROUND(D13*E13*F13*G13/10000,0)</f>
        <v>0</v>
      </c>
    </row>
    <row r="14" spans="1:9">
      <c r="A14" s="3248"/>
      <c r="B14" s="3249" t="s">
        <v>1101</v>
      </c>
      <c r="C14" s="3249"/>
      <c r="D14" s="1306"/>
      <c r="E14" s="1306"/>
      <c r="F14" s="1307"/>
      <c r="G14" s="1308"/>
      <c r="H14" s="1315"/>
      <c r="I14" s="1305">
        <f>ROUND(D14*E14*F14*G14/10000,0)</f>
        <v>0</v>
      </c>
    </row>
    <row r="15" spans="1:9">
      <c r="A15" s="3248"/>
      <c r="B15" s="3250" t="s">
        <v>1092</v>
      </c>
      <c r="C15" s="3250"/>
      <c r="D15" s="1310"/>
      <c r="E15" s="1310">
        <f>SUM(E12:E14)</f>
        <v>0</v>
      </c>
      <c r="F15" s="1311"/>
      <c r="G15" s="1308"/>
      <c r="H15" s="1315"/>
      <c r="I15" s="1316">
        <f>SUM(I12:I14)</f>
        <v>0</v>
      </c>
    </row>
    <row r="16" spans="1:9" ht="24">
      <c r="A16" s="3248" t="s">
        <v>1102</v>
      </c>
      <c r="B16" s="3249" t="s">
        <v>1103</v>
      </c>
      <c r="C16" s="3249"/>
      <c r="D16" s="1306" t="s">
        <v>1079</v>
      </c>
      <c r="E16" s="1317" t="s">
        <v>1104</v>
      </c>
      <c r="F16" s="1307" t="s">
        <v>1105</v>
      </c>
      <c r="G16" s="1308" t="s">
        <v>1083</v>
      </c>
      <c r="H16" s="1314" t="s">
        <v>1098</v>
      </c>
      <c r="I16" s="1305" t="s">
        <v>1084</v>
      </c>
    </row>
    <row r="17" spans="1:9" ht="14.25">
      <c r="A17" s="3248"/>
      <c r="B17" s="3249" t="s">
        <v>1106</v>
      </c>
      <c r="C17" s="3249"/>
      <c r="D17" s="1306"/>
      <c r="E17" s="1306"/>
      <c r="F17" s="1307"/>
      <c r="G17" s="1308"/>
      <c r="H17" s="1318"/>
      <c r="I17" s="1319">
        <f>ROUND(D17*E17*F17*G17/10000,0)</f>
        <v>0</v>
      </c>
    </row>
    <row r="18" spans="1:9" ht="14.25">
      <c r="A18" s="3248"/>
      <c r="B18" s="3249" t="s">
        <v>1107</v>
      </c>
      <c r="C18" s="3249"/>
      <c r="D18" s="1306"/>
      <c r="E18" s="1306"/>
      <c r="F18" s="1307"/>
      <c r="G18" s="1308"/>
      <c r="H18" s="1318"/>
      <c r="I18" s="1319">
        <f>ROUND(D18*E18*F18*G18/10000,0)</f>
        <v>0</v>
      </c>
    </row>
    <row r="19" spans="1:9" ht="14.25">
      <c r="A19" s="3248"/>
      <c r="B19" s="3249" t="s">
        <v>1108</v>
      </c>
      <c r="C19" s="3249"/>
      <c r="D19" s="1306"/>
      <c r="E19" s="1306"/>
      <c r="F19" s="1307"/>
      <c r="G19" s="1308"/>
      <c r="H19" s="1318"/>
      <c r="I19" s="1319">
        <f>ROUND(D19*E19*F19*G19/10000,0)</f>
        <v>0</v>
      </c>
    </row>
    <row r="20" spans="1:9">
      <c r="A20" s="3248"/>
      <c r="B20" s="3250" t="s">
        <v>1092</v>
      </c>
      <c r="C20" s="3250"/>
      <c r="D20" s="1310">
        <f>SUM(D17:D19)</f>
        <v>0</v>
      </c>
      <c r="E20" s="1310"/>
      <c r="F20" s="1311"/>
      <c r="G20" s="1308"/>
      <c r="H20" s="1315"/>
      <c r="I20" s="1316">
        <f>SUM(I17:I19)</f>
        <v>0</v>
      </c>
    </row>
    <row r="21" spans="1:9">
      <c r="A21" s="3248" t="s">
        <v>1109</v>
      </c>
      <c r="B21" s="3252"/>
      <c r="C21" s="3252"/>
      <c r="D21" s="3252"/>
      <c r="E21" s="3252"/>
      <c r="F21" s="3252"/>
      <c r="G21" s="3252"/>
      <c r="H21" s="1766">
        <v>0.1</v>
      </c>
      <c r="I21" s="1313">
        <f>ROUND(I10*H21,0)</f>
        <v>0</v>
      </c>
    </row>
    <row r="22" spans="1:9" ht="14.25">
      <c r="A22" s="3253" t="s">
        <v>1110</v>
      </c>
      <c r="B22" s="3254"/>
      <c r="C22" s="3255"/>
      <c r="D22" s="1320" t="s">
        <v>1111</v>
      </c>
      <c r="E22" s="1320" t="s">
        <v>1112</v>
      </c>
      <c r="F22" s="1321" t="s">
        <v>1113</v>
      </c>
      <c r="G22" s="1321" t="s">
        <v>1114</v>
      </c>
      <c r="H22" s="1314" t="s">
        <v>1115</v>
      </c>
      <c r="I22" s="1305" t="s">
        <v>1116</v>
      </c>
    </row>
    <row r="23" spans="1:9" ht="14.25" thickBot="1">
      <c r="A23" s="3256"/>
      <c r="B23" s="3257"/>
      <c r="C23" s="3258"/>
      <c r="D23" s="1322"/>
      <c r="E23" s="1322"/>
      <c r="F23" s="1322"/>
      <c r="G23" s="1323"/>
      <c r="H23" s="1324"/>
      <c r="I23" s="1325">
        <f>ROUND(E23*D23*F23*(1-G23)/10000,0)</f>
        <v>0</v>
      </c>
    </row>
    <row r="26" spans="1:9">
      <c r="A26" s="1326" t="s">
        <v>1117</v>
      </c>
      <c r="B26" s="1326"/>
      <c r="C26" s="1326"/>
      <c r="D26" s="1326"/>
      <c r="E26" s="3259">
        <f>C27-C30-C31-C32</f>
        <v>0</v>
      </c>
      <c r="F26" s="3259"/>
      <c r="G26" s="3259"/>
      <c r="H26" s="1739" t="s">
        <v>1340</v>
      </c>
    </row>
    <row r="27" spans="1:9">
      <c r="A27" s="1327">
        <v>1</v>
      </c>
      <c r="B27" s="1328" t="s">
        <v>1118</v>
      </c>
      <c r="C27" s="1328">
        <f>C28+C29</f>
        <v>0</v>
      </c>
      <c r="D27" s="1328"/>
      <c r="E27" s="3260"/>
      <c r="F27" s="3260"/>
      <c r="G27" s="3260"/>
    </row>
    <row r="28" spans="1:9">
      <c r="A28" s="1329" t="s">
        <v>1119</v>
      </c>
      <c r="B28" s="1328" t="s">
        <v>1120</v>
      </c>
      <c r="C28" s="1328"/>
      <c r="D28" s="1328"/>
      <c r="E28" s="3260"/>
      <c r="F28" s="3260"/>
      <c r="G28" s="326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1"/>
      <c r="F32" s="3251"/>
      <c r="G32" s="3251"/>
    </row>
    <row r="33" spans="1:7" hidden="1">
      <c r="A33" s="3261" t="s">
        <v>1129</v>
      </c>
      <c r="B33" s="3262"/>
      <c r="C33" s="3262"/>
      <c r="D33" s="3263"/>
      <c r="E33" s="3259"/>
      <c r="F33" s="3259"/>
      <c r="G33" s="3259"/>
    </row>
    <row r="34" spans="1:7" hidden="1">
      <c r="A34" s="1331">
        <v>1</v>
      </c>
      <c r="B34" s="1328" t="s">
        <v>1130</v>
      </c>
      <c r="C34" s="1328"/>
      <c r="D34" s="1328"/>
      <c r="E34" s="3260"/>
      <c r="F34" s="3260"/>
      <c r="G34" s="3260"/>
    </row>
    <row r="35" spans="1:7" hidden="1">
      <c r="A35" s="1331">
        <v>2</v>
      </c>
      <c r="B35" s="1328" t="s">
        <v>1131</v>
      </c>
      <c r="C35" s="1328"/>
      <c r="D35" s="1328"/>
      <c r="E35" s="3260"/>
      <c r="F35" s="3260"/>
      <c r="G35" s="3260"/>
    </row>
    <row r="36" spans="1:7" hidden="1">
      <c r="A36" s="1331">
        <v>3</v>
      </c>
      <c r="B36" s="1328" t="s">
        <v>1132</v>
      </c>
      <c r="C36" s="1328"/>
      <c r="D36" s="1328"/>
      <c r="E36" s="3260"/>
      <c r="F36" s="3260"/>
      <c r="G36" s="3260"/>
    </row>
    <row r="37" spans="1:7" hidden="1">
      <c r="A37" s="1331">
        <v>4</v>
      </c>
      <c r="B37" s="1328" t="s">
        <v>1133</v>
      </c>
      <c r="C37" s="1328"/>
      <c r="D37" s="1328"/>
      <c r="E37" s="3260"/>
      <c r="F37" s="3260"/>
      <c r="G37" s="3260"/>
    </row>
    <row r="38" spans="1:7" hidden="1">
      <c r="A38" s="3261" t="s">
        <v>1134</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583" t="s">
        <v>2524</v>
      </c>
      <c r="C1" s="1636" t="s">
        <v>2525</v>
      </c>
      <c r="D1" s="1623"/>
      <c r="E1" s="2584"/>
      <c r="F1" s="2585" t="s">
        <v>2526</v>
      </c>
      <c r="G1" s="1633" t="s">
        <v>2527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1388</v>
      </c>
      <c r="B2" s="1421" t="e">
        <f ca="1">IF(C2="——",ROUND(C49*D3/10000,0),ROUND(C49*D3/10000,0)-D2)</f>
        <v>#DIV/0!</v>
      </c>
      <c r="C2" s="2587"/>
      <c r="D2" s="1368" t="e">
        <f ca="1">SUMIF(INDIRECT("'"&amp;F2&amp;"'"&amp;"!A:A"),"承租人权益价值",INDIRECT("'"&amp;F2&amp;"'"&amp;"!c:c"))</f>
        <v>#REF!</v>
      </c>
      <c r="E2" s="2588" t="s">
        <v>2528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2529</v>
      </c>
      <c r="D3" s="399">
        <f>IF(D1="",'数据-汇总表'!E3,SUMIF('数据-汇总表'!$C19:$C33,D1,'数据-汇总表'!$E19:$E33))</f>
        <v>118787.11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2530</v>
      </c>
      <c r="B4" s="402"/>
      <c r="C4" s="3184" t="s">
        <v>2531</v>
      </c>
      <c r="D4" s="3185"/>
      <c r="E4" s="3186" t="s">
        <v>2532</v>
      </c>
      <c r="F4" s="3187"/>
      <c r="G4" s="3184" t="s">
        <v>2533</v>
      </c>
      <c r="H4" s="3185"/>
      <c r="I4" s="3184" t="s">
        <v>2534</v>
      </c>
      <c r="J4" s="3185"/>
      <c r="K4" s="2597" t="s">
        <v>2535</v>
      </c>
      <c r="L4" s="1133"/>
      <c r="M4" s="1134"/>
      <c r="N4" s="1134"/>
      <c r="O4" s="1134"/>
      <c r="P4" s="3188" t="s">
        <v>2536</v>
      </c>
      <c r="Q4" s="3189"/>
      <c r="R4" s="3171" t="s">
        <v>2532</v>
      </c>
      <c r="S4" s="3172"/>
      <c r="T4" s="3171" t="s">
        <v>2533</v>
      </c>
      <c r="U4" s="3172"/>
      <c r="V4" s="3196" t="s">
        <v>2534</v>
      </c>
      <c r="W4" s="3196"/>
      <c r="X4" s="1814"/>
      <c r="Y4" s="3171" t="s">
        <v>2536</v>
      </c>
      <c r="Z4" s="3172"/>
      <c r="AA4" s="3166" t="s">
        <v>2532</v>
      </c>
      <c r="AB4" s="3166" t="s">
        <v>2533</v>
      </c>
      <c r="AC4" s="3166" t="s">
        <v>2534</v>
      </c>
    </row>
    <row r="5" spans="1:29" ht="15">
      <c r="A5" s="404"/>
      <c r="B5" s="405"/>
      <c r="C5" s="3177" t="s">
        <v>2537</v>
      </c>
      <c r="D5" s="3178"/>
      <c r="E5" s="3175" t="s">
        <v>2538</v>
      </c>
      <c r="F5" s="3176"/>
      <c r="G5" s="3177" t="s">
        <v>2539</v>
      </c>
      <c r="H5" s="3178"/>
      <c r="I5" s="3177" t="s">
        <v>2540</v>
      </c>
      <c r="J5" s="3178"/>
      <c r="K5" s="2598"/>
      <c r="L5" s="1133"/>
      <c r="M5" s="1134"/>
      <c r="N5" s="1134"/>
      <c r="O5" s="1134"/>
      <c r="P5" s="3190"/>
      <c r="Q5" s="3191"/>
      <c r="R5" s="3173"/>
      <c r="S5" s="3174"/>
      <c r="T5" s="3173"/>
      <c r="U5" s="3174"/>
      <c r="V5" s="3196"/>
      <c r="W5" s="3196"/>
      <c r="X5" s="1814"/>
      <c r="Y5" s="3173"/>
      <c r="Z5" s="3174"/>
      <c r="AA5" s="3167"/>
      <c r="AB5" s="3167"/>
      <c r="AC5" s="3167"/>
    </row>
    <row r="6" spans="1:29" ht="15.75" thickBot="1">
      <c r="A6" s="406"/>
      <c r="B6" s="407"/>
      <c r="C6" s="3179" t="s">
        <v>2541</v>
      </c>
      <c r="D6" s="3180"/>
      <c r="E6" s="3181" t="s">
        <v>2541</v>
      </c>
      <c r="F6" s="3182"/>
      <c r="G6" s="3179" t="s">
        <v>2541</v>
      </c>
      <c r="H6" s="3180"/>
      <c r="I6" s="3179" t="s">
        <v>2541</v>
      </c>
      <c r="J6" s="3180"/>
      <c r="K6" s="2598" t="s">
        <v>2542</v>
      </c>
      <c r="L6" s="1133"/>
      <c r="M6" s="1134"/>
      <c r="N6" s="1134"/>
      <c r="O6" s="1134"/>
      <c r="P6" s="3192"/>
      <c r="Q6" s="3193"/>
      <c r="R6" s="3173"/>
      <c r="S6" s="3174"/>
      <c r="T6" s="3194"/>
      <c r="U6" s="3195"/>
      <c r="V6" s="3196"/>
      <c r="W6" s="3196"/>
      <c r="X6" s="1814"/>
      <c r="Y6" s="3194"/>
      <c r="Z6" s="3195"/>
      <c r="AA6" s="3168"/>
      <c r="AB6" s="3168"/>
      <c r="AC6" s="3168"/>
    </row>
    <row r="7" spans="1:29" s="117" customFormat="1" ht="15.75" thickBot="1">
      <c r="A7" s="408" t="s">
        <v>2543</v>
      </c>
      <c r="B7" s="409"/>
      <c r="C7" s="410">
        <f>'数据-取费表'!B2</f>
        <v>43142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69" t="s">
        <v>2544</v>
      </c>
      <c r="Q7" s="3197"/>
      <c r="R7" s="770" t="s">
        <v>23</v>
      </c>
      <c r="S7" s="771">
        <f t="shared" ref="S7:S15" si="0">F7</f>
        <v>0</v>
      </c>
      <c r="T7" s="770" t="s">
        <v>23</v>
      </c>
      <c r="U7" s="771">
        <f t="shared" ref="U7:U15" si="1">H7</f>
        <v>0</v>
      </c>
      <c r="V7" s="770" t="s">
        <v>23</v>
      </c>
      <c r="W7" s="771">
        <f t="shared" ref="W7:W15" si="2">J7</f>
        <v>0</v>
      </c>
      <c r="X7" s="772"/>
      <c r="Y7" s="3169" t="s">
        <v>2544</v>
      </c>
      <c r="Z7" s="3170"/>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69" t="s">
        <v>2547</v>
      </c>
      <c r="Q8" s="3170"/>
      <c r="R8" s="770" t="s">
        <v>23</v>
      </c>
      <c r="S8" s="771">
        <f t="shared" si="0"/>
        <v>0</v>
      </c>
      <c r="T8" s="770" t="s">
        <v>23</v>
      </c>
      <c r="U8" s="771">
        <f t="shared" si="1"/>
        <v>0</v>
      </c>
      <c r="V8" s="770" t="s">
        <v>23</v>
      </c>
      <c r="W8" s="771">
        <f t="shared" si="2"/>
        <v>0</v>
      </c>
      <c r="X8" s="772"/>
      <c r="Y8" s="3169" t="s">
        <v>2547</v>
      </c>
      <c r="Z8" s="3170"/>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7" t="s">
        <v>2550</v>
      </c>
      <c r="Q9" s="1796"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6"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7"/>
      <c r="Q12" s="1796">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7"/>
      <c r="Q13" s="1796">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7"/>
      <c r="Q14" s="1796">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2554</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2555</v>
      </c>
      <c r="Q15" s="1811" t="str">
        <f t="shared" si="6"/>
        <v>居住社区成熟度</v>
      </c>
      <c r="R15" s="774" t="s">
        <v>21</v>
      </c>
      <c r="S15" s="775">
        <f t="shared" si="0"/>
        <v>100</v>
      </c>
      <c r="T15" s="774" t="s">
        <v>21</v>
      </c>
      <c r="U15" s="775">
        <f t="shared" si="1"/>
        <v>100</v>
      </c>
      <c r="V15" s="774" t="s">
        <v>21</v>
      </c>
      <c r="W15" s="775">
        <f t="shared" si="2"/>
        <v>100</v>
      </c>
      <c r="X15" s="1814"/>
      <c r="Y15" s="3198" t="s">
        <v>2555</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3"/>
      <c r="M16" s="1134"/>
      <c r="N16" s="1134"/>
      <c r="O16" s="1134"/>
      <c r="P16" s="3228"/>
      <c r="Q16" s="1811"/>
      <c r="R16" s="774"/>
      <c r="S16" s="775"/>
      <c r="T16" s="774"/>
      <c r="U16" s="775"/>
      <c r="V16" s="774"/>
      <c r="W16" s="775"/>
      <c r="X16" s="1814"/>
      <c r="Y16" s="3199"/>
      <c r="Z16" s="1815"/>
      <c r="AA16" s="1812">
        <v>1</v>
      </c>
      <c r="AB16" s="1812">
        <v>1</v>
      </c>
      <c r="AC16" s="1812">
        <v>1</v>
      </c>
    </row>
    <row r="17" spans="1:29" ht="99.75">
      <c r="A17" s="428"/>
      <c r="B17" s="451" t="s">
        <v>2094</v>
      </c>
      <c r="C17" s="2608" t="str">
        <f>估价对象房地状况!C6</f>
        <v>附近主要有317路、552路、809、通49路等公交线路，紧邻地铁6号线，路网密集度较好，交通便捷度较好。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1" t="str">
        <f>B17</f>
        <v>交通便捷度</v>
      </c>
      <c r="R17" s="774" t="s">
        <v>21</v>
      </c>
      <c r="S17" s="775">
        <f>F17</f>
        <v>100</v>
      </c>
      <c r="T17" s="774" t="s">
        <v>21</v>
      </c>
      <c r="U17" s="775">
        <f>H17</f>
        <v>100</v>
      </c>
      <c r="V17" s="774" t="s">
        <v>21</v>
      </c>
      <c r="W17" s="775">
        <f>J17</f>
        <v>100</v>
      </c>
      <c r="X17" s="1814"/>
      <c r="Y17" s="3199"/>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3"/>
      <c r="M18" s="1134"/>
      <c r="N18" s="1134"/>
      <c r="O18" s="1134"/>
      <c r="P18" s="3228"/>
      <c r="Q18" s="1811"/>
      <c r="R18" s="774"/>
      <c r="S18" s="775"/>
      <c r="T18" s="774"/>
      <c r="U18" s="775"/>
      <c r="V18" s="774"/>
      <c r="W18" s="775"/>
      <c r="X18" s="1814"/>
      <c r="Y18" s="3199"/>
      <c r="Z18" s="1815"/>
      <c r="AA18" s="1812">
        <v>1</v>
      </c>
      <c r="AB18" s="1812">
        <v>1</v>
      </c>
      <c r="AC18" s="1812">
        <v>1</v>
      </c>
    </row>
    <row r="19" spans="1:29" ht="171">
      <c r="A19" s="428"/>
      <c r="B19" s="451" t="s">
        <v>2092</v>
      </c>
      <c r="C19" s="2608" t="str">
        <f>估价对象房地状况!C7</f>
        <v>估价对象周边有银行（兴业银行（北京通州运河支行）等）、医院（北京京通医院等）、超市（隆品源超市等）、学校（北京通州芙蓉小学等），公共配套设施齐备情况较好。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1" t="str">
        <f>B19</f>
        <v>公共配套设施</v>
      </c>
      <c r="R19" s="774" t="s">
        <v>21</v>
      </c>
      <c r="S19" s="775">
        <f>F19</f>
        <v>100</v>
      </c>
      <c r="T19" s="774" t="s">
        <v>21</v>
      </c>
      <c r="U19" s="775">
        <f>H19</f>
        <v>100</v>
      </c>
      <c r="V19" s="774" t="s">
        <v>21</v>
      </c>
      <c r="W19" s="775">
        <f>J19</f>
        <v>100</v>
      </c>
      <c r="X19" s="1814"/>
      <c r="Y19" s="3199"/>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3"/>
      <c r="M20" s="1134"/>
      <c r="N20" s="1134"/>
      <c r="O20" s="1134"/>
      <c r="P20" s="3228"/>
      <c r="Q20" s="1811"/>
      <c r="R20" s="774"/>
      <c r="S20" s="775"/>
      <c r="T20" s="774"/>
      <c r="U20" s="775"/>
      <c r="V20" s="774"/>
      <c r="W20" s="775"/>
      <c r="X20" s="1814"/>
      <c r="Y20" s="3199"/>
      <c r="Z20" s="1815"/>
      <c r="AA20" s="1812">
        <v>1</v>
      </c>
      <c r="AB20" s="1812">
        <v>1</v>
      </c>
      <c r="AC20" s="1812">
        <v>1</v>
      </c>
    </row>
    <row r="21" spans="1:29" ht="15">
      <c r="A21" s="428"/>
      <c r="B21" s="1387" t="s">
        <v>2095</v>
      </c>
      <c r="C21" s="2608"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1" t="str">
        <f>B21</f>
        <v>基础设施水平</v>
      </c>
      <c r="R21" s="774" t="s">
        <v>17</v>
      </c>
      <c r="S21" s="775">
        <f>F21</f>
        <v>100</v>
      </c>
      <c r="T21" s="774" t="s">
        <v>17</v>
      </c>
      <c r="U21" s="775">
        <f>H21</f>
        <v>100</v>
      </c>
      <c r="V21" s="774" t="s">
        <v>17</v>
      </c>
      <c r="W21" s="775">
        <f>J21</f>
        <v>100</v>
      </c>
      <c r="X21" s="1814"/>
      <c r="Y21" s="3199"/>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8"/>
      <c r="G22" s="2612"/>
      <c r="H22" s="448"/>
      <c r="I22" s="447"/>
      <c r="J22" s="448"/>
      <c r="K22" s="2613"/>
      <c r="L22" s="1143"/>
      <c r="M22" s="1134"/>
      <c r="N22" s="1134"/>
      <c r="O22" s="1134"/>
      <c r="P22" s="3228"/>
      <c r="Q22" s="1811"/>
      <c r="R22" s="774"/>
      <c r="S22" s="775"/>
      <c r="T22" s="774"/>
      <c r="U22" s="775"/>
      <c r="V22" s="774"/>
      <c r="W22" s="775"/>
      <c r="X22" s="1814"/>
      <c r="Y22" s="3199"/>
      <c r="Z22" s="1815"/>
      <c r="AA22" s="1812">
        <v>1</v>
      </c>
      <c r="AB22" s="1812">
        <v>1</v>
      </c>
      <c r="AC22" s="1812">
        <v>1</v>
      </c>
    </row>
    <row r="23" spans="1:29" ht="128.25">
      <c r="A23" s="428"/>
      <c r="B23" s="451" t="s">
        <v>2099</v>
      </c>
      <c r="C23" s="2608" t="str">
        <f>估价对象房地状况!C9</f>
        <v>估价对象周边有水系、运河奥体公园，自然环境较好；周边有大运河美术馆等人文设施，人文环境较好；综合评价环境状况较好。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1" t="str">
        <f>B23</f>
        <v>自然及人文环境</v>
      </c>
      <c r="R23" s="774" t="s">
        <v>21</v>
      </c>
      <c r="S23" s="775">
        <f>F23</f>
        <v>100</v>
      </c>
      <c r="T23" s="774" t="s">
        <v>21</v>
      </c>
      <c r="U23" s="775">
        <f>H23</f>
        <v>100</v>
      </c>
      <c r="V23" s="774" t="s">
        <v>21</v>
      </c>
      <c r="W23" s="775">
        <f>J23</f>
        <v>100</v>
      </c>
      <c r="X23" s="1814"/>
      <c r="Y23" s="3199"/>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3"/>
      <c r="M24" s="1134"/>
      <c r="N24" s="1134"/>
      <c r="O24" s="1134"/>
      <c r="P24" s="3228"/>
      <c r="Q24" s="1811"/>
      <c r="R24" s="774"/>
      <c r="S24" s="775"/>
      <c r="T24" s="774"/>
      <c r="U24" s="775"/>
      <c r="V24" s="774"/>
      <c r="W24" s="775"/>
      <c r="X24" s="1814"/>
      <c r="Y24" s="3199"/>
      <c r="Z24" s="1815"/>
      <c r="AA24" s="1812">
        <v>1</v>
      </c>
      <c r="AB24" s="1812">
        <v>1</v>
      </c>
      <c r="AC24" s="1812">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8"/>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199"/>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8"/>
      <c r="Q26" s="1811" t="str">
        <f t="shared" si="11"/>
        <v>朝向</v>
      </c>
      <c r="R26" s="774" t="s">
        <v>21</v>
      </c>
      <c r="S26" s="775">
        <f t="shared" si="12"/>
        <v>100</v>
      </c>
      <c r="T26" s="774" t="s">
        <v>21</v>
      </c>
      <c r="U26" s="775">
        <f t="shared" si="13"/>
        <v>100</v>
      </c>
      <c r="V26" s="774" t="s">
        <v>21</v>
      </c>
      <c r="W26" s="775">
        <f t="shared" si="14"/>
        <v>100</v>
      </c>
      <c r="X26" s="1814"/>
      <c r="Y26" s="3199"/>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8"/>
      <c r="Q27" s="1796">
        <f t="shared" si="11"/>
        <v>111</v>
      </c>
      <c r="R27" s="770" t="s">
        <v>21</v>
      </c>
      <c r="S27" s="771">
        <f t="shared" si="12"/>
        <v>100</v>
      </c>
      <c r="T27" s="770" t="s">
        <v>21</v>
      </c>
      <c r="U27" s="771">
        <f t="shared" si="13"/>
        <v>100</v>
      </c>
      <c r="V27" s="770" t="s">
        <v>21</v>
      </c>
      <c r="W27" s="771">
        <f t="shared" si="14"/>
        <v>100</v>
      </c>
      <c r="X27" s="772"/>
      <c r="Y27" s="3199"/>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8"/>
      <c r="Q28" s="1811">
        <f t="shared" si="11"/>
        <v>111</v>
      </c>
      <c r="R28" s="774" t="s">
        <v>21</v>
      </c>
      <c r="S28" s="775">
        <f t="shared" si="12"/>
        <v>100</v>
      </c>
      <c r="T28" s="774" t="s">
        <v>21</v>
      </c>
      <c r="U28" s="775">
        <f t="shared" si="13"/>
        <v>100</v>
      </c>
      <c r="V28" s="774" t="s">
        <v>21</v>
      </c>
      <c r="W28" s="775">
        <f t="shared" si="14"/>
        <v>100</v>
      </c>
      <c r="X28" s="1814"/>
      <c r="Y28" s="3199"/>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8"/>
      <c r="Q29" s="1811">
        <f t="shared" si="11"/>
        <v>111</v>
      </c>
      <c r="R29" s="774" t="s">
        <v>21</v>
      </c>
      <c r="S29" s="775">
        <f t="shared" si="12"/>
        <v>100</v>
      </c>
      <c r="T29" s="774" t="s">
        <v>21</v>
      </c>
      <c r="U29" s="775">
        <f t="shared" si="13"/>
        <v>100</v>
      </c>
      <c r="V29" s="774" t="s">
        <v>21</v>
      </c>
      <c r="W29" s="775">
        <f t="shared" si="14"/>
        <v>100</v>
      </c>
      <c r="X29" s="1814"/>
      <c r="Y29" s="3199"/>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8"/>
      <c r="Q30" s="1811">
        <f t="shared" si="11"/>
        <v>111</v>
      </c>
      <c r="R30" s="774" t="s">
        <v>21</v>
      </c>
      <c r="S30" s="775">
        <f t="shared" si="12"/>
        <v>100</v>
      </c>
      <c r="T30" s="774" t="s">
        <v>21</v>
      </c>
      <c r="U30" s="775">
        <f t="shared" si="13"/>
        <v>100</v>
      </c>
      <c r="V30" s="774" t="s">
        <v>21</v>
      </c>
      <c r="W30" s="775">
        <f t="shared" si="14"/>
        <v>100</v>
      </c>
      <c r="X30" s="1814"/>
      <c r="Y30" s="3199"/>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8"/>
      <c r="Q31" s="1811">
        <f t="shared" si="11"/>
        <v>111</v>
      </c>
      <c r="R31" s="774" t="s">
        <v>21</v>
      </c>
      <c r="S31" s="775">
        <f t="shared" si="12"/>
        <v>100</v>
      </c>
      <c r="T31" s="774" t="s">
        <v>21</v>
      </c>
      <c r="U31" s="775">
        <f t="shared" si="13"/>
        <v>100</v>
      </c>
      <c r="V31" s="774" t="s">
        <v>21</v>
      </c>
      <c r="W31" s="775">
        <f t="shared" si="14"/>
        <v>100</v>
      </c>
      <c r="X31" s="1814"/>
      <c r="Y31" s="3199"/>
      <c r="Z31" s="1815">
        <f t="shared" si="18"/>
        <v>111</v>
      </c>
      <c r="AA31" s="1812">
        <f t="shared" si="15"/>
        <v>1</v>
      </c>
      <c r="AB31" s="1812">
        <f t="shared" si="16"/>
        <v>1</v>
      </c>
      <c r="AC31" s="1812">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29" t="s">
        <v>2560</v>
      </c>
      <c r="Q32" s="1811" t="str">
        <f t="shared" si="11"/>
        <v>建筑类型</v>
      </c>
      <c r="R32" s="774" t="s">
        <v>21</v>
      </c>
      <c r="S32" s="775">
        <f t="shared" si="12"/>
        <v>100</v>
      </c>
      <c r="T32" s="774" t="s">
        <v>21</v>
      </c>
      <c r="U32" s="775">
        <f t="shared" si="13"/>
        <v>100</v>
      </c>
      <c r="V32" s="774" t="s">
        <v>21</v>
      </c>
      <c r="W32" s="775">
        <f t="shared" si="14"/>
        <v>100</v>
      </c>
      <c r="X32" s="1814"/>
      <c r="Y32" s="3201"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2" t="e">
        <f t="shared" si="15"/>
        <v>#N/A</v>
      </c>
      <c r="AB33" s="1812" t="e">
        <f t="shared" si="16"/>
        <v>#N/A</v>
      </c>
      <c r="AC33" s="1812"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30"/>
      <c r="Q34" s="1811" t="str">
        <f t="shared" si="11"/>
        <v>建筑结构</v>
      </c>
      <c r="R34" s="774" t="s">
        <v>21</v>
      </c>
      <c r="S34" s="775">
        <f t="shared" si="12"/>
        <v>100</v>
      </c>
      <c r="T34" s="774" t="s">
        <v>21</v>
      </c>
      <c r="U34" s="775">
        <f t="shared" si="13"/>
        <v>100</v>
      </c>
      <c r="V34" s="774" t="s">
        <v>21</v>
      </c>
      <c r="W34" s="775">
        <f t="shared" si="14"/>
        <v>100</v>
      </c>
      <c r="X34" s="1814"/>
      <c r="Y34" s="3201"/>
      <c r="Z34" s="1815" t="str">
        <f t="shared" si="18"/>
        <v>建筑结构</v>
      </c>
      <c r="AA34" s="1812">
        <f t="shared" si="15"/>
        <v>1</v>
      </c>
      <c r="AB34" s="1812">
        <f t="shared" si="16"/>
        <v>1</v>
      </c>
      <c r="AC34" s="1812">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30"/>
      <c r="Q35" s="1811" t="str">
        <f t="shared" si="11"/>
        <v>建筑品质</v>
      </c>
      <c r="R35" s="774" t="s">
        <v>21</v>
      </c>
      <c r="S35" s="775">
        <f t="shared" si="12"/>
        <v>100</v>
      </c>
      <c r="T35" s="774" t="s">
        <v>21</v>
      </c>
      <c r="U35" s="775">
        <f t="shared" si="13"/>
        <v>100</v>
      </c>
      <c r="V35" s="774" t="s">
        <v>21</v>
      </c>
      <c r="W35" s="775">
        <f t="shared" si="14"/>
        <v>100</v>
      </c>
      <c r="X35" s="1814"/>
      <c r="Y35" s="3201"/>
      <c r="Z35" s="1815" t="str">
        <f t="shared" si="18"/>
        <v>建筑品质</v>
      </c>
      <c r="AA35" s="1812">
        <f t="shared" si="15"/>
        <v>1</v>
      </c>
      <c r="AB35" s="1812">
        <f t="shared" si="16"/>
        <v>1</v>
      </c>
      <c r="AC35" s="1812">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30"/>
      <c r="Q36" s="1811" t="str">
        <f t="shared" si="11"/>
        <v>公共部分装修</v>
      </c>
      <c r="R36" s="774" t="s">
        <v>21</v>
      </c>
      <c r="S36" s="775">
        <f t="shared" si="12"/>
        <v>100</v>
      </c>
      <c r="T36" s="774" t="s">
        <v>21</v>
      </c>
      <c r="U36" s="775">
        <f t="shared" si="13"/>
        <v>100</v>
      </c>
      <c r="V36" s="774" t="s">
        <v>21</v>
      </c>
      <c r="W36" s="775">
        <f t="shared" si="14"/>
        <v>100</v>
      </c>
      <c r="X36" s="1814"/>
      <c r="Y36" s="3201"/>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6"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30" t="s">
        <v>2560</v>
      </c>
      <c r="Q38" s="1811" t="str">
        <f t="shared" si="11"/>
        <v>物业管理</v>
      </c>
      <c r="R38" s="774" t="s">
        <v>21</v>
      </c>
      <c r="S38" s="775">
        <f t="shared" si="12"/>
        <v>100</v>
      </c>
      <c r="T38" s="774" t="s">
        <v>21</v>
      </c>
      <c r="U38" s="775">
        <f t="shared" si="13"/>
        <v>100</v>
      </c>
      <c r="V38" s="774" t="s">
        <v>21</v>
      </c>
      <c r="W38" s="775">
        <f t="shared" si="14"/>
        <v>100</v>
      </c>
      <c r="X38" s="1814"/>
      <c r="Y38" s="3201" t="s">
        <v>2560</v>
      </c>
      <c r="Z38" s="1815" t="str">
        <f t="shared" si="18"/>
        <v>物业管理</v>
      </c>
      <c r="AA38" s="1812">
        <f t="shared" si="15"/>
        <v>1</v>
      </c>
      <c r="AB38" s="1812">
        <f t="shared" si="16"/>
        <v>1</v>
      </c>
      <c r="AC38" s="1812">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30"/>
      <c r="Q39" s="1811" t="str">
        <f t="shared" si="11"/>
        <v>市政基础设施</v>
      </c>
      <c r="R39" s="774" t="s">
        <v>21</v>
      </c>
      <c r="S39" s="775">
        <f t="shared" si="12"/>
        <v>100</v>
      </c>
      <c r="T39" s="774" t="s">
        <v>21</v>
      </c>
      <c r="U39" s="775">
        <f t="shared" si="13"/>
        <v>100</v>
      </c>
      <c r="V39" s="774" t="s">
        <v>21</v>
      </c>
      <c r="W39" s="775">
        <f t="shared" si="14"/>
        <v>100</v>
      </c>
      <c r="X39" s="1814"/>
      <c r="Y39" s="3201"/>
      <c r="Z39" s="1815" t="str">
        <f t="shared" si="18"/>
        <v>市政基础设施</v>
      </c>
      <c r="AA39" s="1812">
        <f t="shared" si="15"/>
        <v>1</v>
      </c>
      <c r="AB39" s="1812">
        <f t="shared" si="16"/>
        <v>1</v>
      </c>
      <c r="AC39" s="1812">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30"/>
      <c r="Q40" s="1811" t="str">
        <f t="shared" si="11"/>
        <v>房型</v>
      </c>
      <c r="R40" s="774" t="s">
        <v>21</v>
      </c>
      <c r="S40" s="775">
        <f t="shared" si="12"/>
        <v>100</v>
      </c>
      <c r="T40" s="774" t="s">
        <v>21</v>
      </c>
      <c r="U40" s="775">
        <f t="shared" si="13"/>
        <v>100</v>
      </c>
      <c r="V40" s="774" t="s">
        <v>21</v>
      </c>
      <c r="W40" s="775">
        <f t="shared" si="14"/>
        <v>100</v>
      </c>
      <c r="X40" s="1814"/>
      <c r="Y40" s="3201"/>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2">
        <f t="shared" si="15"/>
        <v>1</v>
      </c>
      <c r="AB41" s="1812">
        <f t="shared" si="16"/>
        <v>1</v>
      </c>
      <c r="AC41" s="1812">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30"/>
      <c r="Q42" s="1811" t="str">
        <f t="shared" si="11"/>
        <v>内部装修</v>
      </c>
      <c r="R42" s="774" t="s">
        <v>21</v>
      </c>
      <c r="S42" s="775">
        <f t="shared" si="12"/>
        <v>100</v>
      </c>
      <c r="T42" s="774" t="s">
        <v>21</v>
      </c>
      <c r="U42" s="775">
        <f t="shared" si="13"/>
        <v>100</v>
      </c>
      <c r="V42" s="774" t="s">
        <v>21</v>
      </c>
      <c r="W42" s="775">
        <f t="shared" si="14"/>
        <v>100</v>
      </c>
      <c r="X42" s="1814"/>
      <c r="Y42" s="3201"/>
      <c r="Z42" s="1815" t="str">
        <f t="shared" si="18"/>
        <v>内部装修</v>
      </c>
      <c r="AA42" s="1812">
        <f t="shared" si="15"/>
        <v>1</v>
      </c>
      <c r="AB42" s="1812">
        <f t="shared" si="16"/>
        <v>1</v>
      </c>
      <c r="AC42" s="1812">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30"/>
      <c r="Q43" s="1811" t="str">
        <f t="shared" si="11"/>
        <v>内部装修维护情况</v>
      </c>
      <c r="R43" s="774" t="s">
        <v>21</v>
      </c>
      <c r="S43" s="775">
        <f t="shared" si="12"/>
        <v>100</v>
      </c>
      <c r="T43" s="774" t="s">
        <v>21</v>
      </c>
      <c r="U43" s="775">
        <f t="shared" si="13"/>
        <v>100</v>
      </c>
      <c r="V43" s="774" t="s">
        <v>21</v>
      </c>
      <c r="W43" s="775">
        <f t="shared" si="14"/>
        <v>100</v>
      </c>
      <c r="X43" s="1814"/>
      <c r="Y43" s="3201"/>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0"/>
      <c r="Q44" s="1796">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0"/>
      <c r="Q45" s="1811">
        <f t="shared" si="11"/>
        <v>111</v>
      </c>
      <c r="R45" s="774" t="s">
        <v>21</v>
      </c>
      <c r="S45" s="775">
        <f t="shared" si="12"/>
        <v>100</v>
      </c>
      <c r="T45" s="774" t="s">
        <v>21</v>
      </c>
      <c r="U45" s="775">
        <f t="shared" si="13"/>
        <v>100</v>
      </c>
      <c r="V45" s="774" t="s">
        <v>21</v>
      </c>
      <c r="W45" s="775">
        <f t="shared" si="14"/>
        <v>100</v>
      </c>
      <c r="X45" s="1814"/>
      <c r="Y45" s="3201"/>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31"/>
      <c r="Q46" s="1811">
        <f t="shared" si="11"/>
        <v>111</v>
      </c>
      <c r="R46" s="774" t="s">
        <v>20</v>
      </c>
      <c r="S46" s="775">
        <f t="shared" si="12"/>
        <v>100</v>
      </c>
      <c r="T46" s="774" t="s">
        <v>20</v>
      </c>
      <c r="U46" s="775">
        <f t="shared" si="13"/>
        <v>100</v>
      </c>
      <c r="V46" s="774" t="s">
        <v>20</v>
      </c>
      <c r="W46" s="775">
        <f t="shared" si="14"/>
        <v>100</v>
      </c>
      <c r="X46" s="1814"/>
      <c r="Y46" s="3232"/>
      <c r="Z46" s="1815">
        <f t="shared" si="18"/>
        <v>111</v>
      </c>
      <c r="AA46" s="1812">
        <f t="shared" si="15"/>
        <v>1</v>
      </c>
      <c r="AB46" s="1812">
        <f t="shared" si="16"/>
        <v>1</v>
      </c>
      <c r="AC46" s="1812">
        <f t="shared" si="17"/>
        <v>1</v>
      </c>
    </row>
    <row r="47" spans="1:29" ht="15">
      <c r="A47" s="479" t="s">
        <v>2572</v>
      </c>
      <c r="B47" s="480"/>
      <c r="C47" s="1410" t="s">
        <v>19</v>
      </c>
      <c r="D47" s="1411"/>
      <c r="E47" s="1412"/>
      <c r="F47" s="1413"/>
      <c r="G47" s="1414"/>
      <c r="H47" s="1415"/>
      <c r="I47" s="1412"/>
      <c r="J47" s="1415"/>
      <c r="K47" s="2622"/>
      <c r="L47" s="1146"/>
      <c r="M47" s="1147"/>
      <c r="N47" s="1134"/>
      <c r="O47" s="1147"/>
      <c r="P47" s="3183" t="str">
        <f>A47</f>
        <v>成交单价（元/平方米）</v>
      </c>
      <c r="Q47" s="3183"/>
      <c r="R47" s="3233">
        <f>E47</f>
        <v>0</v>
      </c>
      <c r="S47" s="3233"/>
      <c r="T47" s="3233">
        <f>G47</f>
        <v>0</v>
      </c>
      <c r="U47" s="3233"/>
      <c r="V47" s="3233">
        <f>I47</f>
        <v>0</v>
      </c>
      <c r="W47" s="3233"/>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3"/>
      <c r="L48" s="1146"/>
      <c r="M48" s="1147"/>
      <c r="N48" s="1147"/>
      <c r="O48" s="1147"/>
      <c r="P48" s="3183" t="str">
        <f>A48</f>
        <v>比较价值（元/平方米）</v>
      </c>
      <c r="Q48" s="3183"/>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4"/>
      <c r="L49" s="1146"/>
      <c r="M49" s="1147"/>
      <c r="N49" s="1147"/>
      <c r="O49" s="1147"/>
      <c r="P49" s="3203" t="str">
        <f>A49</f>
        <v>估价对象XX用房的比较价值（楼面单价，元/平方米）</v>
      </c>
      <c r="Q49" s="3204"/>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7"/>
      <c r="Q57" s="504"/>
    </row>
    <row r="58" spans="1:29" s="508" customFormat="1" ht="15">
      <c r="A58" s="505" t="s">
        <v>2579</v>
      </c>
      <c r="B58" s="506"/>
      <c r="C58" s="1578" t="str">
        <f>YEAR(C7)&amp;"-"&amp;MONTH(C7)</f>
        <v>2018-2</v>
      </c>
      <c r="D58" s="1577">
        <f>EDATE(C58,-1)</f>
        <v>43101</v>
      </c>
      <c r="E58" s="1577">
        <f>EDATE(D58,-1)</f>
        <v>43070</v>
      </c>
      <c r="F58" s="1577">
        <f t="shared" ref="F58:O58" si="19">EDATE(E58,-1)</f>
        <v>43040</v>
      </c>
      <c r="G58" s="1577">
        <f t="shared" si="19"/>
        <v>43009</v>
      </c>
      <c r="H58" s="1577">
        <f t="shared" si="19"/>
        <v>42979</v>
      </c>
      <c r="I58" s="1577">
        <f t="shared" si="19"/>
        <v>42948</v>
      </c>
      <c r="J58" s="1577">
        <f t="shared" si="19"/>
        <v>42917</v>
      </c>
      <c r="K58" s="1577">
        <f t="shared" si="19"/>
        <v>42887</v>
      </c>
      <c r="L58" s="1577">
        <f t="shared" si="19"/>
        <v>42856</v>
      </c>
      <c r="M58" s="1577">
        <f t="shared" si="19"/>
        <v>42826</v>
      </c>
      <c r="N58" s="1577">
        <f t="shared" si="19"/>
        <v>42795</v>
      </c>
      <c r="O58" s="1577">
        <f t="shared" si="19"/>
        <v>42767</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2599</v>
      </c>
      <c r="D82" s="539" t="s">
        <v>2600</v>
      </c>
      <c r="E82" s="539" t="s">
        <v>2601</v>
      </c>
      <c r="F82" s="539" t="s">
        <v>2602</v>
      </c>
      <c r="G82" s="539" t="s">
        <v>2603</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2558</v>
      </c>
      <c r="B100" s="528" t="s">
        <v>2607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7">
        <v>6</v>
      </c>
      <c r="C139" s="1088">
        <v>96</v>
      </c>
      <c r="D139" s="2649" t="s">
        <v>2626</v>
      </c>
      <c r="E139" s="1089">
        <v>100</v>
      </c>
      <c r="F139" s="1090">
        <v>102.5</v>
      </c>
      <c r="G139" s="2649" t="s">
        <v>2626</v>
      </c>
      <c r="H139" s="1091">
        <v>105</v>
      </c>
      <c r="I139" s="2650" t="s">
        <v>2627</v>
      </c>
      <c r="J139" s="1088">
        <v>20</v>
      </c>
      <c r="K139" s="1092">
        <f>C145/(J139-2)</f>
        <v>4.0555555555555553E-3</v>
      </c>
    </row>
    <row r="140" spans="1:17" ht="15">
      <c r="B140" s="1093">
        <v>5</v>
      </c>
      <c r="C140" s="1094">
        <v>100</v>
      </c>
      <c r="D140" s="1094"/>
      <c r="E140" s="1095"/>
      <c r="F140" s="1096">
        <v>102</v>
      </c>
      <c r="G140" s="1094"/>
      <c r="H140" s="1097"/>
      <c r="I140" s="2651" t="s">
        <v>2628</v>
      </c>
      <c r="J140" s="315">
        <f>ROUNDUP((J139-1)/2,0)</f>
        <v>10</v>
      </c>
      <c r="K140" s="1098">
        <v>100</v>
      </c>
    </row>
    <row r="141" spans="1:17" ht="15">
      <c r="B141" s="1093">
        <v>4</v>
      </c>
      <c r="C141" s="1094">
        <v>102</v>
      </c>
      <c r="D141" s="1094"/>
      <c r="E141" s="1095"/>
      <c r="F141" s="1096">
        <v>101.5</v>
      </c>
      <c r="G141" s="1094"/>
      <c r="H141" s="1097"/>
      <c r="I141" s="2651" t="s">
        <v>2629</v>
      </c>
      <c r="J141" s="315">
        <v>1</v>
      </c>
      <c r="K141" s="1099">
        <f>ROUND(100+(J141-J140)*K139*100,1)</f>
        <v>96.4</v>
      </c>
    </row>
    <row r="142" spans="1:17" ht="15">
      <c r="B142" s="1093">
        <v>3</v>
      </c>
      <c r="C142" s="1094">
        <v>103</v>
      </c>
      <c r="D142" s="1094"/>
      <c r="E142" s="1095"/>
      <c r="F142" s="1096">
        <v>101</v>
      </c>
      <c r="G142" s="1094"/>
      <c r="H142" s="1097"/>
      <c r="I142" s="2651" t="s">
        <v>2630</v>
      </c>
      <c r="J142" s="315">
        <f>J139</f>
        <v>20</v>
      </c>
      <c r="K142" s="1100">
        <v>95</v>
      </c>
    </row>
    <row r="143" spans="1:17" ht="15">
      <c r="B143" s="1093">
        <v>2</v>
      </c>
      <c r="C143" s="1094">
        <v>100</v>
      </c>
      <c r="D143" s="1094"/>
      <c r="E143" s="1095"/>
      <c r="F143" s="1096">
        <v>100.5</v>
      </c>
      <c r="G143" s="1094"/>
      <c r="H143" s="1097"/>
      <c r="I143" s="2651" t="s">
        <v>2631</v>
      </c>
      <c r="J143" s="1094">
        <v>15</v>
      </c>
      <c r="K143" s="1099">
        <f>ROUND(100+(J143-J140)*K139*100,1)</f>
        <v>102</v>
      </c>
    </row>
    <row r="144" spans="1:17" ht="15">
      <c r="B144" s="1093">
        <v>1</v>
      </c>
      <c r="C144" s="1094">
        <v>98</v>
      </c>
      <c r="D144" s="2652" t="s">
        <v>2632</v>
      </c>
      <c r="E144" s="1095">
        <v>102</v>
      </c>
      <c r="F144" s="1101">
        <v>100</v>
      </c>
      <c r="G144" s="2652" t="s">
        <v>2632</v>
      </c>
      <c r="H144" s="1097">
        <v>105</v>
      </c>
      <c r="I144" s="2651" t="s">
        <v>2631</v>
      </c>
      <c r="J144" s="1094">
        <v>18</v>
      </c>
      <c r="K144" s="1099">
        <f>ROUND(100+(J144-J140)*K139*100,1)</f>
        <v>103.2</v>
      </c>
    </row>
    <row r="145" spans="2:11" ht="15.75" thickBot="1">
      <c r="B145" s="2653" t="s">
        <v>2633</v>
      </c>
      <c r="C145" s="1102">
        <f>ROUND(MAX(C139:C144)/MIN(C139:C144)-1,3)</f>
        <v>7.2999999999999995E-2</v>
      </c>
      <c r="D145" s="1103"/>
      <c r="E145" s="1103"/>
      <c r="F145" s="2654" t="s">
        <v>2634</v>
      </c>
      <c r="G145" s="2655"/>
      <c r="H145" s="2656"/>
      <c r="I145" s="2657" t="s">
        <v>2631</v>
      </c>
      <c r="J145" s="1104">
        <v>8</v>
      </c>
      <c r="K145" s="1105">
        <f>ROUND(100+(J145-J140)*K139*100,1)</f>
        <v>99.2</v>
      </c>
    </row>
    <row r="147" spans="2:11">
      <c r="B147" s="2638" t="s">
        <v>2635</v>
      </c>
    </row>
    <row r="148" spans="2:11">
      <c r="B148" s="263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估价对象为北京市出让国有建设用地使用权及在建建筑物房地产，为所有。根据《国有土地使用证》[]，估价对象（分摊）出让国有建设用地使用权面积为8949.22平方米，建筑面积为118787.11平方米。</v>
      </c>
    </row>
    <row r="8" spans="1:1" ht="57.75">
      <c r="A8" s="1952" t="s">
        <v>1609</v>
      </c>
    </row>
    <row r="9" spans="1:1" ht="18.75">
      <c r="A9" s="1951" t="s">
        <v>1610</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8949.22平方米，规划建筑面积为118787.11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2018年2月11日（评估专业人员实地查勘之日）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583" t="s">
        <v>2637</v>
      </c>
      <c r="C1" s="1636" t="s">
        <v>2525</v>
      </c>
      <c r="D1" s="1623"/>
      <c r="E1" s="2658"/>
      <c r="F1" s="2585"/>
      <c r="G1" s="1633" t="s">
        <v>2638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1" t="e">
        <f ca="1">IF(C2="——",ROUND(C49*D3/10000,0),ROUND(C49*D3/10000,0)-D2)</f>
        <v>#DIV/0!</v>
      </c>
      <c r="C2" s="2587"/>
      <c r="D2" s="1368" t="e">
        <f ca="1">SUMIF(INDIRECT("'"&amp;F2&amp;"'"&amp;"!A:A"),"承租人权益价值",INDIRECT("'"&amp;F2&amp;"'"&amp;"!c:c"))</f>
        <v>#REF!</v>
      </c>
      <c r="E2" s="2588" t="s">
        <v>2326</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2327</v>
      </c>
      <c r="B3" s="609" t="e">
        <f ca="1">IF(C2="——",C49,ROUND(B2*10000/D3,0))</f>
        <v>#DIV/0!</v>
      </c>
      <c r="C3" s="400" t="s">
        <v>2639</v>
      </c>
      <c r="D3" s="399">
        <f>IF(D1="",'数据-汇总表'!E3,SUMIF('数据-汇总表'!$C19:$C33,D1,'数据-汇总表'!$E19:$E33))</f>
        <v>118787.11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2640</v>
      </c>
      <c r="B4" s="402"/>
      <c r="C4" s="3184" t="s">
        <v>2641</v>
      </c>
      <c r="D4" s="3185"/>
      <c r="E4" s="3186" t="s">
        <v>2642</v>
      </c>
      <c r="F4" s="3187"/>
      <c r="G4" s="3184" t="s">
        <v>2643</v>
      </c>
      <c r="H4" s="3185"/>
      <c r="I4" s="3184" t="s">
        <v>2644</v>
      </c>
      <c r="J4" s="3185"/>
      <c r="K4" s="610" t="s">
        <v>2645</v>
      </c>
      <c r="L4" s="1133"/>
      <c r="M4" s="1134"/>
      <c r="N4" s="1134"/>
      <c r="O4" s="1134"/>
      <c r="P4" s="3188" t="s">
        <v>2646</v>
      </c>
      <c r="Q4" s="3189"/>
      <c r="R4" s="3171" t="s">
        <v>2642</v>
      </c>
      <c r="S4" s="3172"/>
      <c r="T4" s="3171" t="s">
        <v>2643</v>
      </c>
      <c r="U4" s="3172"/>
      <c r="V4" s="3196" t="s">
        <v>2644</v>
      </c>
      <c r="W4" s="3196"/>
      <c r="X4" s="1814"/>
      <c r="Y4" s="3171" t="s">
        <v>2646</v>
      </c>
      <c r="Z4" s="3172"/>
      <c r="AA4" s="3166" t="s">
        <v>2642</v>
      </c>
      <c r="AB4" s="3196" t="s">
        <v>2643</v>
      </c>
      <c r="AC4" s="3166" t="s">
        <v>2644</v>
      </c>
    </row>
    <row r="5" spans="1:29" ht="15">
      <c r="A5" s="404"/>
      <c r="B5" s="405"/>
      <c r="C5" s="3177" t="s">
        <v>2537</v>
      </c>
      <c r="D5" s="3178"/>
      <c r="E5" s="3175" t="s">
        <v>2538</v>
      </c>
      <c r="F5" s="3176"/>
      <c r="G5" s="3177" t="s">
        <v>2539</v>
      </c>
      <c r="H5" s="3178"/>
      <c r="I5" s="3177" t="s">
        <v>2540</v>
      </c>
      <c r="J5" s="3178"/>
      <c r="K5" s="610"/>
      <c r="L5" s="1133"/>
      <c r="M5" s="1134"/>
      <c r="N5" s="1134"/>
      <c r="O5" s="1134"/>
      <c r="P5" s="3190"/>
      <c r="Q5" s="3191"/>
      <c r="R5" s="3173"/>
      <c r="S5" s="3174"/>
      <c r="T5" s="3173"/>
      <c r="U5" s="3174"/>
      <c r="V5" s="3196"/>
      <c r="W5" s="3196"/>
      <c r="X5" s="1814"/>
      <c r="Y5" s="3173"/>
      <c r="Z5" s="3174"/>
      <c r="AA5" s="3167"/>
      <c r="AB5" s="3196"/>
      <c r="AC5" s="3167"/>
    </row>
    <row r="6" spans="1:29" ht="15.75" thickBot="1">
      <c r="A6" s="406"/>
      <c r="B6" s="407"/>
      <c r="C6" s="3179" t="s">
        <v>2541</v>
      </c>
      <c r="D6" s="3180"/>
      <c r="E6" s="3181" t="s">
        <v>2541</v>
      </c>
      <c r="F6" s="3182"/>
      <c r="G6" s="3179" t="s">
        <v>2541</v>
      </c>
      <c r="H6" s="3180"/>
      <c r="I6" s="3179" t="s">
        <v>2541</v>
      </c>
      <c r="J6" s="3180"/>
      <c r="K6" s="610" t="s">
        <v>2542</v>
      </c>
      <c r="L6" s="1133"/>
      <c r="M6" s="1134"/>
      <c r="N6" s="1134"/>
      <c r="O6" s="1134"/>
      <c r="P6" s="3192"/>
      <c r="Q6" s="3193"/>
      <c r="R6" s="3173"/>
      <c r="S6" s="3174"/>
      <c r="T6" s="3194"/>
      <c r="U6" s="3195"/>
      <c r="V6" s="3196"/>
      <c r="W6" s="3196"/>
      <c r="X6" s="1814"/>
      <c r="Y6" s="3194"/>
      <c r="Z6" s="3195"/>
      <c r="AA6" s="3168"/>
      <c r="AB6" s="3196"/>
      <c r="AC6" s="3168"/>
    </row>
    <row r="7" spans="1:29" s="117" customFormat="1" ht="15.75" thickBot="1">
      <c r="A7" s="408" t="s">
        <v>2543</v>
      </c>
      <c r="B7" s="409"/>
      <c r="C7" s="410">
        <f>'数据-取费表'!B2</f>
        <v>43142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9" t="s">
        <v>2544</v>
      </c>
      <c r="Q7" s="3197"/>
      <c r="R7" s="770" t="s">
        <v>17</v>
      </c>
      <c r="S7" s="771">
        <f t="shared" ref="S7:S15" si="0">F7</f>
        <v>0</v>
      </c>
      <c r="T7" s="770" t="s">
        <v>17</v>
      </c>
      <c r="U7" s="771">
        <f t="shared" ref="U7:U15" si="1">H7</f>
        <v>0</v>
      </c>
      <c r="V7" s="770" t="s">
        <v>17</v>
      </c>
      <c r="W7" s="771">
        <f t="shared" ref="W7:W15" si="2">J7</f>
        <v>0</v>
      </c>
      <c r="X7" s="772"/>
      <c r="Y7" s="3169" t="s">
        <v>2544</v>
      </c>
      <c r="Z7" s="3170"/>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9" t="s">
        <v>2547</v>
      </c>
      <c r="Q8" s="3170"/>
      <c r="R8" s="770" t="s">
        <v>17</v>
      </c>
      <c r="S8" s="771">
        <f t="shared" si="0"/>
        <v>0</v>
      </c>
      <c r="T8" s="770" t="s">
        <v>17</v>
      </c>
      <c r="U8" s="771">
        <f t="shared" si="1"/>
        <v>0</v>
      </c>
      <c r="V8" s="770" t="s">
        <v>17</v>
      </c>
      <c r="W8" s="771">
        <f t="shared" si="2"/>
        <v>0</v>
      </c>
      <c r="X8" s="772"/>
      <c r="Y8" s="3169" t="s">
        <v>2547</v>
      </c>
      <c r="Z8" s="3170"/>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2550</v>
      </c>
      <c r="Q9" s="1796"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6"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6">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6">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6">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85.5">
      <c r="A15" s="440" t="s">
        <v>2554</v>
      </c>
      <c r="B15" s="69" t="s">
        <v>2648</v>
      </c>
      <c r="C15" s="2604" t="str">
        <f>估价对象房地状况!C4</f>
        <v>估价对象位于通州运河核心区，周边商业氛围成熟度一般，人流量一般，商业繁华度一般。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2555</v>
      </c>
      <c r="Q15" s="1811" t="str">
        <f t="shared" si="6"/>
        <v>商业繁华度</v>
      </c>
      <c r="R15" s="774" t="s">
        <v>17</v>
      </c>
      <c r="S15" s="775">
        <f t="shared" si="0"/>
        <v>100</v>
      </c>
      <c r="T15" s="774" t="s">
        <v>17</v>
      </c>
      <c r="U15" s="775">
        <f t="shared" si="1"/>
        <v>100</v>
      </c>
      <c r="V15" s="774" t="s">
        <v>17</v>
      </c>
      <c r="W15" s="775">
        <f t="shared" si="2"/>
        <v>100</v>
      </c>
      <c r="X15" s="1814"/>
      <c r="Y15" s="3198" t="s">
        <v>2555</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8"/>
      <c r="Q16" s="1811"/>
      <c r="R16" s="774"/>
      <c r="S16" s="775"/>
      <c r="T16" s="774"/>
      <c r="U16" s="775"/>
      <c r="V16" s="774"/>
      <c r="W16" s="775"/>
      <c r="X16" s="1814"/>
      <c r="Y16" s="3199"/>
      <c r="Z16" s="1815"/>
      <c r="AA16" s="1812">
        <v>1</v>
      </c>
      <c r="AB16" s="1812">
        <v>1</v>
      </c>
      <c r="AC16" s="1812">
        <v>1</v>
      </c>
    </row>
    <row r="17" spans="1:29" ht="99.75">
      <c r="A17" s="428"/>
      <c r="B17" s="451" t="s">
        <v>2094</v>
      </c>
      <c r="C17" s="2608" t="str">
        <f>估价对象房地状况!C6</f>
        <v>附近主要有317路、552路、809、通49路等公交线路，紧邻地铁6号线，路网密集度较好，交通便捷度较好。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199"/>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3"/>
      <c r="M18" s="1134"/>
      <c r="N18" s="1134"/>
      <c r="O18" s="1134"/>
      <c r="P18" s="3228"/>
      <c r="Q18" s="1811"/>
      <c r="R18" s="774"/>
      <c r="S18" s="775"/>
      <c r="T18" s="774"/>
      <c r="U18" s="775"/>
      <c r="V18" s="774"/>
      <c r="W18" s="775"/>
      <c r="X18" s="1814"/>
      <c r="Y18" s="3199"/>
      <c r="Z18" s="1815"/>
      <c r="AA18" s="1812">
        <v>1</v>
      </c>
      <c r="AB18" s="1812">
        <v>1</v>
      </c>
      <c r="AC18" s="1812">
        <v>1</v>
      </c>
    </row>
    <row r="19" spans="1:29" ht="171">
      <c r="A19" s="428"/>
      <c r="B19" s="451" t="s">
        <v>2649</v>
      </c>
      <c r="C19" s="2608" t="str">
        <f>估价对象房地状况!C7</f>
        <v>估价对象周边有银行（兴业银行（北京通州运河支行）等）、医院（北京京通医院等）、超市（隆品源超市等）、学校（北京通州芙蓉小学等），公共配套设施齐备情况较好。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199"/>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3"/>
      <c r="M20" s="1134"/>
      <c r="N20" s="1134"/>
      <c r="O20" s="1134"/>
      <c r="P20" s="3228"/>
      <c r="Q20" s="1811"/>
      <c r="R20" s="774"/>
      <c r="S20" s="775"/>
      <c r="T20" s="774"/>
      <c r="U20" s="775"/>
      <c r="V20" s="774"/>
      <c r="W20" s="775"/>
      <c r="X20" s="1814"/>
      <c r="Y20" s="3199"/>
      <c r="Z20" s="1815"/>
      <c r="AA20" s="1812">
        <v>1</v>
      </c>
      <c r="AB20" s="1812">
        <v>1</v>
      </c>
      <c r="AC20" s="1812">
        <v>1</v>
      </c>
    </row>
    <row r="21" spans="1:29" ht="15">
      <c r="A21" s="428"/>
      <c r="B21" s="1387" t="s">
        <v>2650</v>
      </c>
      <c r="C21" s="2608"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199"/>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9"/>
      <c r="G22" s="447"/>
      <c r="H22" s="448"/>
      <c r="I22" s="447"/>
      <c r="J22" s="448"/>
      <c r="K22" s="1386"/>
      <c r="L22" s="1143"/>
      <c r="M22" s="1134"/>
      <c r="N22" s="1134"/>
      <c r="O22" s="1134"/>
      <c r="P22" s="3228"/>
      <c r="Q22" s="1811"/>
      <c r="R22" s="774"/>
      <c r="S22" s="775"/>
      <c r="T22" s="774"/>
      <c r="U22" s="775"/>
      <c r="V22" s="774"/>
      <c r="W22" s="775"/>
      <c r="X22" s="1814"/>
      <c r="Y22" s="3199"/>
      <c r="Z22" s="1815"/>
      <c r="AA22" s="1812">
        <v>1</v>
      </c>
      <c r="AB22" s="1812">
        <v>1</v>
      </c>
      <c r="AC22" s="1812">
        <v>1</v>
      </c>
    </row>
    <row r="23" spans="1:29" ht="128.25">
      <c r="A23" s="428"/>
      <c r="B23" s="451" t="s">
        <v>2099</v>
      </c>
      <c r="C23" s="2665" t="str">
        <f>估价对象房地状况!C9</f>
        <v>估价对象周边有水系、运河奥体公园，自然环境较好；周边有大运河美术馆等人文设施，人文环境较好；综合评价环境状况较好。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1" t="str">
        <f>B23</f>
        <v>自然及人文环境</v>
      </c>
      <c r="R23" s="774" t="s">
        <v>17</v>
      </c>
      <c r="S23" s="775">
        <f>F23</f>
        <v>100</v>
      </c>
      <c r="T23" s="774" t="s">
        <v>17</v>
      </c>
      <c r="U23" s="775">
        <f>H23</f>
        <v>100</v>
      </c>
      <c r="V23" s="774" t="s">
        <v>17</v>
      </c>
      <c r="W23" s="775">
        <f>J23</f>
        <v>100</v>
      </c>
      <c r="X23" s="1814"/>
      <c r="Y23" s="3199"/>
      <c r="Z23" s="1815" t="str">
        <f>Q23</f>
        <v>自然及人文环境</v>
      </c>
      <c r="AA23" s="1812">
        <f t="shared" si="3"/>
        <v>1</v>
      </c>
      <c r="AB23" s="1812">
        <f t="shared" si="4"/>
        <v>1</v>
      </c>
      <c r="AC23" s="1812">
        <f t="shared" si="5"/>
        <v>1</v>
      </c>
    </row>
    <row r="24" spans="1:29" ht="15">
      <c r="A24" s="428"/>
      <c r="B24" s="456"/>
      <c r="C24" s="447"/>
      <c r="D24" s="448"/>
      <c r="E24" s="2606"/>
      <c r="F24" s="449"/>
      <c r="G24" s="2605"/>
      <c r="H24" s="448"/>
      <c r="I24" s="2606"/>
      <c r="J24" s="448"/>
      <c r="K24" s="615"/>
      <c r="L24" s="1143"/>
      <c r="M24" s="1134"/>
      <c r="N24" s="1134"/>
      <c r="O24" s="1134"/>
      <c r="P24" s="3228"/>
      <c r="Q24" s="1811"/>
      <c r="R24" s="774"/>
      <c r="S24" s="775"/>
      <c r="T24" s="774"/>
      <c r="U24" s="775"/>
      <c r="V24" s="774"/>
      <c r="W24" s="775"/>
      <c r="X24" s="1814"/>
      <c r="Y24" s="3199"/>
      <c r="Z24" s="1815"/>
      <c r="AA24" s="1812">
        <v>1</v>
      </c>
      <c r="AB24" s="1812">
        <v>1</v>
      </c>
      <c r="AC24" s="1812">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1" t="str">
        <f t="shared" ref="Q25:Q46" si="11">B25</f>
        <v>临街状况</v>
      </c>
      <c r="R25" s="774" t="s">
        <v>17</v>
      </c>
      <c r="S25" s="775">
        <f>F25</f>
        <v>100</v>
      </c>
      <c r="T25" s="774" t="s">
        <v>17</v>
      </c>
      <c r="U25" s="775">
        <f>H25</f>
        <v>100</v>
      </c>
      <c r="V25" s="774" t="s">
        <v>17</v>
      </c>
      <c r="W25" s="775">
        <f>J25</f>
        <v>100</v>
      </c>
      <c r="X25" s="1814"/>
      <c r="Y25" s="3199"/>
      <c r="Z25" s="1815" t="str">
        <f>Q25</f>
        <v>临街状况</v>
      </c>
      <c r="AA25" s="1812">
        <f t="shared" si="3"/>
        <v>1</v>
      </c>
      <c r="AB25" s="1812">
        <f t="shared" si="4"/>
        <v>1</v>
      </c>
      <c r="AC25" s="1812">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1" t="str">
        <f t="shared" si="11"/>
        <v>平面位置/可视性</v>
      </c>
      <c r="R26" s="774" t="s">
        <v>17</v>
      </c>
      <c r="S26" s="775">
        <f>F26</f>
        <v>100</v>
      </c>
      <c r="T26" s="774" t="s">
        <v>17</v>
      </c>
      <c r="U26" s="775">
        <f>H26</f>
        <v>100</v>
      </c>
      <c r="V26" s="774" t="s">
        <v>17</v>
      </c>
      <c r="W26" s="775">
        <f>J26</f>
        <v>100</v>
      </c>
      <c r="X26" s="1814"/>
      <c r="Y26" s="3199"/>
      <c r="Z26" s="1815" t="str">
        <f>Q26</f>
        <v>平面位置/可视性</v>
      </c>
      <c r="AA26" s="1812">
        <f t="shared" si="3"/>
        <v>1</v>
      </c>
      <c r="AB26" s="1812">
        <f t="shared" si="4"/>
        <v>1</v>
      </c>
      <c r="AC26" s="1812">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8"/>
      <c r="Q27" s="1796" t="str">
        <f t="shared" si="11"/>
        <v>人流量</v>
      </c>
      <c r="R27" s="770" t="s">
        <v>17</v>
      </c>
      <c r="S27" s="771">
        <f>F27</f>
        <v>100</v>
      </c>
      <c r="T27" s="770" t="s">
        <v>17</v>
      </c>
      <c r="U27" s="771">
        <f>H27</f>
        <v>100</v>
      </c>
      <c r="V27" s="770" t="s">
        <v>17</v>
      </c>
      <c r="W27" s="771">
        <f>J27</f>
        <v>100</v>
      </c>
      <c r="X27" s="772"/>
      <c r="Y27" s="3199"/>
      <c r="Z27" s="55" t="str">
        <f>Q27</f>
        <v>人流量</v>
      </c>
      <c r="AA27" s="1812">
        <f>D27/F27</f>
        <v>1</v>
      </c>
      <c r="AB27" s="1812">
        <f>D27/H27</f>
        <v>1</v>
      </c>
      <c r="AC27" s="1812">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199"/>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1">
        <f t="shared" si="11"/>
        <v>111</v>
      </c>
      <c r="R29" s="774" t="s">
        <v>17</v>
      </c>
      <c r="S29" s="775">
        <f t="shared" si="12"/>
        <v>100</v>
      </c>
      <c r="T29" s="774" t="s">
        <v>17</v>
      </c>
      <c r="U29" s="775">
        <f t="shared" si="13"/>
        <v>100</v>
      </c>
      <c r="V29" s="774" t="s">
        <v>17</v>
      </c>
      <c r="W29" s="775">
        <f t="shared" si="14"/>
        <v>100</v>
      </c>
      <c r="X29" s="1814"/>
      <c r="Y29" s="3199"/>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199"/>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199"/>
      <c r="Z31" s="1815">
        <f t="shared" si="15"/>
        <v>111</v>
      </c>
      <c r="AA31" s="1812">
        <f t="shared" si="3"/>
        <v>1</v>
      </c>
      <c r="AB31" s="1812">
        <f t="shared" si="4"/>
        <v>1</v>
      </c>
      <c r="AC31" s="1812">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9" t="s">
        <v>2560</v>
      </c>
      <c r="Q32" s="1811" t="str">
        <f t="shared" si="11"/>
        <v>商业类型</v>
      </c>
      <c r="R32" s="774" t="s">
        <v>17</v>
      </c>
      <c r="S32" s="775">
        <f t="shared" si="12"/>
        <v>100</v>
      </c>
      <c r="T32" s="774" t="s">
        <v>17</v>
      </c>
      <c r="U32" s="775">
        <f t="shared" si="13"/>
        <v>100</v>
      </c>
      <c r="V32" s="774" t="s">
        <v>17</v>
      </c>
      <c r="W32" s="775">
        <f t="shared" si="14"/>
        <v>100</v>
      </c>
      <c r="X32" s="1814"/>
      <c r="Y32" s="3201" t="s">
        <v>2560</v>
      </c>
      <c r="Z32" s="1815" t="str">
        <f t="shared" si="15"/>
        <v>商业类型</v>
      </c>
      <c r="AA32" s="1812">
        <f t="shared" si="3"/>
        <v>1</v>
      </c>
      <c r="AB32" s="1812">
        <f t="shared" si="4"/>
        <v>1</v>
      </c>
      <c r="AC32" s="1812">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2" t="e">
        <f t="shared" si="3"/>
        <v>#N/A</v>
      </c>
      <c r="AB33" s="1812" t="e">
        <f t="shared" si="4"/>
        <v>#N/A</v>
      </c>
      <c r="AC33" s="1812"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30"/>
      <c r="Q34" s="1811" t="str">
        <f t="shared" si="11"/>
        <v>建筑结构</v>
      </c>
      <c r="R34" s="774" t="s">
        <v>17</v>
      </c>
      <c r="S34" s="775">
        <f t="shared" si="12"/>
        <v>100</v>
      </c>
      <c r="T34" s="774" t="s">
        <v>17</v>
      </c>
      <c r="U34" s="775">
        <f t="shared" si="13"/>
        <v>100</v>
      </c>
      <c r="V34" s="774" t="s">
        <v>17</v>
      </c>
      <c r="W34" s="775">
        <f t="shared" si="14"/>
        <v>100</v>
      </c>
      <c r="X34" s="1814"/>
      <c r="Y34" s="3201"/>
      <c r="Z34" s="1815" t="str">
        <f t="shared" si="15"/>
        <v>建筑结构</v>
      </c>
      <c r="AA34" s="1812">
        <f t="shared" si="3"/>
        <v>1</v>
      </c>
      <c r="AB34" s="1812">
        <f t="shared" si="4"/>
        <v>1</v>
      </c>
      <c r="AC34" s="1812">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0"/>
      <c r="Q35" s="1811" t="str">
        <f t="shared" si="11"/>
        <v>公共部分装修</v>
      </c>
      <c r="R35" s="774" t="s">
        <v>17</v>
      </c>
      <c r="S35" s="775">
        <f t="shared" si="12"/>
        <v>100</v>
      </c>
      <c r="T35" s="774" t="s">
        <v>17</v>
      </c>
      <c r="U35" s="775">
        <f t="shared" si="13"/>
        <v>100</v>
      </c>
      <c r="V35" s="774" t="s">
        <v>17</v>
      </c>
      <c r="W35" s="775">
        <f t="shared" si="14"/>
        <v>100</v>
      </c>
      <c r="X35" s="1814"/>
      <c r="Y35" s="3201"/>
      <c r="Z35" s="1815" t="str">
        <f t="shared" si="15"/>
        <v>公共部分装修</v>
      </c>
      <c r="AA35" s="1812">
        <f t="shared" si="3"/>
        <v>1</v>
      </c>
      <c r="AB35" s="1812">
        <f t="shared" si="4"/>
        <v>1</v>
      </c>
      <c r="AC35" s="1812">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1" t="str">
        <f t="shared" si="11"/>
        <v>成新度</v>
      </c>
      <c r="R36" s="774" t="s">
        <v>17</v>
      </c>
      <c r="S36" s="775" t="e">
        <f t="shared" si="12"/>
        <v>#N/A</v>
      </c>
      <c r="T36" s="774" t="s">
        <v>17</v>
      </c>
      <c r="U36" s="775" t="e">
        <f t="shared" si="13"/>
        <v>#N/A</v>
      </c>
      <c r="V36" s="774" t="s">
        <v>17</v>
      </c>
      <c r="W36" s="775" t="e">
        <f t="shared" si="14"/>
        <v>#N/A</v>
      </c>
      <c r="X36" s="1814"/>
      <c r="Y36" s="3201"/>
      <c r="Z36" s="1815" t="str">
        <f t="shared" si="15"/>
        <v>成新度</v>
      </c>
      <c r="AA36" s="1812" t="e">
        <f t="shared" si="3"/>
        <v>#N/A</v>
      </c>
      <c r="AB36" s="1812" t="e">
        <f t="shared" si="4"/>
        <v>#N/A</v>
      </c>
      <c r="AC36" s="1812"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0"/>
      <c r="Q37" s="1796"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0" t="s">
        <v>2560</v>
      </c>
      <c r="Q38" s="1811" t="str">
        <f t="shared" si="11"/>
        <v>业态</v>
      </c>
      <c r="R38" s="774" t="s">
        <v>17</v>
      </c>
      <c r="S38" s="775">
        <f t="shared" si="12"/>
        <v>100</v>
      </c>
      <c r="T38" s="774" t="s">
        <v>17</v>
      </c>
      <c r="U38" s="775">
        <f t="shared" si="13"/>
        <v>100</v>
      </c>
      <c r="V38" s="774" t="s">
        <v>17</v>
      </c>
      <c r="W38" s="775">
        <f t="shared" si="14"/>
        <v>100</v>
      </c>
      <c r="X38" s="1814"/>
      <c r="Y38" s="3201" t="s">
        <v>2560</v>
      </c>
      <c r="Z38" s="1815" t="str">
        <f t="shared" si="15"/>
        <v>业态</v>
      </c>
      <c r="AA38" s="1812">
        <f t="shared" si="3"/>
        <v>1</v>
      </c>
      <c r="AB38" s="1812">
        <f t="shared" si="4"/>
        <v>1</v>
      </c>
      <c r="AC38" s="1812">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0"/>
      <c r="Q39" s="1811" t="str">
        <f t="shared" si="11"/>
        <v>层高</v>
      </c>
      <c r="R39" s="774" t="s">
        <v>17</v>
      </c>
      <c r="S39" s="775">
        <f t="shared" si="12"/>
        <v>100</v>
      </c>
      <c r="T39" s="774" t="s">
        <v>17</v>
      </c>
      <c r="U39" s="775">
        <f t="shared" si="13"/>
        <v>100</v>
      </c>
      <c r="V39" s="774" t="s">
        <v>17</v>
      </c>
      <c r="W39" s="775">
        <f t="shared" si="14"/>
        <v>100</v>
      </c>
      <c r="X39" s="1814"/>
      <c r="Y39" s="3201"/>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1" t="str">
        <f t="shared" si="11"/>
        <v>单套建筑面积</v>
      </c>
      <c r="R40" s="774" t="s">
        <v>17</v>
      </c>
      <c r="S40" s="775">
        <f t="shared" si="12"/>
        <v>100</v>
      </c>
      <c r="T40" s="774" t="s">
        <v>17</v>
      </c>
      <c r="U40" s="775">
        <f t="shared" si="13"/>
        <v>100</v>
      </c>
      <c r="V40" s="774" t="s">
        <v>17</v>
      </c>
      <c r="W40" s="775">
        <f t="shared" si="14"/>
        <v>100</v>
      </c>
      <c r="X40" s="1814"/>
      <c r="Y40" s="3201"/>
      <c r="Z40" s="1815" t="str">
        <f t="shared" si="15"/>
        <v>单套建筑面积</v>
      </c>
      <c r="AA40" s="1812">
        <f t="shared" si="3"/>
        <v>1</v>
      </c>
      <c r="AB40" s="1812">
        <f t="shared" si="4"/>
        <v>1</v>
      </c>
      <c r="AC40" s="1812">
        <f t="shared" si="5"/>
        <v>1</v>
      </c>
    </row>
    <row r="41" spans="1:29" s="471" customFormat="1" ht="15">
      <c r="A41" s="468"/>
      <c r="B41" s="1813"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2">
        <f t="shared" si="3"/>
        <v>1</v>
      </c>
      <c r="AB41" s="1812">
        <f t="shared" si="4"/>
        <v>1</v>
      </c>
      <c r="AC41" s="1812">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0"/>
      <c r="Q42" s="1811" t="str">
        <f t="shared" si="11"/>
        <v>内部装修</v>
      </c>
      <c r="R42" s="774" t="s">
        <v>17</v>
      </c>
      <c r="S42" s="775">
        <f t="shared" si="12"/>
        <v>100</v>
      </c>
      <c r="T42" s="774" t="s">
        <v>17</v>
      </c>
      <c r="U42" s="775">
        <f t="shared" si="13"/>
        <v>100</v>
      </c>
      <c r="V42" s="774" t="s">
        <v>17</v>
      </c>
      <c r="W42" s="775">
        <f t="shared" si="14"/>
        <v>100</v>
      </c>
      <c r="X42" s="1814"/>
      <c r="Y42" s="3201"/>
      <c r="Z42" s="1815" t="str">
        <f t="shared" si="15"/>
        <v>内部装修</v>
      </c>
      <c r="AA42" s="1812">
        <f t="shared" si="3"/>
        <v>1</v>
      </c>
      <c r="AB42" s="1812">
        <f t="shared" si="4"/>
        <v>1</v>
      </c>
      <c r="AC42" s="1812">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0"/>
      <c r="Q43" s="1811" t="str">
        <f t="shared" si="11"/>
        <v>内部装修维护情况</v>
      </c>
      <c r="R43" s="774" t="s">
        <v>17</v>
      </c>
      <c r="S43" s="775">
        <f t="shared" si="12"/>
        <v>100</v>
      </c>
      <c r="T43" s="774" t="s">
        <v>17</v>
      </c>
      <c r="U43" s="775">
        <f t="shared" si="13"/>
        <v>100</v>
      </c>
      <c r="V43" s="774" t="s">
        <v>17</v>
      </c>
      <c r="W43" s="775">
        <f t="shared" si="14"/>
        <v>100</v>
      </c>
      <c r="X43" s="1814"/>
      <c r="Y43" s="3201"/>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6">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1">
        <f t="shared" si="11"/>
        <v>111</v>
      </c>
      <c r="R45" s="774" t="s">
        <v>17</v>
      </c>
      <c r="S45" s="775">
        <f t="shared" si="12"/>
        <v>100</v>
      </c>
      <c r="T45" s="774" t="s">
        <v>17</v>
      </c>
      <c r="U45" s="775">
        <f t="shared" si="13"/>
        <v>100</v>
      </c>
      <c r="V45" s="774" t="s">
        <v>17</v>
      </c>
      <c r="W45" s="775">
        <f t="shared" si="14"/>
        <v>100</v>
      </c>
      <c r="X45" s="1814"/>
      <c r="Y45" s="3201"/>
      <c r="Z45" s="1815">
        <f t="shared" si="15"/>
        <v>111</v>
      </c>
      <c r="AA45" s="1812">
        <f t="shared" si="3"/>
        <v>1</v>
      </c>
      <c r="AB45" s="1812">
        <f t="shared" si="4"/>
        <v>1</v>
      </c>
      <c r="AC45" s="1812">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1">
        <f t="shared" si="11"/>
        <v>111</v>
      </c>
      <c r="R46" s="774" t="s">
        <v>17</v>
      </c>
      <c r="S46" s="775">
        <f t="shared" si="12"/>
        <v>100</v>
      </c>
      <c r="T46" s="774" t="s">
        <v>17</v>
      </c>
      <c r="U46" s="775">
        <f t="shared" si="13"/>
        <v>100</v>
      </c>
      <c r="V46" s="774" t="s">
        <v>17</v>
      </c>
      <c r="W46" s="775">
        <f t="shared" si="14"/>
        <v>100</v>
      </c>
      <c r="X46" s="1814"/>
      <c r="Y46" s="3232"/>
      <c r="Z46" s="1815">
        <f t="shared" si="15"/>
        <v>111</v>
      </c>
      <c r="AA46" s="1812">
        <f t="shared" si="3"/>
        <v>1</v>
      </c>
      <c r="AB46" s="1812">
        <f t="shared" si="4"/>
        <v>1</v>
      </c>
      <c r="AC46" s="1812">
        <f t="shared" si="5"/>
        <v>1</v>
      </c>
    </row>
    <row r="47" spans="1:29" ht="15">
      <c r="A47" s="479" t="s">
        <v>2572</v>
      </c>
      <c r="B47" s="480"/>
      <c r="C47" s="1410" t="s">
        <v>1</v>
      </c>
      <c r="D47" s="1411"/>
      <c r="E47" s="1412"/>
      <c r="F47" s="1413"/>
      <c r="G47" s="1414"/>
      <c r="H47" s="1415"/>
      <c r="I47" s="1412"/>
      <c r="J47" s="1415"/>
      <c r="K47" s="783"/>
      <c r="L47" s="1146"/>
      <c r="M47" s="1147"/>
      <c r="N47" s="1134"/>
      <c r="O47" s="1147"/>
      <c r="P47" s="3183" t="str">
        <f>A47</f>
        <v>成交单价（元/平方米）</v>
      </c>
      <c r="Q47" s="3183"/>
      <c r="R47" s="3196">
        <f>E47</f>
        <v>0</v>
      </c>
      <c r="S47" s="3196"/>
      <c r="T47" s="3196">
        <f>G47</f>
        <v>0</v>
      </c>
      <c r="U47" s="3196"/>
      <c r="V47" s="3196">
        <f>I47</f>
        <v>0</v>
      </c>
      <c r="W47" s="3196"/>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183" t="str">
        <f>A48</f>
        <v>比较价值（元/平方米）</v>
      </c>
      <c r="Q48" s="3183"/>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2543</v>
      </c>
      <c r="B58" s="506"/>
      <c r="C58" s="1576" t="str">
        <f>YEAR(C7)&amp;"-"&amp;MONTH(C7)</f>
        <v>2018-2</v>
      </c>
      <c r="D58" s="1577">
        <f>EDATE(C58,-1)</f>
        <v>43101</v>
      </c>
      <c r="E58" s="1577">
        <f t="shared" ref="E58:N58" si="16">EDATE(D58,-1)</f>
        <v>43070</v>
      </c>
      <c r="F58" s="1577">
        <f t="shared" si="16"/>
        <v>43040</v>
      </c>
      <c r="G58" s="1577">
        <f t="shared" si="16"/>
        <v>43009</v>
      </c>
      <c r="H58" s="1577">
        <f t="shared" si="16"/>
        <v>42979</v>
      </c>
      <c r="I58" s="1577">
        <f t="shared" si="16"/>
        <v>42948</v>
      </c>
      <c r="J58" s="1577">
        <f t="shared" si="16"/>
        <v>42917</v>
      </c>
      <c r="K58" s="1577">
        <f t="shared" si="16"/>
        <v>42887</v>
      </c>
      <c r="L58" s="1577">
        <f t="shared" si="16"/>
        <v>42856</v>
      </c>
      <c r="M58" s="1577">
        <f t="shared" si="16"/>
        <v>42826</v>
      </c>
      <c r="N58" s="1577">
        <f t="shared" si="16"/>
        <v>42795</v>
      </c>
      <c r="O58" s="1577">
        <f>EDATE(N58,-1)</f>
        <v>42767</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2558</v>
      </c>
      <c r="B100" s="528" t="s">
        <v>2676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670" t="s">
        <v>2697</v>
      </c>
      <c r="C1" s="1622" t="s">
        <v>2525</v>
      </c>
      <c r="D1" s="1623"/>
      <c r="E1" s="1632"/>
      <c r="F1" s="2585"/>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7"/>
      <c r="D2" s="1127"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118787.11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84" t="s">
        <v>2641</v>
      </c>
      <c r="D4" s="3185"/>
      <c r="E4" s="3186" t="s">
        <v>2642</v>
      </c>
      <c r="F4" s="3187"/>
      <c r="G4" s="3184" t="s">
        <v>2643</v>
      </c>
      <c r="H4" s="3185"/>
      <c r="I4" s="3184" t="s">
        <v>2644</v>
      </c>
      <c r="J4" s="3185"/>
      <c r="K4" s="610" t="s">
        <v>2645</v>
      </c>
      <c r="L4" s="1133"/>
      <c r="M4" s="1134"/>
      <c r="N4" s="1134"/>
      <c r="O4" s="1134"/>
      <c r="P4" s="3188" t="s">
        <v>2646</v>
      </c>
      <c r="Q4" s="3189"/>
      <c r="R4" s="3171" t="s">
        <v>2642</v>
      </c>
      <c r="S4" s="3172"/>
      <c r="T4" s="3171" t="s">
        <v>2643</v>
      </c>
      <c r="U4" s="3172"/>
      <c r="V4" s="3196" t="s">
        <v>2644</v>
      </c>
      <c r="W4" s="3196"/>
      <c r="X4" s="1814"/>
      <c r="Y4" s="3171" t="s">
        <v>2646</v>
      </c>
      <c r="Z4" s="3172"/>
      <c r="AA4" s="3166" t="s">
        <v>2642</v>
      </c>
      <c r="AB4" s="3167" t="s">
        <v>2643</v>
      </c>
      <c r="AC4" s="3166" t="s">
        <v>2644</v>
      </c>
    </row>
    <row r="5" spans="1:29" ht="15">
      <c r="A5" s="404"/>
      <c r="B5" s="405"/>
      <c r="C5" s="3177" t="s">
        <v>2537</v>
      </c>
      <c r="D5" s="3178"/>
      <c r="E5" s="3175" t="s">
        <v>2538</v>
      </c>
      <c r="F5" s="3176"/>
      <c r="G5" s="3177" t="s">
        <v>2539</v>
      </c>
      <c r="H5" s="3178"/>
      <c r="I5" s="3177" t="s">
        <v>2540</v>
      </c>
      <c r="J5" s="3178"/>
      <c r="K5" s="610"/>
      <c r="L5" s="1133"/>
      <c r="M5" s="1134"/>
      <c r="N5" s="1134"/>
      <c r="O5" s="1134"/>
      <c r="P5" s="3190"/>
      <c r="Q5" s="3191"/>
      <c r="R5" s="3173"/>
      <c r="S5" s="3174"/>
      <c r="T5" s="3173"/>
      <c r="U5" s="3174"/>
      <c r="V5" s="3196"/>
      <c r="W5" s="3196"/>
      <c r="X5" s="1814"/>
      <c r="Y5" s="3173"/>
      <c r="Z5" s="3174"/>
      <c r="AA5" s="3167"/>
      <c r="AB5" s="3167"/>
      <c r="AC5" s="3167"/>
    </row>
    <row r="6" spans="1:29" ht="15.75" thickBot="1">
      <c r="A6" s="406"/>
      <c r="B6" s="407"/>
      <c r="C6" s="3179" t="s">
        <v>2541</v>
      </c>
      <c r="D6" s="3180"/>
      <c r="E6" s="3181" t="s">
        <v>2541</v>
      </c>
      <c r="F6" s="3182"/>
      <c r="G6" s="3179" t="s">
        <v>2541</v>
      </c>
      <c r="H6" s="3180"/>
      <c r="I6" s="3179" t="s">
        <v>2541</v>
      </c>
      <c r="J6" s="3180"/>
      <c r="K6" s="610" t="s">
        <v>2542</v>
      </c>
      <c r="L6" s="1133"/>
      <c r="M6" s="1134"/>
      <c r="N6" s="1134"/>
      <c r="O6" s="1134"/>
      <c r="P6" s="3192"/>
      <c r="Q6" s="3193"/>
      <c r="R6" s="3173"/>
      <c r="S6" s="3174"/>
      <c r="T6" s="3194"/>
      <c r="U6" s="3195"/>
      <c r="V6" s="3196"/>
      <c r="W6" s="3196"/>
      <c r="X6" s="1814"/>
      <c r="Y6" s="3194"/>
      <c r="Z6" s="3195"/>
      <c r="AA6" s="3168"/>
      <c r="AB6" s="3168"/>
      <c r="AC6" s="3168"/>
    </row>
    <row r="7" spans="1:29" s="117" customFormat="1" ht="15.75" thickBot="1">
      <c r="A7" s="408" t="s">
        <v>2543</v>
      </c>
      <c r="B7" s="409"/>
      <c r="C7" s="410">
        <f>'数据-取费表'!B2</f>
        <v>43142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2544</v>
      </c>
      <c r="Q7" s="3197"/>
      <c r="R7" s="770" t="s">
        <v>17</v>
      </c>
      <c r="S7" s="771">
        <f t="shared" ref="S7:S15" si="0">F7</f>
        <v>0</v>
      </c>
      <c r="T7" s="770" t="s">
        <v>17</v>
      </c>
      <c r="U7" s="771">
        <f t="shared" ref="U7:U15" si="1">H7</f>
        <v>0</v>
      </c>
      <c r="V7" s="770" t="s">
        <v>17</v>
      </c>
      <c r="W7" s="771">
        <f t="shared" ref="W7:W15" si="2">J7</f>
        <v>0</v>
      </c>
      <c r="X7" s="772"/>
      <c r="Y7" s="3169" t="s">
        <v>2544</v>
      </c>
      <c r="Z7" s="3170"/>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2547</v>
      </c>
      <c r="Q8" s="3170"/>
      <c r="R8" s="770" t="s">
        <v>17</v>
      </c>
      <c r="S8" s="771">
        <f t="shared" si="0"/>
        <v>0</v>
      </c>
      <c r="T8" s="770" t="s">
        <v>17</v>
      </c>
      <c r="U8" s="771">
        <f t="shared" si="1"/>
        <v>0</v>
      </c>
      <c r="V8" s="770" t="s">
        <v>17</v>
      </c>
      <c r="W8" s="771">
        <f t="shared" si="2"/>
        <v>0</v>
      </c>
      <c r="X8" s="772"/>
      <c r="Y8" s="3169" t="s">
        <v>2547</v>
      </c>
      <c r="Z8" s="3170"/>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3" t="s">
        <v>2550</v>
      </c>
      <c r="Q9" s="1796"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3"/>
      <c r="Q10" s="1796"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3"/>
      <c r="Q11" s="1796"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3"/>
      <c r="Q12" s="1796">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3"/>
      <c r="Q13" s="1796">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3"/>
      <c r="Q14" s="1796">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2554</v>
      </c>
      <c r="B15" s="69" t="s">
        <v>2698</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8" t="s">
        <v>2555</v>
      </c>
      <c r="Q15" s="1811" t="str">
        <f t="shared" si="6"/>
        <v>产业集聚程度</v>
      </c>
      <c r="R15" s="774" t="s">
        <v>17</v>
      </c>
      <c r="S15" s="775">
        <f t="shared" si="0"/>
        <v>100</v>
      </c>
      <c r="T15" s="774" t="s">
        <v>17</v>
      </c>
      <c r="U15" s="775">
        <f t="shared" si="1"/>
        <v>100</v>
      </c>
      <c r="V15" s="774" t="s">
        <v>17</v>
      </c>
      <c r="W15" s="775">
        <f t="shared" si="2"/>
        <v>100</v>
      </c>
      <c r="X15" s="1814"/>
      <c r="Y15" s="3198"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199"/>
      <c r="Q16" s="1811"/>
      <c r="R16" s="774"/>
      <c r="S16" s="775"/>
      <c r="T16" s="774"/>
      <c r="U16" s="775"/>
      <c r="V16" s="774"/>
      <c r="W16" s="775"/>
      <c r="X16" s="1814"/>
      <c r="Y16" s="3199"/>
      <c r="Z16" s="1815"/>
      <c r="AA16" s="1812">
        <v>1</v>
      </c>
      <c r="AB16" s="1812">
        <v>1</v>
      </c>
      <c r="AC16" s="1812">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9"/>
      <c r="Q17" s="1811" t="str">
        <f>B17</f>
        <v>交通便捷度</v>
      </c>
      <c r="R17" s="774" t="s">
        <v>17</v>
      </c>
      <c r="S17" s="775">
        <f>F17</f>
        <v>100</v>
      </c>
      <c r="T17" s="774" t="s">
        <v>17</v>
      </c>
      <c r="U17" s="775">
        <f>H17</f>
        <v>100</v>
      </c>
      <c r="V17" s="774" t="s">
        <v>17</v>
      </c>
      <c r="W17" s="775">
        <f>J17</f>
        <v>100</v>
      </c>
      <c r="X17" s="1814"/>
      <c r="Y17" s="3199"/>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3"/>
      <c r="M18" s="1134"/>
      <c r="N18" s="1134"/>
      <c r="O18" s="1142"/>
      <c r="P18" s="3199"/>
      <c r="Q18" s="1811"/>
      <c r="R18" s="774"/>
      <c r="S18" s="775"/>
      <c r="T18" s="774"/>
      <c r="U18" s="775"/>
      <c r="V18" s="774"/>
      <c r="W18" s="775"/>
      <c r="X18" s="1814"/>
      <c r="Y18" s="3199"/>
      <c r="Z18" s="1815"/>
      <c r="AA18" s="1812">
        <v>1</v>
      </c>
      <c r="AB18" s="1812">
        <v>1</v>
      </c>
      <c r="AC18" s="1812">
        <v>1</v>
      </c>
    </row>
    <row r="19" spans="1:29" ht="42.75">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9"/>
      <c r="Q19" s="1811" t="str">
        <f>B19</f>
        <v>公共配套设施</v>
      </c>
      <c r="R19" s="774" t="s">
        <v>17</v>
      </c>
      <c r="S19" s="775">
        <f>F19</f>
        <v>100</v>
      </c>
      <c r="T19" s="774" t="s">
        <v>17</v>
      </c>
      <c r="U19" s="775">
        <f>H19</f>
        <v>100</v>
      </c>
      <c r="V19" s="774" t="s">
        <v>17</v>
      </c>
      <c r="W19" s="775">
        <f>J19</f>
        <v>100</v>
      </c>
      <c r="X19" s="1814"/>
      <c r="Y19" s="3199"/>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3"/>
      <c r="M20" s="1134"/>
      <c r="N20" s="1134"/>
      <c r="O20" s="1142"/>
      <c r="P20" s="3199"/>
      <c r="Q20" s="1811"/>
      <c r="R20" s="774"/>
      <c r="S20" s="775"/>
      <c r="T20" s="774"/>
      <c r="U20" s="775"/>
      <c r="V20" s="774"/>
      <c r="W20" s="775"/>
      <c r="X20" s="1814"/>
      <c r="Y20" s="3199"/>
      <c r="Z20" s="1815"/>
      <c r="AA20" s="1812">
        <v>1</v>
      </c>
      <c r="AB20" s="1812">
        <v>1</v>
      </c>
      <c r="AC20" s="1812">
        <v>1</v>
      </c>
    </row>
    <row r="21" spans="1:29" ht="28.5">
      <c r="A21" s="428"/>
      <c r="B21" s="1387" t="s">
        <v>2684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9"/>
      <c r="Q21" s="1811" t="str">
        <f>B21</f>
        <v>基础设施水平</v>
      </c>
      <c r="R21" s="774" t="s">
        <v>17</v>
      </c>
      <c r="S21" s="775">
        <f>F21</f>
        <v>100</v>
      </c>
      <c r="T21" s="774" t="s">
        <v>17</v>
      </c>
      <c r="U21" s="775">
        <f>H21</f>
        <v>100</v>
      </c>
      <c r="V21" s="774" t="s">
        <v>17</v>
      </c>
      <c r="W21" s="775">
        <f>J21</f>
        <v>100</v>
      </c>
      <c r="X21" s="1814"/>
      <c r="Y21" s="3199"/>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9"/>
      <c r="G22" s="447"/>
      <c r="H22" s="448"/>
      <c r="I22" s="447"/>
      <c r="J22" s="448"/>
      <c r="K22" s="1386"/>
      <c r="L22" s="1143"/>
      <c r="M22" s="1134"/>
      <c r="N22" s="1134"/>
      <c r="O22" s="1142"/>
      <c r="P22" s="3199"/>
      <c r="Q22" s="1811"/>
      <c r="R22" s="774"/>
      <c r="S22" s="775"/>
      <c r="T22" s="774"/>
      <c r="U22" s="775"/>
      <c r="V22" s="774"/>
      <c r="W22" s="775"/>
      <c r="X22" s="1814"/>
      <c r="Y22" s="3199"/>
      <c r="Z22" s="1815"/>
      <c r="AA22" s="1812">
        <v>1</v>
      </c>
      <c r="AB22" s="1812">
        <v>1</v>
      </c>
      <c r="AC22" s="1812">
        <v>1</v>
      </c>
    </row>
    <row r="23" spans="1:29" ht="71.25">
      <c r="A23" s="428"/>
      <c r="B23" s="451" t="s">
        <v>2685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9"/>
      <c r="Q23" s="1811" t="str">
        <f>B23</f>
        <v>环境质量</v>
      </c>
      <c r="R23" s="774" t="s">
        <v>17</v>
      </c>
      <c r="S23" s="775">
        <f>F23</f>
        <v>100</v>
      </c>
      <c r="T23" s="774" t="s">
        <v>17</v>
      </c>
      <c r="U23" s="775">
        <f>H23</f>
        <v>100</v>
      </c>
      <c r="V23" s="774" t="s">
        <v>17</v>
      </c>
      <c r="W23" s="775">
        <f>J23</f>
        <v>100</v>
      </c>
      <c r="X23" s="1814"/>
      <c r="Y23" s="3199"/>
      <c r="Z23" s="1815" t="str">
        <f>Q23</f>
        <v>环境质量</v>
      </c>
      <c r="AA23" s="1812">
        <f t="shared" si="3"/>
        <v>1</v>
      </c>
      <c r="AB23" s="1812">
        <f t="shared" si="4"/>
        <v>1</v>
      </c>
      <c r="AC23" s="1812">
        <f t="shared" si="5"/>
        <v>1</v>
      </c>
    </row>
    <row r="24" spans="1:29" ht="15">
      <c r="A24" s="428"/>
      <c r="B24" s="1387"/>
      <c r="C24" s="447"/>
      <c r="D24" s="448"/>
      <c r="E24" s="2606"/>
      <c r="F24" s="449"/>
      <c r="G24" s="2605"/>
      <c r="H24" s="448"/>
      <c r="I24" s="2606"/>
      <c r="J24" s="448"/>
      <c r="K24" s="615"/>
      <c r="L24" s="1143"/>
      <c r="M24" s="1134"/>
      <c r="N24" s="1134"/>
      <c r="O24" s="1142"/>
      <c r="P24" s="3199"/>
      <c r="Q24" s="1811"/>
      <c r="R24" s="774"/>
      <c r="S24" s="775"/>
      <c r="T24" s="774"/>
      <c r="U24" s="775"/>
      <c r="V24" s="774"/>
      <c r="W24" s="775"/>
      <c r="X24" s="1814"/>
      <c r="Y24" s="3199"/>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9"/>
      <c r="Q25" s="1811">
        <f>B25</f>
        <v>111</v>
      </c>
      <c r="R25" s="774" t="s">
        <v>17</v>
      </c>
      <c r="S25" s="775">
        <f>F25</f>
        <v>100</v>
      </c>
      <c r="T25" s="774" t="s">
        <v>17</v>
      </c>
      <c r="U25" s="775">
        <f>H25</f>
        <v>100</v>
      </c>
      <c r="V25" s="774" t="s">
        <v>17</v>
      </c>
      <c r="W25" s="775">
        <f>J25</f>
        <v>100</v>
      </c>
      <c r="X25" s="1814"/>
      <c r="Y25" s="3199"/>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9"/>
      <c r="Q26" s="1811">
        <f t="shared" ref="Q26:Q40" si="11">B26</f>
        <v>111</v>
      </c>
      <c r="R26" s="774" t="s">
        <v>17</v>
      </c>
      <c r="S26" s="775">
        <f>F26</f>
        <v>100</v>
      </c>
      <c r="T26" s="774" t="s">
        <v>17</v>
      </c>
      <c r="U26" s="775">
        <f>H26</f>
        <v>100</v>
      </c>
      <c r="V26" s="774" t="s">
        <v>17</v>
      </c>
      <c r="W26" s="775">
        <f>J26</f>
        <v>100</v>
      </c>
      <c r="X26" s="1814"/>
      <c r="Y26" s="3199"/>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9"/>
      <c r="Q27" s="1796">
        <f t="shared" si="11"/>
        <v>111</v>
      </c>
      <c r="R27" s="770" t="s">
        <v>17</v>
      </c>
      <c r="S27" s="771">
        <f>F27</f>
        <v>100</v>
      </c>
      <c r="T27" s="770" t="s">
        <v>17</v>
      </c>
      <c r="U27" s="771">
        <f>H27</f>
        <v>100</v>
      </c>
      <c r="V27" s="770" t="s">
        <v>17</v>
      </c>
      <c r="W27" s="771">
        <f>J27</f>
        <v>100</v>
      </c>
      <c r="X27" s="772"/>
      <c r="Y27" s="3199"/>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9"/>
      <c r="Q28" s="1811">
        <f t="shared" si="11"/>
        <v>111</v>
      </c>
      <c r="R28" s="774" t="s">
        <v>17</v>
      </c>
      <c r="S28" s="775">
        <f t="shared" ref="S28:S40" si="12">F28</f>
        <v>100</v>
      </c>
      <c r="T28" s="774" t="s">
        <v>17</v>
      </c>
      <c r="U28" s="775">
        <f t="shared" ref="U28:U40" si="13">H28</f>
        <v>100</v>
      </c>
      <c r="V28" s="774" t="s">
        <v>17</v>
      </c>
      <c r="W28" s="775">
        <f t="shared" ref="W28:W40" si="14">J28</f>
        <v>100</v>
      </c>
      <c r="X28" s="1814"/>
      <c r="Y28" s="3199"/>
      <c r="Z28" s="1815">
        <f t="shared" ref="Z28:Z40" si="15">Q28</f>
        <v>111</v>
      </c>
      <c r="AA28" s="1812">
        <f t="shared" si="3"/>
        <v>1</v>
      </c>
      <c r="AB28" s="1812">
        <f t="shared" si="4"/>
        <v>1</v>
      </c>
      <c r="AC28" s="1812">
        <f t="shared" si="5"/>
        <v>1</v>
      </c>
    </row>
    <row r="29" spans="1:29" ht="1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00" t="s">
        <v>2560</v>
      </c>
      <c r="Q29" s="1811" t="str">
        <f t="shared" si="11"/>
        <v>建筑类型</v>
      </c>
      <c r="R29" s="774" t="s">
        <v>17</v>
      </c>
      <c r="S29" s="775">
        <f t="shared" si="12"/>
        <v>100</v>
      </c>
      <c r="T29" s="774" t="s">
        <v>17</v>
      </c>
      <c r="U29" s="775">
        <f t="shared" si="13"/>
        <v>100</v>
      </c>
      <c r="V29" s="774" t="s">
        <v>17</v>
      </c>
      <c r="W29" s="775">
        <f t="shared" si="14"/>
        <v>100</v>
      </c>
      <c r="X29" s="1814"/>
      <c r="Y29" s="3201"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1" t="str">
        <f t="shared" si="11"/>
        <v>建筑结构</v>
      </c>
      <c r="R31" s="774" t="s">
        <v>17</v>
      </c>
      <c r="S31" s="775">
        <f t="shared" si="12"/>
        <v>100</v>
      </c>
      <c r="T31" s="774" t="s">
        <v>17</v>
      </c>
      <c r="U31" s="775">
        <f t="shared" si="13"/>
        <v>100</v>
      </c>
      <c r="V31" s="774" t="s">
        <v>17</v>
      </c>
      <c r="W31" s="775">
        <f t="shared" si="14"/>
        <v>100</v>
      </c>
      <c r="X31" s="1814"/>
      <c r="Y31" s="3201"/>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1" t="str">
        <f t="shared" si="11"/>
        <v>公共部分装修</v>
      </c>
      <c r="R32" s="774" t="s">
        <v>17</v>
      </c>
      <c r="S32" s="775">
        <f t="shared" si="12"/>
        <v>100</v>
      </c>
      <c r="T32" s="774" t="s">
        <v>17</v>
      </c>
      <c r="U32" s="775">
        <f t="shared" si="13"/>
        <v>100</v>
      </c>
      <c r="V32" s="774" t="s">
        <v>17</v>
      </c>
      <c r="W32" s="775">
        <f t="shared" si="14"/>
        <v>100</v>
      </c>
      <c r="X32" s="1814"/>
      <c r="Y32" s="3201"/>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1" t="str">
        <f t="shared" si="11"/>
        <v>成新度</v>
      </c>
      <c r="R33" s="774" t="s">
        <v>17</v>
      </c>
      <c r="S33" s="775" t="e">
        <f t="shared" si="12"/>
        <v>#N/A</v>
      </c>
      <c r="T33" s="774" t="s">
        <v>17</v>
      </c>
      <c r="U33" s="775" t="e">
        <f t="shared" si="13"/>
        <v>#N/A</v>
      </c>
      <c r="V33" s="774" t="s">
        <v>17</v>
      </c>
      <c r="W33" s="775" t="e">
        <f t="shared" si="14"/>
        <v>#N/A</v>
      </c>
      <c r="X33" s="1814"/>
      <c r="Y33" s="3201"/>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6"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2560</v>
      </c>
      <c r="Q35" s="1811" t="str">
        <f t="shared" si="11"/>
        <v>市政基础设施</v>
      </c>
      <c r="R35" s="774" t="s">
        <v>17</v>
      </c>
      <c r="S35" s="775">
        <f t="shared" si="12"/>
        <v>100</v>
      </c>
      <c r="T35" s="774" t="s">
        <v>17</v>
      </c>
      <c r="U35" s="775">
        <f t="shared" si="13"/>
        <v>100</v>
      </c>
      <c r="V35" s="774" t="s">
        <v>17</v>
      </c>
      <c r="W35" s="775">
        <f t="shared" si="14"/>
        <v>100</v>
      </c>
      <c r="X35" s="1814"/>
      <c r="Y35" s="3201"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1" t="str">
        <f t="shared" si="11"/>
        <v>内部装修</v>
      </c>
      <c r="R36" s="774" t="s">
        <v>17</v>
      </c>
      <c r="S36" s="775">
        <f t="shared" si="12"/>
        <v>100</v>
      </c>
      <c r="T36" s="774" t="s">
        <v>17</v>
      </c>
      <c r="U36" s="775">
        <f t="shared" si="13"/>
        <v>100</v>
      </c>
      <c r="V36" s="774" t="s">
        <v>17</v>
      </c>
      <c r="W36" s="775">
        <f t="shared" si="14"/>
        <v>100</v>
      </c>
      <c r="X36" s="1814"/>
      <c r="Y36" s="3201"/>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1" t="str">
        <f t="shared" si="11"/>
        <v>内部装修状况</v>
      </c>
      <c r="R37" s="774" t="s">
        <v>17</v>
      </c>
      <c r="S37" s="775">
        <f t="shared" si="12"/>
        <v>100</v>
      </c>
      <c r="T37" s="774" t="s">
        <v>17</v>
      </c>
      <c r="U37" s="775">
        <f t="shared" si="13"/>
        <v>100</v>
      </c>
      <c r="V37" s="774" t="s">
        <v>17</v>
      </c>
      <c r="W37" s="775">
        <f t="shared" si="14"/>
        <v>100</v>
      </c>
      <c r="X37" s="1814"/>
      <c r="Y37" s="3201"/>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1">
        <f t="shared" si="11"/>
        <v>111</v>
      </c>
      <c r="R39" s="774" t="s">
        <v>17</v>
      </c>
      <c r="S39" s="775">
        <f t="shared" si="12"/>
        <v>100</v>
      </c>
      <c r="T39" s="774" t="s">
        <v>17</v>
      </c>
      <c r="U39" s="775">
        <f t="shared" si="13"/>
        <v>100</v>
      </c>
      <c r="V39" s="774" t="s">
        <v>17</v>
      </c>
      <c r="W39" s="775">
        <f t="shared" si="14"/>
        <v>100</v>
      </c>
      <c r="X39" s="1814"/>
      <c r="Y39" s="3201"/>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1">
        <f t="shared" si="11"/>
        <v>111</v>
      </c>
      <c r="R40" s="774" t="s">
        <v>17</v>
      </c>
      <c r="S40" s="775">
        <f t="shared" si="12"/>
        <v>100</v>
      </c>
      <c r="T40" s="774" t="s">
        <v>17</v>
      </c>
      <c r="U40" s="775">
        <f t="shared" si="13"/>
        <v>100</v>
      </c>
      <c r="V40" s="774" t="s">
        <v>17</v>
      </c>
      <c r="W40" s="775">
        <f t="shared" si="14"/>
        <v>100</v>
      </c>
      <c r="X40" s="1814"/>
      <c r="Y40" s="3232"/>
      <c r="Z40" s="1815">
        <f t="shared" si="15"/>
        <v>111</v>
      </c>
      <c r="AA40" s="1812">
        <f t="shared" si="3"/>
        <v>1</v>
      </c>
      <c r="AB40" s="1812">
        <f t="shared" si="4"/>
        <v>1</v>
      </c>
      <c r="AC40" s="1812">
        <f t="shared" si="5"/>
        <v>1</v>
      </c>
    </row>
    <row r="41" spans="1:29" ht="15">
      <c r="A41" s="479" t="s">
        <v>2572</v>
      </c>
      <c r="B41" s="480"/>
      <c r="C41" s="1410" t="s">
        <v>1</v>
      </c>
      <c r="D41" s="1411"/>
      <c r="E41" s="1412"/>
      <c r="F41" s="1413"/>
      <c r="G41" s="1414"/>
      <c r="H41" s="1415"/>
      <c r="I41" s="1412"/>
      <c r="J41" s="1415"/>
      <c r="K41" s="783"/>
      <c r="L41" s="1146"/>
      <c r="M41" s="1147"/>
      <c r="N41" s="1134"/>
      <c r="O41" s="1147"/>
      <c r="P41" s="3183" t="str">
        <f>A41</f>
        <v>成交单价（元/平方米）</v>
      </c>
      <c r="Q41" s="3183"/>
      <c r="R41" s="3233">
        <f>E41</f>
        <v>0</v>
      </c>
      <c r="S41" s="3233"/>
      <c r="T41" s="3233">
        <f>G41</f>
        <v>0</v>
      </c>
      <c r="U41" s="3233"/>
      <c r="V41" s="3233">
        <f>I41</f>
        <v>0</v>
      </c>
      <c r="W41" s="3233"/>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183" t="str">
        <f>A42</f>
        <v>比较价值（元/平方米）</v>
      </c>
      <c r="Q42" s="3183"/>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64" t="e">
        <f>IF(F1="售价",ROUND(AVERAGE(R42:V42),0),ROUND(AVERAGE(R42:V42),1))</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6" t="str">
        <f>YEAR(C7)&amp;"-"&amp;MONTH(C7)</f>
        <v>2018-2</v>
      </c>
      <c r="D52" s="1577">
        <f>EDATE(C52,-1)</f>
        <v>43101</v>
      </c>
      <c r="E52" s="1577">
        <f t="shared" ref="E52:O52" si="16">EDATE(D52,-1)</f>
        <v>43070</v>
      </c>
      <c r="F52" s="1577">
        <f t="shared" si="16"/>
        <v>43040</v>
      </c>
      <c r="G52" s="1577">
        <f t="shared" si="16"/>
        <v>43009</v>
      </c>
      <c r="H52" s="1577">
        <f t="shared" si="16"/>
        <v>42979</v>
      </c>
      <c r="I52" s="1577">
        <f t="shared" si="16"/>
        <v>42948</v>
      </c>
      <c r="J52" s="1577">
        <f t="shared" si="16"/>
        <v>42917</v>
      </c>
      <c r="K52" s="1577">
        <f t="shared" si="16"/>
        <v>42887</v>
      </c>
      <c r="L52" s="1577">
        <f t="shared" si="16"/>
        <v>42856</v>
      </c>
      <c r="M52" s="1577">
        <f t="shared" si="16"/>
        <v>42826</v>
      </c>
      <c r="N52" s="1577">
        <f t="shared" si="16"/>
        <v>42795</v>
      </c>
      <c r="O52" s="1577">
        <f t="shared" si="16"/>
        <v>42767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2702</v>
      </c>
      <c r="B1" s="1621"/>
      <c r="C1" s="1622" t="s">
        <v>2525</v>
      </c>
      <c r="D1" s="1623"/>
      <c r="E1" s="1624"/>
      <c r="F1" s="2585"/>
      <c r="G1" s="1625" t="s">
        <v>2638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84" t="s">
        <v>2641</v>
      </c>
      <c r="D4" s="3185"/>
      <c r="E4" s="3186" t="s">
        <v>2642</v>
      </c>
      <c r="F4" s="3187"/>
      <c r="G4" s="3184" t="s">
        <v>2643</v>
      </c>
      <c r="H4" s="3185"/>
      <c r="I4" s="3184" t="s">
        <v>2644</v>
      </c>
      <c r="J4" s="3185"/>
      <c r="K4" s="610" t="s">
        <v>2645</v>
      </c>
      <c r="L4" s="1133"/>
      <c r="M4" s="1134"/>
      <c r="N4" s="1134"/>
      <c r="O4" s="1134"/>
      <c r="P4" s="3188" t="s">
        <v>2646</v>
      </c>
      <c r="Q4" s="3189"/>
      <c r="R4" s="3171" t="s">
        <v>2642</v>
      </c>
      <c r="S4" s="3172"/>
      <c r="T4" s="3171" t="s">
        <v>2643</v>
      </c>
      <c r="U4" s="3172"/>
      <c r="V4" s="3196" t="s">
        <v>2644</v>
      </c>
      <c r="W4" s="3196"/>
      <c r="X4" s="1814"/>
      <c r="Y4" s="3171" t="s">
        <v>2646</v>
      </c>
      <c r="Z4" s="3172"/>
      <c r="AA4" s="3166" t="s">
        <v>2642</v>
      </c>
      <c r="AB4" s="3167" t="s">
        <v>2643</v>
      </c>
      <c r="AC4" s="3166" t="s">
        <v>2644</v>
      </c>
    </row>
    <row r="5" spans="1:29" ht="15">
      <c r="A5" s="404"/>
      <c r="B5" s="405"/>
      <c r="C5" s="3177" t="s">
        <v>2537</v>
      </c>
      <c r="D5" s="3178"/>
      <c r="E5" s="3175" t="s">
        <v>2538</v>
      </c>
      <c r="F5" s="3176"/>
      <c r="G5" s="3177" t="s">
        <v>2539</v>
      </c>
      <c r="H5" s="3178"/>
      <c r="I5" s="3177" t="s">
        <v>2540</v>
      </c>
      <c r="J5" s="3178"/>
      <c r="K5" s="610"/>
      <c r="L5" s="1133"/>
      <c r="M5" s="1134"/>
      <c r="N5" s="1134"/>
      <c r="O5" s="1134"/>
      <c r="P5" s="3190"/>
      <c r="Q5" s="3191"/>
      <c r="R5" s="3173"/>
      <c r="S5" s="3174"/>
      <c r="T5" s="3173"/>
      <c r="U5" s="3174"/>
      <c r="V5" s="3196"/>
      <c r="W5" s="3196"/>
      <c r="X5" s="1814"/>
      <c r="Y5" s="3173"/>
      <c r="Z5" s="3174"/>
      <c r="AA5" s="3167"/>
      <c r="AB5" s="3167"/>
      <c r="AC5" s="3167"/>
    </row>
    <row r="6" spans="1:29" ht="15.75" thickBot="1">
      <c r="A6" s="406"/>
      <c r="B6" s="407"/>
      <c r="C6" s="3179" t="s">
        <v>2541</v>
      </c>
      <c r="D6" s="3180"/>
      <c r="E6" s="3181" t="s">
        <v>2541</v>
      </c>
      <c r="F6" s="3182"/>
      <c r="G6" s="3179" t="s">
        <v>2541</v>
      </c>
      <c r="H6" s="3180"/>
      <c r="I6" s="3179" t="s">
        <v>2541</v>
      </c>
      <c r="J6" s="3180"/>
      <c r="K6" s="610" t="s">
        <v>2542</v>
      </c>
      <c r="L6" s="1133"/>
      <c r="M6" s="1134"/>
      <c r="N6" s="1134"/>
      <c r="O6" s="1134"/>
      <c r="P6" s="3192"/>
      <c r="Q6" s="3193"/>
      <c r="R6" s="3173"/>
      <c r="S6" s="3174"/>
      <c r="T6" s="3194"/>
      <c r="U6" s="3195"/>
      <c r="V6" s="3196"/>
      <c r="W6" s="3196"/>
      <c r="X6" s="1814"/>
      <c r="Y6" s="3194"/>
      <c r="Z6" s="3195"/>
      <c r="AA6" s="3168"/>
      <c r="AB6" s="3168"/>
      <c r="AC6" s="3168"/>
    </row>
    <row r="7" spans="1:29" s="117" customFormat="1" ht="15.75" thickBot="1">
      <c r="A7" s="408" t="s">
        <v>2543</v>
      </c>
      <c r="B7" s="409"/>
      <c r="C7" s="410">
        <f>'数据-取费表'!B2</f>
        <v>43142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2544</v>
      </c>
      <c r="Q7" s="3197"/>
      <c r="R7" s="770" t="s">
        <v>17</v>
      </c>
      <c r="S7" s="771">
        <f t="shared" ref="S7:S14" si="0">F7</f>
        <v>0</v>
      </c>
      <c r="T7" s="770" t="s">
        <v>17</v>
      </c>
      <c r="U7" s="771">
        <f t="shared" ref="U7:U14" si="1">H7</f>
        <v>0</v>
      </c>
      <c r="V7" s="770" t="s">
        <v>17</v>
      </c>
      <c r="W7" s="771">
        <f t="shared" ref="W7:W14" si="2">J7</f>
        <v>0</v>
      </c>
      <c r="X7" s="772"/>
      <c r="Y7" s="3169" t="s">
        <v>2544</v>
      </c>
      <c r="Z7" s="3170"/>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2547</v>
      </c>
      <c r="Q8" s="3170"/>
      <c r="R8" s="770" t="s">
        <v>17</v>
      </c>
      <c r="S8" s="771">
        <f t="shared" si="0"/>
        <v>0</v>
      </c>
      <c r="T8" s="770" t="s">
        <v>17</v>
      </c>
      <c r="U8" s="771">
        <f t="shared" si="1"/>
        <v>0</v>
      </c>
      <c r="V8" s="770" t="s">
        <v>17</v>
      </c>
      <c r="W8" s="771">
        <f t="shared" si="2"/>
        <v>0</v>
      </c>
      <c r="X8" s="772"/>
      <c r="Y8" s="3169" t="s">
        <v>2547</v>
      </c>
      <c r="Z8" s="3170"/>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3" t="s">
        <v>2550</v>
      </c>
      <c r="Q9" s="1796" t="str">
        <f t="shared" ref="Q9:Q14" si="6">B9</f>
        <v>用途</v>
      </c>
      <c r="R9" s="770" t="s">
        <v>17</v>
      </c>
      <c r="S9" s="771">
        <f t="shared" si="0"/>
        <v>100</v>
      </c>
      <c r="T9" s="770" t="s">
        <v>17</v>
      </c>
      <c r="U9" s="771">
        <f t="shared" si="1"/>
        <v>100</v>
      </c>
      <c r="V9" s="770" t="s">
        <v>17</v>
      </c>
      <c r="W9" s="771">
        <f t="shared" si="2"/>
        <v>100</v>
      </c>
      <c r="X9" s="772"/>
      <c r="Y9" s="304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3"/>
      <c r="Q10" s="1796"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3"/>
      <c r="Q11" s="1796">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3"/>
      <c r="Q12" s="1796">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3"/>
      <c r="Q13" s="1796">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99.75">
      <c r="A14" s="401" t="s">
        <v>2554</v>
      </c>
      <c r="B14" s="629" t="s">
        <v>2704</v>
      </c>
      <c r="C14" s="2694" t="str">
        <f>IF(B1="工业",估价对象房地状况!G4,估价对象房地状况!C6)</f>
        <v>附近主要有317路、552路、809、通49路等公交线路，紧邻地铁6号线，路网密集度较好，交通便捷度较好。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8" t="s">
        <v>2555</v>
      </c>
      <c r="Q14" s="1811" t="str">
        <f t="shared" si="6"/>
        <v>交通便捷度</v>
      </c>
      <c r="R14" s="774" t="s">
        <v>17</v>
      </c>
      <c r="S14" s="775">
        <f t="shared" si="0"/>
        <v>100</v>
      </c>
      <c r="T14" s="774" t="s">
        <v>17</v>
      </c>
      <c r="U14" s="775">
        <f t="shared" si="1"/>
        <v>100</v>
      </c>
      <c r="V14" s="774" t="s">
        <v>17</v>
      </c>
      <c r="W14" s="775">
        <f t="shared" si="2"/>
        <v>100</v>
      </c>
      <c r="X14" s="1814"/>
      <c r="Y14" s="3198"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199"/>
      <c r="Q15" s="1811"/>
      <c r="R15" s="774"/>
      <c r="S15" s="775"/>
      <c r="T15" s="774"/>
      <c r="U15" s="775"/>
      <c r="V15" s="774"/>
      <c r="W15" s="775"/>
      <c r="X15" s="1814"/>
      <c r="Y15" s="3199"/>
      <c r="Z15" s="1815"/>
      <c r="AA15" s="1812">
        <v>1</v>
      </c>
      <c r="AB15" s="1812">
        <v>1</v>
      </c>
      <c r="AC15" s="1812">
        <v>1</v>
      </c>
    </row>
    <row r="16" spans="1:29" ht="171">
      <c r="A16" s="404"/>
      <c r="B16" s="631" t="s">
        <v>2683</v>
      </c>
      <c r="C16" s="2608" t="str">
        <f>IF(B1="工业",估价对象房地状况!G5,估价对象房地状况!C7)</f>
        <v>估价对象周边有银行（兴业银行（北京通州运河支行）等）、医院（北京京通医院等）、超市（隆品源超市等）、学校（北京通州芙蓉小学等），公共配套设施齐备情况较好。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9"/>
      <c r="Q16" s="1811" t="str">
        <f>B16</f>
        <v>公共配套设施</v>
      </c>
      <c r="R16" s="774" t="s">
        <v>17</v>
      </c>
      <c r="S16" s="775">
        <f>F16</f>
        <v>100</v>
      </c>
      <c r="T16" s="774" t="s">
        <v>17</v>
      </c>
      <c r="U16" s="775">
        <f>H16</f>
        <v>100</v>
      </c>
      <c r="V16" s="774" t="s">
        <v>17</v>
      </c>
      <c r="W16" s="775">
        <f>J16</f>
        <v>100</v>
      </c>
      <c r="X16" s="1814"/>
      <c r="Y16" s="3199"/>
      <c r="Z16" s="1815" t="str">
        <f>Q16</f>
        <v>公共配套设施</v>
      </c>
      <c r="AA16" s="1812">
        <f t="shared" si="3"/>
        <v>1</v>
      </c>
      <c r="AB16" s="1812">
        <f t="shared" si="4"/>
        <v>1</v>
      </c>
      <c r="AC16" s="1812">
        <f t="shared" si="5"/>
        <v>1</v>
      </c>
    </row>
    <row r="17" spans="1:29" ht="15">
      <c r="A17" s="404"/>
      <c r="B17" s="632"/>
      <c r="C17" s="2609"/>
      <c r="D17" s="448"/>
      <c r="E17" s="447"/>
      <c r="F17" s="449"/>
      <c r="G17" s="447"/>
      <c r="H17" s="448"/>
      <c r="I17" s="447"/>
      <c r="J17" s="448"/>
      <c r="K17" s="615"/>
      <c r="L17" s="1143"/>
      <c r="M17" s="1134"/>
      <c r="N17" s="1134"/>
      <c r="O17" s="1134"/>
      <c r="P17" s="3199"/>
      <c r="Q17" s="1811"/>
      <c r="R17" s="774"/>
      <c r="S17" s="775"/>
      <c r="T17" s="774"/>
      <c r="U17" s="775"/>
      <c r="V17" s="774"/>
      <c r="W17" s="775"/>
      <c r="X17" s="1814"/>
      <c r="Y17" s="3199"/>
      <c r="Z17" s="1815"/>
      <c r="AA17" s="1812">
        <v>1</v>
      </c>
      <c r="AB17" s="1812">
        <v>1</v>
      </c>
      <c r="AC17" s="1812">
        <v>1</v>
      </c>
    </row>
    <row r="18" spans="1:29" ht="15">
      <c r="A18" s="404"/>
      <c r="B18" s="633" t="s">
        <v>2684</v>
      </c>
      <c r="C18" s="2608"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9"/>
      <c r="Q18" s="1811" t="str">
        <f>B18</f>
        <v>基础设施水平</v>
      </c>
      <c r="R18" s="774" t="s">
        <v>17</v>
      </c>
      <c r="S18" s="775">
        <f>F18</f>
        <v>100</v>
      </c>
      <c r="T18" s="774" t="s">
        <v>17</v>
      </c>
      <c r="U18" s="775">
        <f>H18</f>
        <v>100</v>
      </c>
      <c r="V18" s="774" t="s">
        <v>17</v>
      </c>
      <c r="W18" s="775">
        <f>J18</f>
        <v>100</v>
      </c>
      <c r="X18" s="1814"/>
      <c r="Y18" s="3199"/>
      <c r="Z18" s="1815" t="str">
        <f>Q18</f>
        <v>基础设施水平</v>
      </c>
      <c r="AA18" s="1812">
        <f t="shared" ref="AA18" si="8">D18/F18</f>
        <v>1</v>
      </c>
      <c r="AB18" s="1812">
        <f t="shared" ref="AB18" si="9">D18/H18</f>
        <v>1</v>
      </c>
      <c r="AC18" s="1812">
        <f t="shared" ref="AC18" si="10">D18/J18</f>
        <v>1</v>
      </c>
    </row>
    <row r="19" spans="1:29" ht="15">
      <c r="A19" s="404"/>
      <c r="B19" s="633"/>
      <c r="C19" s="2609"/>
      <c r="D19" s="450"/>
      <c r="E19" s="2609"/>
      <c r="F19" s="453"/>
      <c r="G19" s="2609"/>
      <c r="H19" s="448"/>
      <c r="I19" s="447"/>
      <c r="J19" s="448"/>
      <c r="K19" s="1386"/>
      <c r="L19" s="1143"/>
      <c r="M19" s="1134"/>
      <c r="N19" s="1134"/>
      <c r="O19" s="1134"/>
      <c r="P19" s="3199"/>
      <c r="Q19" s="1811"/>
      <c r="R19" s="774"/>
      <c r="S19" s="775"/>
      <c r="T19" s="774"/>
      <c r="U19" s="775"/>
      <c r="V19" s="774"/>
      <c r="W19" s="775"/>
      <c r="X19" s="1814"/>
      <c r="Y19" s="3199"/>
      <c r="Z19" s="1815"/>
      <c r="AA19" s="1812">
        <v>1</v>
      </c>
      <c r="AB19" s="1812">
        <v>1</v>
      </c>
      <c r="AC19" s="1812">
        <v>1</v>
      </c>
    </row>
    <row r="20" spans="1:29" ht="128.25">
      <c r="A20" s="404"/>
      <c r="B20" s="631" t="s">
        <v>2705</v>
      </c>
      <c r="C20" s="2608" t="str">
        <f>IF(B1="工业",估价对象房地状况!G7,估价对象房地状况!C9)</f>
        <v>估价对象周边有水系、运河奥体公园，自然环境较好；周边有大运河美术馆等人文设施，人文环境较好；综合评价环境状况较好。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9"/>
      <c r="Q20" s="1811" t="str">
        <f>B20</f>
        <v>自然及人文环境</v>
      </c>
      <c r="R20" s="774" t="s">
        <v>17</v>
      </c>
      <c r="S20" s="775">
        <f>F20</f>
        <v>100</v>
      </c>
      <c r="T20" s="774" t="s">
        <v>17</v>
      </c>
      <c r="U20" s="775">
        <f>H20</f>
        <v>100</v>
      </c>
      <c r="V20" s="774" t="s">
        <v>17</v>
      </c>
      <c r="W20" s="775">
        <f>J20</f>
        <v>100</v>
      </c>
      <c r="X20" s="1814"/>
      <c r="Y20" s="3199"/>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199"/>
      <c r="Q21" s="1811"/>
      <c r="R21" s="774"/>
      <c r="S21" s="775"/>
      <c r="T21" s="774"/>
      <c r="U21" s="775"/>
      <c r="V21" s="774"/>
      <c r="W21" s="775"/>
      <c r="X21" s="1814"/>
      <c r="Y21" s="3199"/>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9"/>
      <c r="Q22" s="1811" t="str">
        <f>B22</f>
        <v>楼层</v>
      </c>
      <c r="R22" s="774" t="s">
        <v>17</v>
      </c>
      <c r="S22" s="775">
        <f>F22</f>
        <v>100</v>
      </c>
      <c r="T22" s="774" t="s">
        <v>17</v>
      </c>
      <c r="U22" s="775">
        <f>H22</f>
        <v>100</v>
      </c>
      <c r="V22" s="774" t="s">
        <v>17</v>
      </c>
      <c r="W22" s="775">
        <f>J22</f>
        <v>100</v>
      </c>
      <c r="X22" s="1814"/>
      <c r="Y22" s="3199"/>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9"/>
      <c r="Q23" s="1811">
        <f>B23</f>
        <v>111</v>
      </c>
      <c r="R23" s="774" t="s">
        <v>17</v>
      </c>
      <c r="S23" s="775">
        <f>F23</f>
        <v>100</v>
      </c>
      <c r="T23" s="774" t="s">
        <v>17</v>
      </c>
      <c r="U23" s="775">
        <f>H23</f>
        <v>100</v>
      </c>
      <c r="V23" s="774" t="s">
        <v>17</v>
      </c>
      <c r="W23" s="775">
        <f>J23</f>
        <v>100</v>
      </c>
      <c r="X23" s="1814"/>
      <c r="Y23" s="3199"/>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9"/>
      <c r="Q24" s="1811">
        <f t="shared" ref="Q24:Q36" si="11">B24</f>
        <v>111</v>
      </c>
      <c r="R24" s="774" t="s">
        <v>17</v>
      </c>
      <c r="S24" s="775">
        <f>F24</f>
        <v>100</v>
      </c>
      <c r="T24" s="774" t="s">
        <v>17</v>
      </c>
      <c r="U24" s="775">
        <f>H24</f>
        <v>100</v>
      </c>
      <c r="V24" s="774" t="s">
        <v>17</v>
      </c>
      <c r="W24" s="775">
        <f>J24</f>
        <v>100</v>
      </c>
      <c r="X24" s="1814"/>
      <c r="Y24" s="3199"/>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9"/>
      <c r="Q25" s="1796">
        <f t="shared" si="11"/>
        <v>111</v>
      </c>
      <c r="R25" s="770" t="s">
        <v>17</v>
      </c>
      <c r="S25" s="771">
        <f>F25</f>
        <v>100</v>
      </c>
      <c r="T25" s="770" t="s">
        <v>17</v>
      </c>
      <c r="U25" s="771">
        <f>H25</f>
        <v>100</v>
      </c>
      <c r="V25" s="770" t="s">
        <v>17</v>
      </c>
      <c r="W25" s="771">
        <f>J25</f>
        <v>100</v>
      </c>
      <c r="X25" s="772"/>
      <c r="Y25" s="3199"/>
      <c r="Z25" s="55">
        <f>Q25</f>
        <v>111</v>
      </c>
      <c r="AA25" s="1812">
        <f>D25/F25</f>
        <v>1</v>
      </c>
      <c r="AB25" s="1812">
        <f>D25/H25</f>
        <v>1</v>
      </c>
      <c r="AC25" s="1812">
        <f>D25/J25</f>
        <v>1</v>
      </c>
    </row>
    <row r="26" spans="1:29" ht="1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0" t="s">
        <v>2560</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01"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1" t="str">
        <f t="shared" si="11"/>
        <v>公共部分装修</v>
      </c>
      <c r="R28" s="774" t="s">
        <v>17</v>
      </c>
      <c r="S28" s="775">
        <f t="shared" si="12"/>
        <v>100</v>
      </c>
      <c r="T28" s="774" t="s">
        <v>17</v>
      </c>
      <c r="U28" s="775">
        <f t="shared" si="13"/>
        <v>100</v>
      </c>
      <c r="V28" s="774" t="s">
        <v>17</v>
      </c>
      <c r="W28" s="775">
        <f t="shared" si="14"/>
        <v>100</v>
      </c>
      <c r="X28" s="1814"/>
      <c r="Y28" s="3201"/>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1" t="str">
        <f t="shared" si="11"/>
        <v>成新率</v>
      </c>
      <c r="R29" s="774" t="s">
        <v>17</v>
      </c>
      <c r="S29" s="775" t="e">
        <f t="shared" si="12"/>
        <v>#N/A</v>
      </c>
      <c r="T29" s="774" t="s">
        <v>17</v>
      </c>
      <c r="U29" s="775" t="e">
        <f t="shared" si="13"/>
        <v>#N/A</v>
      </c>
      <c r="V29" s="774" t="s">
        <v>17</v>
      </c>
      <c r="W29" s="775" t="e">
        <f t="shared" si="14"/>
        <v>#N/A</v>
      </c>
      <c r="X29" s="1814"/>
      <c r="Y29" s="3201"/>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1" t="str">
        <f t="shared" si="11"/>
        <v>物业等级</v>
      </c>
      <c r="R30" s="774" t="s">
        <v>17</v>
      </c>
      <c r="S30" s="775">
        <f t="shared" si="12"/>
        <v>100</v>
      </c>
      <c r="T30" s="774" t="s">
        <v>17</v>
      </c>
      <c r="U30" s="775">
        <f t="shared" si="13"/>
        <v>100</v>
      </c>
      <c r="V30" s="774" t="s">
        <v>17</v>
      </c>
      <c r="W30" s="775">
        <f t="shared" si="14"/>
        <v>100</v>
      </c>
      <c r="X30" s="1814"/>
      <c r="Y30" s="3201"/>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6"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2560</v>
      </c>
      <c r="Q32" s="1811" t="str">
        <f t="shared" si="11"/>
        <v>车位类型</v>
      </c>
      <c r="R32" s="774" t="s">
        <v>17</v>
      </c>
      <c r="S32" s="775">
        <f t="shared" si="12"/>
        <v>100</v>
      </c>
      <c r="T32" s="774" t="s">
        <v>17</v>
      </c>
      <c r="U32" s="775">
        <f t="shared" si="13"/>
        <v>100</v>
      </c>
      <c r="V32" s="774" t="s">
        <v>17</v>
      </c>
      <c r="W32" s="775">
        <f t="shared" si="14"/>
        <v>100</v>
      </c>
      <c r="X32" s="1814"/>
      <c r="Y32" s="3201"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1" t="str">
        <f t="shared" si="11"/>
        <v>是否直接入户</v>
      </c>
      <c r="R33" s="774" t="s">
        <v>17</v>
      </c>
      <c r="S33" s="775">
        <f t="shared" si="12"/>
        <v>100</v>
      </c>
      <c r="T33" s="774" t="s">
        <v>17</v>
      </c>
      <c r="U33" s="775">
        <f t="shared" si="13"/>
        <v>100</v>
      </c>
      <c r="V33" s="774" t="s">
        <v>17</v>
      </c>
      <c r="W33" s="775">
        <f t="shared" si="14"/>
        <v>100</v>
      </c>
      <c r="X33" s="1814"/>
      <c r="Y33" s="3201"/>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1">
        <f t="shared" si="11"/>
        <v>111</v>
      </c>
      <c r="R34" s="774" t="s">
        <v>17</v>
      </c>
      <c r="S34" s="775">
        <f t="shared" si="12"/>
        <v>100</v>
      </c>
      <c r="T34" s="774" t="s">
        <v>17</v>
      </c>
      <c r="U34" s="775">
        <f t="shared" si="13"/>
        <v>100</v>
      </c>
      <c r="V34" s="774" t="s">
        <v>17</v>
      </c>
      <c r="W34" s="775">
        <f t="shared" si="14"/>
        <v>100</v>
      </c>
      <c r="X34" s="1814"/>
      <c r="Y34" s="3201"/>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1">
        <f t="shared" si="11"/>
        <v>111</v>
      </c>
      <c r="R36" s="774" t="s">
        <v>17</v>
      </c>
      <c r="S36" s="775">
        <f t="shared" si="12"/>
        <v>100</v>
      </c>
      <c r="T36" s="774" t="s">
        <v>17</v>
      </c>
      <c r="U36" s="775">
        <f t="shared" si="13"/>
        <v>100</v>
      </c>
      <c r="V36" s="774" t="s">
        <v>17</v>
      </c>
      <c r="W36" s="775">
        <f t="shared" si="14"/>
        <v>100</v>
      </c>
      <c r="X36" s="1814"/>
      <c r="Y36" s="3201"/>
      <c r="Z36" s="1815">
        <f t="shared" si="15"/>
        <v>111</v>
      </c>
      <c r="AA36" s="1812">
        <f t="shared" si="3"/>
        <v>1</v>
      </c>
      <c r="AB36" s="1812">
        <f t="shared" si="4"/>
        <v>1</v>
      </c>
      <c r="AC36" s="1812">
        <f t="shared" si="5"/>
        <v>1</v>
      </c>
    </row>
    <row r="37" spans="1:29" ht="15">
      <c r="A37" s="479" t="s">
        <v>2715</v>
      </c>
      <c r="B37" s="2696" t="s">
        <v>2716</v>
      </c>
      <c r="C37" s="1410" t="s">
        <v>1</v>
      </c>
      <c r="D37" s="1411"/>
      <c r="E37" s="1412"/>
      <c r="F37" s="1413"/>
      <c r="G37" s="1414"/>
      <c r="H37" s="1415"/>
      <c r="I37" s="1412"/>
      <c r="J37" s="1415"/>
      <c r="K37" s="619"/>
      <c r="L37" s="1146"/>
      <c r="M37" s="1147"/>
      <c r="N37" s="1134"/>
      <c r="O37" s="1147"/>
      <c r="P37" s="3183" t="str">
        <f>A37</f>
        <v>成交单价</v>
      </c>
      <c r="Q37" s="3183"/>
      <c r="R37" s="3233">
        <f>E37</f>
        <v>0</v>
      </c>
      <c r="S37" s="3233"/>
      <c r="T37" s="3233">
        <f>G37</f>
        <v>0</v>
      </c>
      <c r="U37" s="3233"/>
      <c r="V37" s="3233">
        <f>I37</f>
        <v>0</v>
      </c>
      <c r="W37" s="3233"/>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3" t="str">
        <f>A38</f>
        <v>比较价值（元/平方米）</v>
      </c>
      <c r="Q38" s="3183"/>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64" t="e">
        <f>IF(F1="售价",ROUND(AVERAGE(R38:V38),0),ROUND(AVERAGE(R38:V38),1))</f>
        <v>#DIV/0!</v>
      </c>
      <c r="S39" s="3264"/>
      <c r="T39" s="3264"/>
      <c r="U39" s="3264"/>
      <c r="V39" s="3264"/>
      <c r="W39" s="32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6" t="str">
        <f>YEAR(C7)&amp;"-"&amp;MONTH(C7)</f>
        <v>2018-2</v>
      </c>
      <c r="D48" s="1577">
        <f>EDATE(C48,-1)</f>
        <v>43101</v>
      </c>
      <c r="E48" s="1577">
        <f t="shared" ref="E48:O48" si="16">EDATE(D48,-1)</f>
        <v>43070</v>
      </c>
      <c r="F48" s="1577">
        <f t="shared" si="16"/>
        <v>43040</v>
      </c>
      <c r="G48" s="1577">
        <f t="shared" si="16"/>
        <v>43009</v>
      </c>
      <c r="H48" s="1577">
        <f t="shared" si="16"/>
        <v>42979</v>
      </c>
      <c r="I48" s="1577">
        <f t="shared" si="16"/>
        <v>42948</v>
      </c>
      <c r="J48" s="1577">
        <f t="shared" si="16"/>
        <v>42917</v>
      </c>
      <c r="K48" s="1577">
        <f t="shared" si="16"/>
        <v>42887</v>
      </c>
      <c r="L48" s="1577">
        <f t="shared" si="16"/>
        <v>42856</v>
      </c>
      <c r="M48" s="1577">
        <f t="shared" si="16"/>
        <v>42826</v>
      </c>
      <c r="N48" s="1577">
        <f t="shared" si="16"/>
        <v>42795</v>
      </c>
      <c r="O48" s="1577">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2702</v>
      </c>
      <c r="B1" s="1621"/>
      <c r="C1" s="1622" t="s">
        <v>2525</v>
      </c>
      <c r="D1" s="1623"/>
      <c r="E1" s="1632"/>
      <c r="F1" s="2585"/>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84" t="s">
        <v>2641</v>
      </c>
      <c r="D4" s="3185"/>
      <c r="E4" s="3186" t="s">
        <v>2642</v>
      </c>
      <c r="F4" s="3187"/>
      <c r="G4" s="3184" t="s">
        <v>2643</v>
      </c>
      <c r="H4" s="3185"/>
      <c r="I4" s="3184" t="s">
        <v>2644</v>
      </c>
      <c r="J4" s="3185"/>
      <c r="K4" s="610" t="s">
        <v>2645</v>
      </c>
      <c r="L4" s="1133"/>
      <c r="M4" s="1134"/>
      <c r="N4" s="1134"/>
      <c r="O4" s="1134"/>
      <c r="P4" s="3188" t="s">
        <v>2646</v>
      </c>
      <c r="Q4" s="3189"/>
      <c r="R4" s="3171" t="s">
        <v>2642</v>
      </c>
      <c r="S4" s="3172"/>
      <c r="T4" s="3171" t="s">
        <v>2643</v>
      </c>
      <c r="U4" s="3172"/>
      <c r="V4" s="3196" t="s">
        <v>2644</v>
      </c>
      <c r="W4" s="3196"/>
      <c r="X4" s="1814"/>
      <c r="Y4" s="3171" t="s">
        <v>2646</v>
      </c>
      <c r="Z4" s="3172"/>
      <c r="AA4" s="3166" t="s">
        <v>2642</v>
      </c>
      <c r="AB4" s="3167" t="s">
        <v>2643</v>
      </c>
      <c r="AC4" s="3166" t="s">
        <v>2644</v>
      </c>
    </row>
    <row r="5" spans="1:29" ht="15">
      <c r="A5" s="404"/>
      <c r="B5" s="405"/>
      <c r="C5" s="3177" t="s">
        <v>2537</v>
      </c>
      <c r="D5" s="3178"/>
      <c r="E5" s="3175" t="s">
        <v>2538</v>
      </c>
      <c r="F5" s="3176"/>
      <c r="G5" s="3177" t="s">
        <v>2539</v>
      </c>
      <c r="H5" s="3178"/>
      <c r="I5" s="3177" t="s">
        <v>2540</v>
      </c>
      <c r="J5" s="3178"/>
      <c r="K5" s="610"/>
      <c r="L5" s="1133"/>
      <c r="M5" s="1134"/>
      <c r="N5" s="1134"/>
      <c r="O5" s="1134"/>
      <c r="P5" s="3190"/>
      <c r="Q5" s="3191"/>
      <c r="R5" s="3173"/>
      <c r="S5" s="3174"/>
      <c r="T5" s="3173"/>
      <c r="U5" s="3174"/>
      <c r="V5" s="3196"/>
      <c r="W5" s="3196"/>
      <c r="X5" s="1814"/>
      <c r="Y5" s="3173"/>
      <c r="Z5" s="3174"/>
      <c r="AA5" s="3167"/>
      <c r="AB5" s="3167"/>
      <c r="AC5" s="3167"/>
    </row>
    <row r="6" spans="1:29" ht="15.75" thickBot="1">
      <c r="A6" s="406"/>
      <c r="B6" s="407"/>
      <c r="C6" s="3179" t="s">
        <v>2541</v>
      </c>
      <c r="D6" s="3180"/>
      <c r="E6" s="3181" t="s">
        <v>2541</v>
      </c>
      <c r="F6" s="3182"/>
      <c r="G6" s="3179" t="s">
        <v>2541</v>
      </c>
      <c r="H6" s="3180"/>
      <c r="I6" s="3179" t="s">
        <v>2541</v>
      </c>
      <c r="J6" s="3180"/>
      <c r="K6" s="610" t="s">
        <v>2542</v>
      </c>
      <c r="L6" s="1133"/>
      <c r="M6" s="1134"/>
      <c r="N6" s="1134"/>
      <c r="O6" s="1134"/>
      <c r="P6" s="3192"/>
      <c r="Q6" s="3193"/>
      <c r="R6" s="3173"/>
      <c r="S6" s="3174"/>
      <c r="T6" s="3194"/>
      <c r="U6" s="3195"/>
      <c r="V6" s="3196"/>
      <c r="W6" s="3196"/>
      <c r="X6" s="1814"/>
      <c r="Y6" s="3194"/>
      <c r="Z6" s="3195"/>
      <c r="AA6" s="3168"/>
      <c r="AB6" s="3168"/>
      <c r="AC6" s="3168"/>
    </row>
    <row r="7" spans="1:29" s="117" customFormat="1" ht="15.75" thickBot="1">
      <c r="A7" s="408" t="s">
        <v>2543</v>
      </c>
      <c r="B7" s="409"/>
      <c r="C7" s="410">
        <f>'数据-取费表'!B2</f>
        <v>43142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69" t="s">
        <v>2544</v>
      </c>
      <c r="Q7" s="3197"/>
      <c r="R7" s="770" t="s">
        <v>17</v>
      </c>
      <c r="S7" s="771">
        <f t="shared" ref="S7:S14" si="0">F7</f>
        <v>0</v>
      </c>
      <c r="T7" s="770" t="s">
        <v>17</v>
      </c>
      <c r="U7" s="771">
        <f t="shared" ref="U7:U14" si="1">H7</f>
        <v>0</v>
      </c>
      <c r="V7" s="770" t="s">
        <v>17</v>
      </c>
      <c r="W7" s="771">
        <f t="shared" ref="W7:W14" si="2">J7</f>
        <v>0</v>
      </c>
      <c r="X7" s="772"/>
      <c r="Y7" s="3169" t="s">
        <v>2544</v>
      </c>
      <c r="Z7" s="3170"/>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2547</v>
      </c>
      <c r="Q8" s="3170"/>
      <c r="R8" s="770" t="s">
        <v>17</v>
      </c>
      <c r="S8" s="771">
        <f t="shared" si="0"/>
        <v>0</v>
      </c>
      <c r="T8" s="770" t="s">
        <v>17</v>
      </c>
      <c r="U8" s="771">
        <f t="shared" si="1"/>
        <v>0</v>
      </c>
      <c r="V8" s="770" t="s">
        <v>17</v>
      </c>
      <c r="W8" s="771">
        <f t="shared" si="2"/>
        <v>0</v>
      </c>
      <c r="X8" s="772"/>
      <c r="Y8" s="3169" t="s">
        <v>2547</v>
      </c>
      <c r="Z8" s="3170"/>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3" t="s">
        <v>2550</v>
      </c>
      <c r="Q9" s="1796" t="str">
        <f t="shared" ref="Q9:Q14" si="6">B9</f>
        <v>用途</v>
      </c>
      <c r="R9" s="770" t="s">
        <v>17</v>
      </c>
      <c r="S9" s="771">
        <f t="shared" si="0"/>
        <v>100</v>
      </c>
      <c r="T9" s="770" t="s">
        <v>17</v>
      </c>
      <c r="U9" s="771">
        <f t="shared" si="1"/>
        <v>100</v>
      </c>
      <c r="V9" s="770" t="s">
        <v>17</v>
      </c>
      <c r="W9" s="771">
        <f t="shared" si="2"/>
        <v>100</v>
      </c>
      <c r="X9" s="772"/>
      <c r="Y9" s="304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3"/>
      <c r="Q10" s="1796"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3"/>
      <c r="Q11" s="1796">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3"/>
      <c r="Q12" s="1796">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3"/>
      <c r="Q13" s="1796">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99.75">
      <c r="A14" s="440" t="s">
        <v>2554</v>
      </c>
      <c r="B14" s="69" t="s">
        <v>2704</v>
      </c>
      <c r="C14" s="2694" t="str">
        <f>IF(B1="工业",估价对象房地状况!G4,估价对象房地状况!C6)</f>
        <v>附近主要有317路、552路、809、通49路等公交线路，紧邻地铁6号线，路网密集度较好，交通便捷度较好。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8" t="s">
        <v>2555</v>
      </c>
      <c r="Q14" s="1811" t="str">
        <f t="shared" si="6"/>
        <v>交通便捷度</v>
      </c>
      <c r="R14" s="774" t="s">
        <v>17</v>
      </c>
      <c r="S14" s="775">
        <f t="shared" si="0"/>
        <v>100</v>
      </c>
      <c r="T14" s="774" t="s">
        <v>17</v>
      </c>
      <c r="U14" s="775">
        <f t="shared" si="1"/>
        <v>100</v>
      </c>
      <c r="V14" s="774" t="s">
        <v>17</v>
      </c>
      <c r="W14" s="775">
        <f t="shared" si="2"/>
        <v>100</v>
      </c>
      <c r="X14" s="1814"/>
      <c r="Y14" s="3198"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199"/>
      <c r="Q15" s="1811"/>
      <c r="R15" s="774"/>
      <c r="S15" s="775"/>
      <c r="T15" s="774"/>
      <c r="U15" s="775"/>
      <c r="V15" s="774"/>
      <c r="W15" s="775"/>
      <c r="X15" s="1814"/>
      <c r="Y15" s="3199"/>
      <c r="Z15" s="1815"/>
      <c r="AA15" s="1812">
        <v>1</v>
      </c>
      <c r="AB15" s="1812">
        <v>1</v>
      </c>
      <c r="AC15" s="1812">
        <v>1</v>
      </c>
    </row>
    <row r="16" spans="1:29" ht="171">
      <c r="A16" s="428"/>
      <c r="B16" s="451" t="s">
        <v>2683</v>
      </c>
      <c r="C16" s="2608" t="str">
        <f>IF(B1="工业",估价对象房地状况!G5,估价对象房地状况!C7)</f>
        <v>估价对象周边有银行（兴业银行（北京通州运河支行）等）、医院（北京京通医院等）、超市（隆品源超市等）、学校（北京通州芙蓉小学等），公共配套设施齐备情况较好。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9"/>
      <c r="Q16" s="1811" t="str">
        <f>B16</f>
        <v>公共配套设施</v>
      </c>
      <c r="R16" s="774" t="s">
        <v>17</v>
      </c>
      <c r="S16" s="775">
        <f>F16</f>
        <v>100</v>
      </c>
      <c r="T16" s="774" t="s">
        <v>17</v>
      </c>
      <c r="U16" s="775">
        <f>H16</f>
        <v>100</v>
      </c>
      <c r="V16" s="774" t="s">
        <v>17</v>
      </c>
      <c r="W16" s="775">
        <f>J16</f>
        <v>100</v>
      </c>
      <c r="X16" s="1814"/>
      <c r="Y16" s="3199"/>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3"/>
      <c r="M17" s="1134"/>
      <c r="N17" s="1134"/>
      <c r="O17" s="1142"/>
      <c r="P17" s="3199"/>
      <c r="Q17" s="1811"/>
      <c r="R17" s="774"/>
      <c r="S17" s="775"/>
      <c r="T17" s="774"/>
      <c r="U17" s="775"/>
      <c r="V17" s="774"/>
      <c r="W17" s="775"/>
      <c r="X17" s="1814"/>
      <c r="Y17" s="3199"/>
      <c r="Z17" s="1815"/>
      <c r="AA17" s="1812">
        <v>1</v>
      </c>
      <c r="AB17" s="1812">
        <v>1</v>
      </c>
      <c r="AC17" s="1812">
        <v>1</v>
      </c>
    </row>
    <row r="18" spans="1:29" ht="15">
      <c r="A18" s="428"/>
      <c r="B18" s="1387" t="s">
        <v>2684</v>
      </c>
      <c r="C18" s="2608"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9"/>
      <c r="Q18" s="1811" t="str">
        <f>B18</f>
        <v>基础设施水平</v>
      </c>
      <c r="R18" s="774" t="s">
        <v>17</v>
      </c>
      <c r="S18" s="775">
        <f>F18</f>
        <v>100</v>
      </c>
      <c r="T18" s="774" t="s">
        <v>17</v>
      </c>
      <c r="U18" s="775">
        <f>H18</f>
        <v>100</v>
      </c>
      <c r="V18" s="774" t="s">
        <v>17</v>
      </c>
      <c r="W18" s="775">
        <f>J18</f>
        <v>100</v>
      </c>
      <c r="X18" s="1814"/>
      <c r="Y18" s="3199"/>
      <c r="Z18" s="1815" t="str">
        <f>Q18</f>
        <v>基础设施水平</v>
      </c>
      <c r="AA18" s="1812">
        <f t="shared" ref="AA18" si="8">D18/F18</f>
        <v>1</v>
      </c>
      <c r="AB18" s="1812">
        <f t="shared" ref="AB18" si="9">D18/H18</f>
        <v>1</v>
      </c>
      <c r="AC18" s="1812">
        <f t="shared" ref="AC18" si="10">D18/J18</f>
        <v>1</v>
      </c>
    </row>
    <row r="19" spans="1:29" ht="15">
      <c r="A19" s="428"/>
      <c r="B19" s="1387"/>
      <c r="C19" s="2609"/>
      <c r="D19" s="450"/>
      <c r="E19" s="2609"/>
      <c r="F19" s="453"/>
      <c r="G19" s="2609"/>
      <c r="H19" s="448"/>
      <c r="I19" s="447"/>
      <c r="J19" s="448"/>
      <c r="K19" s="1386"/>
      <c r="L19" s="1143"/>
      <c r="M19" s="1134"/>
      <c r="N19" s="1134"/>
      <c r="O19" s="1142"/>
      <c r="P19" s="3199"/>
      <c r="Q19" s="1811"/>
      <c r="R19" s="774"/>
      <c r="S19" s="775"/>
      <c r="T19" s="774"/>
      <c r="U19" s="775"/>
      <c r="V19" s="774"/>
      <c r="W19" s="775"/>
      <c r="X19" s="1814"/>
      <c r="Y19" s="3199"/>
      <c r="Z19" s="1815"/>
      <c r="AA19" s="1812">
        <v>1</v>
      </c>
      <c r="AB19" s="1812">
        <v>1</v>
      </c>
      <c r="AC19" s="1812">
        <v>1</v>
      </c>
    </row>
    <row r="20" spans="1:29" ht="128.25">
      <c r="A20" s="428"/>
      <c r="B20" s="451" t="s">
        <v>2705</v>
      </c>
      <c r="C20" s="2608" t="str">
        <f>IF(B1="工业",估价对象房地状况!G7,估价对象房地状况!C9)</f>
        <v>估价对象周边有水系、运河奥体公园，自然环境较好；周边有大运河美术馆等人文设施，人文环境较好；综合评价环境状况较好。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9"/>
      <c r="Q20" s="1811" t="str">
        <f>B20</f>
        <v>自然及人文环境</v>
      </c>
      <c r="R20" s="774" t="s">
        <v>17</v>
      </c>
      <c r="S20" s="775">
        <f>F20</f>
        <v>100</v>
      </c>
      <c r="T20" s="774" t="s">
        <v>17</v>
      </c>
      <c r="U20" s="775">
        <f>H20</f>
        <v>100</v>
      </c>
      <c r="V20" s="774" t="s">
        <v>17</v>
      </c>
      <c r="W20" s="775">
        <f>J20</f>
        <v>100</v>
      </c>
      <c r="X20" s="1814"/>
      <c r="Y20" s="3199"/>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199"/>
      <c r="Q21" s="1811"/>
      <c r="R21" s="774"/>
      <c r="S21" s="775"/>
      <c r="T21" s="774"/>
      <c r="U21" s="775"/>
      <c r="V21" s="774"/>
      <c r="W21" s="775"/>
      <c r="X21" s="1814"/>
      <c r="Y21" s="3199"/>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9"/>
      <c r="Q22" s="1811" t="str">
        <f>B22</f>
        <v>楼层</v>
      </c>
      <c r="R22" s="774" t="s">
        <v>17</v>
      </c>
      <c r="S22" s="775">
        <f>F22</f>
        <v>100</v>
      </c>
      <c r="T22" s="774" t="s">
        <v>17</v>
      </c>
      <c r="U22" s="775">
        <f>H22</f>
        <v>100</v>
      </c>
      <c r="V22" s="774" t="s">
        <v>17</v>
      </c>
      <c r="W22" s="775">
        <f>J22</f>
        <v>100</v>
      </c>
      <c r="X22" s="1814"/>
      <c r="Y22" s="3199"/>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9"/>
      <c r="Q23" s="1811">
        <f>B23</f>
        <v>111</v>
      </c>
      <c r="R23" s="774" t="s">
        <v>17</v>
      </c>
      <c r="S23" s="775">
        <f>F23</f>
        <v>100</v>
      </c>
      <c r="T23" s="774" t="s">
        <v>17</v>
      </c>
      <c r="U23" s="775">
        <f>H23</f>
        <v>100</v>
      </c>
      <c r="V23" s="774" t="s">
        <v>17</v>
      </c>
      <c r="W23" s="775">
        <f>J23</f>
        <v>100</v>
      </c>
      <c r="X23" s="1814"/>
      <c r="Y23" s="3199"/>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9"/>
      <c r="Q24" s="1811">
        <f t="shared" ref="Q24:Q34" si="11">B24</f>
        <v>111</v>
      </c>
      <c r="R24" s="774" t="s">
        <v>17</v>
      </c>
      <c r="S24" s="775">
        <f>F24</f>
        <v>100</v>
      </c>
      <c r="T24" s="774" t="s">
        <v>17</v>
      </c>
      <c r="U24" s="775">
        <f>H24</f>
        <v>100</v>
      </c>
      <c r="V24" s="774" t="s">
        <v>17</v>
      </c>
      <c r="W24" s="775">
        <f>J24</f>
        <v>100</v>
      </c>
      <c r="X24" s="1814"/>
      <c r="Y24" s="3199"/>
      <c r="Z24" s="1815">
        <f>Q24</f>
        <v>111</v>
      </c>
      <c r="AA24" s="1812">
        <f t="shared" si="3"/>
        <v>1</v>
      </c>
      <c r="AB24" s="1812">
        <f t="shared" si="4"/>
        <v>1</v>
      </c>
      <c r="AC24" s="1812">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9"/>
      <c r="Q25" s="1796">
        <f t="shared" si="11"/>
        <v>111</v>
      </c>
      <c r="R25" s="770" t="s">
        <v>17</v>
      </c>
      <c r="S25" s="771">
        <f>F25</f>
        <v>100</v>
      </c>
      <c r="T25" s="770" t="s">
        <v>17</v>
      </c>
      <c r="U25" s="771">
        <f>H25</f>
        <v>100</v>
      </c>
      <c r="V25" s="770" t="s">
        <v>17</v>
      </c>
      <c r="W25" s="771">
        <f>J25</f>
        <v>100</v>
      </c>
      <c r="X25" s="772"/>
      <c r="Y25" s="3199"/>
      <c r="Z25" s="55">
        <f>Q25</f>
        <v>111</v>
      </c>
      <c r="AA25" s="1812">
        <f>D25/F25</f>
        <v>1</v>
      </c>
      <c r="AB25" s="1812">
        <f>D25/H25</f>
        <v>1</v>
      </c>
      <c r="AC25" s="1812">
        <f>D25/J25</f>
        <v>1</v>
      </c>
    </row>
    <row r="26" spans="1:29" ht="1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00" t="s">
        <v>2560</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01"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1" t="str">
        <f t="shared" si="11"/>
        <v>物业等级</v>
      </c>
      <c r="R28" s="774" t="s">
        <v>17</v>
      </c>
      <c r="S28" s="775">
        <f t="shared" si="12"/>
        <v>100</v>
      </c>
      <c r="T28" s="774" t="s">
        <v>17</v>
      </c>
      <c r="U28" s="775">
        <f t="shared" si="13"/>
        <v>100</v>
      </c>
      <c r="V28" s="774" t="s">
        <v>17</v>
      </c>
      <c r="W28" s="775">
        <f t="shared" si="14"/>
        <v>100</v>
      </c>
      <c r="X28" s="1814"/>
      <c r="Y28" s="3201"/>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1" t="str">
        <f t="shared" si="11"/>
        <v>有无电梯</v>
      </c>
      <c r="R29" s="774" t="s">
        <v>17</v>
      </c>
      <c r="S29" s="775">
        <f t="shared" si="12"/>
        <v>100</v>
      </c>
      <c r="T29" s="774" t="s">
        <v>17</v>
      </c>
      <c r="U29" s="775">
        <f t="shared" si="13"/>
        <v>100</v>
      </c>
      <c r="V29" s="774" t="s">
        <v>17</v>
      </c>
      <c r="W29" s="775">
        <f t="shared" si="14"/>
        <v>100</v>
      </c>
      <c r="X29" s="1814"/>
      <c r="Y29" s="3201"/>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1" t="str">
        <f t="shared" si="11"/>
        <v>建筑面积</v>
      </c>
      <c r="R30" s="774" t="s">
        <v>17</v>
      </c>
      <c r="S30" s="775" t="e">
        <f t="shared" si="12"/>
        <v>#N/A</v>
      </c>
      <c r="T30" s="774" t="s">
        <v>17</v>
      </c>
      <c r="U30" s="775" t="e">
        <f t="shared" si="13"/>
        <v>#N/A</v>
      </c>
      <c r="V30" s="774" t="s">
        <v>17</v>
      </c>
      <c r="W30" s="775" t="e">
        <f t="shared" si="14"/>
        <v>#N/A</v>
      </c>
      <c r="X30" s="1814"/>
      <c r="Y30" s="3201"/>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6"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2560</v>
      </c>
      <c r="Q32" s="1811">
        <f t="shared" si="11"/>
        <v>111</v>
      </c>
      <c r="R32" s="774" t="s">
        <v>17</v>
      </c>
      <c r="S32" s="775">
        <f t="shared" si="12"/>
        <v>100</v>
      </c>
      <c r="T32" s="774" t="s">
        <v>17</v>
      </c>
      <c r="U32" s="775">
        <f t="shared" si="13"/>
        <v>100</v>
      </c>
      <c r="V32" s="774" t="s">
        <v>17</v>
      </c>
      <c r="W32" s="775">
        <f t="shared" si="14"/>
        <v>100</v>
      </c>
      <c r="X32" s="1814"/>
      <c r="Y32" s="3201" t="s">
        <v>2560</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1">
        <f t="shared" si="11"/>
        <v>111</v>
      </c>
      <c r="R33" s="774" t="s">
        <v>17</v>
      </c>
      <c r="S33" s="775">
        <f t="shared" si="12"/>
        <v>100</v>
      </c>
      <c r="T33" s="774" t="s">
        <v>17</v>
      </c>
      <c r="U33" s="775">
        <f t="shared" si="13"/>
        <v>100</v>
      </c>
      <c r="V33" s="774" t="s">
        <v>17</v>
      </c>
      <c r="W33" s="775">
        <f t="shared" si="14"/>
        <v>100</v>
      </c>
      <c r="X33" s="1814"/>
      <c r="Y33" s="3201"/>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01"/>
      <c r="Q34" s="1811">
        <f t="shared" si="11"/>
        <v>111</v>
      </c>
      <c r="R34" s="774" t="s">
        <v>17</v>
      </c>
      <c r="S34" s="775">
        <f t="shared" si="12"/>
        <v>100</v>
      </c>
      <c r="T34" s="774" t="s">
        <v>17</v>
      </c>
      <c r="U34" s="775">
        <f t="shared" si="13"/>
        <v>100</v>
      </c>
      <c r="V34" s="774" t="s">
        <v>17</v>
      </c>
      <c r="W34" s="775">
        <f t="shared" si="14"/>
        <v>100</v>
      </c>
      <c r="X34" s="1814"/>
      <c r="Y34" s="3201"/>
      <c r="Z34" s="1815">
        <f t="shared" si="15"/>
        <v>111</v>
      </c>
      <c r="AA34" s="1812">
        <f t="shared" si="3"/>
        <v>1</v>
      </c>
      <c r="AB34" s="1812">
        <f t="shared" si="4"/>
        <v>1</v>
      </c>
      <c r="AC34" s="1812">
        <f t="shared" si="5"/>
        <v>1</v>
      </c>
    </row>
    <row r="35" spans="1:29" ht="15">
      <c r="A35" s="479" t="s">
        <v>2572</v>
      </c>
      <c r="B35" s="480"/>
      <c r="C35" s="1410" t="s">
        <v>1</v>
      </c>
      <c r="D35" s="1411"/>
      <c r="E35" s="1412"/>
      <c r="F35" s="1413"/>
      <c r="G35" s="1414"/>
      <c r="H35" s="1415"/>
      <c r="I35" s="1412"/>
      <c r="J35" s="1415"/>
      <c r="K35" s="783"/>
      <c r="L35" s="1146"/>
      <c r="M35" s="1147"/>
      <c r="N35" s="1134"/>
      <c r="O35" s="1147"/>
      <c r="P35" s="3183" t="str">
        <f>A35</f>
        <v>成交单价（元/平方米）</v>
      </c>
      <c r="Q35" s="3183"/>
      <c r="R35" s="3233">
        <f>E35</f>
        <v>0</v>
      </c>
      <c r="S35" s="3233"/>
      <c r="T35" s="3233">
        <f>G35</f>
        <v>0</v>
      </c>
      <c r="U35" s="3233"/>
      <c r="V35" s="3233">
        <f>I35</f>
        <v>0</v>
      </c>
      <c r="W35" s="3233"/>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183" t="str">
        <f>A36</f>
        <v>比较价值（元/平方米）</v>
      </c>
      <c r="Q36" s="3183"/>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64" t="e">
        <f>IF(F1="售价",ROUND(AVERAGE(R36:V36),0),ROUND(AVERAGE(R36:V36),1))</f>
        <v>#DIV/0!</v>
      </c>
      <c r="S37" s="3264"/>
      <c r="T37" s="3264"/>
      <c r="U37" s="3264"/>
      <c r="V37" s="3264"/>
      <c r="W37" s="32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6" t="str">
        <f>YEAR(C7)&amp;"-"&amp;MONTH(C7)</f>
        <v>2018-2</v>
      </c>
      <c r="D46" s="1577">
        <f>EDATE(C46,-1)</f>
        <v>43101</v>
      </c>
      <c r="E46" s="1577">
        <f t="shared" ref="E46:O46" si="16">EDATE(D46,-1)</f>
        <v>43070</v>
      </c>
      <c r="F46" s="1577">
        <f t="shared" si="16"/>
        <v>43040</v>
      </c>
      <c r="G46" s="1577">
        <f t="shared" si="16"/>
        <v>43009</v>
      </c>
      <c r="H46" s="1577">
        <f t="shared" si="16"/>
        <v>42979</v>
      </c>
      <c r="I46" s="1577">
        <f t="shared" si="16"/>
        <v>42948</v>
      </c>
      <c r="J46" s="1577">
        <f t="shared" si="16"/>
        <v>42917</v>
      </c>
      <c r="K46" s="1577">
        <f t="shared" si="16"/>
        <v>42887</v>
      </c>
      <c r="L46" s="1577">
        <f t="shared" si="16"/>
        <v>42856</v>
      </c>
      <c r="M46" s="1577">
        <f t="shared" si="16"/>
        <v>42826</v>
      </c>
      <c r="N46" s="1577">
        <f t="shared" si="16"/>
        <v>42795</v>
      </c>
      <c r="O46" s="1577">
        <f t="shared" si="16"/>
        <v>42767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84" t="s">
        <v>2641</v>
      </c>
      <c r="D4" s="3185"/>
      <c r="E4" s="3186" t="s">
        <v>2642</v>
      </c>
      <c r="F4" s="3187"/>
      <c r="G4" s="3184" t="s">
        <v>2643</v>
      </c>
      <c r="H4" s="3185"/>
      <c r="I4" s="3184" t="s">
        <v>2644</v>
      </c>
      <c r="J4" s="3185"/>
      <c r="K4" s="610" t="s">
        <v>2645</v>
      </c>
      <c r="L4" s="1133"/>
      <c r="M4" s="1134"/>
      <c r="N4" s="1134"/>
      <c r="O4" s="1134"/>
      <c r="P4" s="3188" t="s">
        <v>2646</v>
      </c>
      <c r="Q4" s="3189"/>
      <c r="R4" s="3171" t="s">
        <v>2642</v>
      </c>
      <c r="S4" s="3172"/>
      <c r="T4" s="3171" t="s">
        <v>2643</v>
      </c>
      <c r="U4" s="3172"/>
      <c r="V4" s="3196" t="s">
        <v>2644</v>
      </c>
      <c r="W4" s="3196"/>
      <c r="X4" s="1814"/>
      <c r="Y4" s="3171" t="s">
        <v>2646</v>
      </c>
      <c r="Z4" s="3172"/>
      <c r="AA4" s="3166" t="s">
        <v>2642</v>
      </c>
      <c r="AB4" s="3167" t="s">
        <v>2643</v>
      </c>
      <c r="AC4" s="3166" t="s">
        <v>2644</v>
      </c>
    </row>
    <row r="5" spans="1:29" ht="15">
      <c r="A5" s="404"/>
      <c r="B5" s="405"/>
      <c r="C5" s="3177" t="s">
        <v>2537</v>
      </c>
      <c r="D5" s="3178"/>
      <c r="E5" s="3175" t="s">
        <v>2538</v>
      </c>
      <c r="F5" s="3176"/>
      <c r="G5" s="3177" t="s">
        <v>2539</v>
      </c>
      <c r="H5" s="3178"/>
      <c r="I5" s="3177" t="s">
        <v>2540</v>
      </c>
      <c r="J5" s="3178"/>
      <c r="K5" s="610"/>
      <c r="L5" s="1133"/>
      <c r="M5" s="1134"/>
      <c r="N5" s="1134"/>
      <c r="O5" s="1134"/>
      <c r="P5" s="3190"/>
      <c r="Q5" s="3191"/>
      <c r="R5" s="3173"/>
      <c r="S5" s="3174"/>
      <c r="T5" s="3173"/>
      <c r="U5" s="3174"/>
      <c r="V5" s="3196"/>
      <c r="W5" s="3196"/>
      <c r="X5" s="1814"/>
      <c r="Y5" s="3173"/>
      <c r="Z5" s="3174"/>
      <c r="AA5" s="3167"/>
      <c r="AB5" s="3167"/>
      <c r="AC5" s="3167"/>
    </row>
    <row r="6" spans="1:29" ht="15.75" thickBot="1">
      <c r="A6" s="406"/>
      <c r="B6" s="407"/>
      <c r="C6" s="3265" t="s">
        <v>2791</v>
      </c>
      <c r="D6" s="3215"/>
      <c r="E6" s="3266" t="s">
        <v>2791</v>
      </c>
      <c r="F6" s="3213"/>
      <c r="G6" s="3265" t="s">
        <v>2791</v>
      </c>
      <c r="H6" s="3215"/>
      <c r="I6" s="3265" t="s">
        <v>2791</v>
      </c>
      <c r="J6" s="3215"/>
      <c r="K6" s="610" t="s">
        <v>2542</v>
      </c>
      <c r="L6" s="1133"/>
      <c r="M6" s="1134"/>
      <c r="N6" s="1134"/>
      <c r="O6" s="1134"/>
      <c r="P6" s="3192"/>
      <c r="Q6" s="3193"/>
      <c r="R6" s="3173"/>
      <c r="S6" s="3174"/>
      <c r="T6" s="3194"/>
      <c r="U6" s="3195"/>
      <c r="V6" s="3196"/>
      <c r="W6" s="3196"/>
      <c r="X6" s="1814"/>
      <c r="Y6" s="3194"/>
      <c r="Z6" s="3195"/>
      <c r="AA6" s="3168"/>
      <c r="AB6" s="3168"/>
      <c r="AC6" s="3168"/>
    </row>
    <row r="7" spans="1:29" s="117" customFormat="1" ht="15.75" thickBot="1">
      <c r="A7" s="408" t="s">
        <v>2543</v>
      </c>
      <c r="B7" s="409"/>
      <c r="C7" s="410">
        <f>'数据-取费表'!B2</f>
        <v>43142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69" t="s">
        <v>2544</v>
      </c>
      <c r="Q7" s="3197"/>
      <c r="R7" s="770" t="s">
        <v>17</v>
      </c>
      <c r="S7" s="771">
        <f t="shared" ref="S7:S15" si="0">F7</f>
        <v>0</v>
      </c>
      <c r="T7" s="770" t="s">
        <v>17</v>
      </c>
      <c r="U7" s="771">
        <f t="shared" ref="U7:U15" si="1">H7</f>
        <v>0</v>
      </c>
      <c r="V7" s="770" t="s">
        <v>17</v>
      </c>
      <c r="W7" s="771">
        <f t="shared" ref="W7:W15" si="2">J7</f>
        <v>0</v>
      </c>
      <c r="X7" s="772"/>
      <c r="Y7" s="3169" t="s">
        <v>2544</v>
      </c>
      <c r="Z7" s="3170"/>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2547</v>
      </c>
      <c r="Q8" s="3170"/>
      <c r="R8" s="770" t="s">
        <v>17</v>
      </c>
      <c r="S8" s="771">
        <f t="shared" si="0"/>
        <v>0</v>
      </c>
      <c r="T8" s="770" t="s">
        <v>17</v>
      </c>
      <c r="U8" s="771">
        <f t="shared" si="1"/>
        <v>0</v>
      </c>
      <c r="V8" s="770" t="s">
        <v>17</v>
      </c>
      <c r="W8" s="771">
        <f t="shared" si="2"/>
        <v>0</v>
      </c>
      <c r="X8" s="772"/>
      <c r="Y8" s="3169" t="s">
        <v>2547</v>
      </c>
      <c r="Z8" s="3170"/>
      <c r="AA8" s="773" t="e">
        <f t="shared" ref="AA8:AA40" si="3">D8/F8</f>
        <v>#DIV/0!</v>
      </c>
      <c r="AB8" s="773" t="e">
        <f t="shared" ref="AB8:AB40" si="4">D8/H8</f>
        <v>#DIV/0!</v>
      </c>
      <c r="AC8" s="773" t="e">
        <f t="shared" ref="AC8:AC40" si="5">D8/J8</f>
        <v>#DIV/0!</v>
      </c>
    </row>
    <row r="9" spans="1:29" s="117" customFormat="1">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3" t="s">
        <v>2550</v>
      </c>
      <c r="Q9" s="1796"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3"/>
      <c r="Q10" s="1796"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3"/>
      <c r="Q11" s="1796"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3"/>
      <c r="Q12" s="1796">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3"/>
      <c r="Q13" s="1796">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3"/>
      <c r="Q14" s="1796">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2554</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8" t="s">
        <v>2555</v>
      </c>
      <c r="Q15" s="1811" t="str">
        <f t="shared" si="6"/>
        <v>产业集聚程度</v>
      </c>
      <c r="R15" s="774" t="s">
        <v>17</v>
      </c>
      <c r="S15" s="775">
        <f t="shared" si="0"/>
        <v>100</v>
      </c>
      <c r="T15" s="774" t="s">
        <v>17</v>
      </c>
      <c r="U15" s="775">
        <f t="shared" si="1"/>
        <v>100</v>
      </c>
      <c r="V15" s="774" t="s">
        <v>17</v>
      </c>
      <c r="W15" s="775">
        <f t="shared" si="2"/>
        <v>100</v>
      </c>
      <c r="X15" s="1814"/>
      <c r="Y15" s="3198" t="s">
        <v>2555</v>
      </c>
      <c r="Z15" s="1815" t="str">
        <f t="shared" si="7"/>
        <v>产业集聚程度</v>
      </c>
      <c r="AA15" s="1812">
        <f t="shared" si="3"/>
        <v>1</v>
      </c>
      <c r="AB15" s="1812">
        <f t="shared" si="4"/>
        <v>1</v>
      </c>
      <c r="AC15" s="1812">
        <f t="shared" si="5"/>
        <v>1</v>
      </c>
    </row>
    <row r="16" spans="1:29" ht="15">
      <c r="A16" s="428"/>
      <c r="B16" s="630"/>
      <c r="C16" s="447"/>
      <c r="D16" s="448"/>
      <c r="E16" s="2612"/>
      <c r="F16" s="448"/>
      <c r="G16" s="2612"/>
      <c r="H16" s="450"/>
      <c r="I16" s="2612"/>
      <c r="J16" s="448"/>
      <c r="K16" s="672"/>
      <c r="L16" s="1143"/>
      <c r="M16" s="1134"/>
      <c r="N16" s="1134"/>
      <c r="O16" s="1142"/>
      <c r="P16" s="3199"/>
      <c r="Q16" s="1811"/>
      <c r="R16" s="774"/>
      <c r="S16" s="775"/>
      <c r="T16" s="774"/>
      <c r="U16" s="775"/>
      <c r="V16" s="774"/>
      <c r="W16" s="775"/>
      <c r="X16" s="1814"/>
      <c r="Y16" s="3199"/>
      <c r="Z16" s="1815"/>
      <c r="AA16" s="1812">
        <v>1</v>
      </c>
      <c r="AB16" s="1812">
        <v>1</v>
      </c>
      <c r="AC16" s="1812">
        <v>1</v>
      </c>
    </row>
    <row r="17" spans="1:29" ht="85.5">
      <c r="A17" s="428"/>
      <c r="B17" s="631" t="s">
        <v>2704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9"/>
      <c r="Q17" s="1811" t="str">
        <f>B17</f>
        <v>交通便捷度</v>
      </c>
      <c r="R17" s="774" t="s">
        <v>17</v>
      </c>
      <c r="S17" s="775">
        <f>F17</f>
        <v>100</v>
      </c>
      <c r="T17" s="774" t="s">
        <v>17</v>
      </c>
      <c r="U17" s="775">
        <f>H17</f>
        <v>100</v>
      </c>
      <c r="V17" s="774" t="s">
        <v>17</v>
      </c>
      <c r="W17" s="775">
        <f>J17</f>
        <v>100</v>
      </c>
      <c r="X17" s="1814"/>
      <c r="Y17" s="3199"/>
      <c r="Z17" s="1815" t="str">
        <f>Q17</f>
        <v>交通便捷度</v>
      </c>
      <c r="AA17" s="1812">
        <f t="shared" si="3"/>
        <v>1</v>
      </c>
      <c r="AB17" s="1812">
        <f t="shared" si="4"/>
        <v>1</v>
      </c>
      <c r="AC17" s="1812">
        <f t="shared" si="5"/>
        <v>1</v>
      </c>
    </row>
    <row r="18" spans="1:29" ht="15">
      <c r="A18" s="428"/>
      <c r="B18" s="632"/>
      <c r="C18" s="447"/>
      <c r="D18" s="448"/>
      <c r="E18" s="2606"/>
      <c r="F18" s="448"/>
      <c r="G18" s="2606"/>
      <c r="H18" s="448"/>
      <c r="I18" s="2605"/>
      <c r="J18" s="448"/>
      <c r="K18" s="672"/>
      <c r="L18" s="1143"/>
      <c r="M18" s="1134"/>
      <c r="N18" s="1134"/>
      <c r="O18" s="1142"/>
      <c r="P18" s="3199"/>
      <c r="Q18" s="1811"/>
      <c r="R18" s="774"/>
      <c r="S18" s="775"/>
      <c r="T18" s="774"/>
      <c r="U18" s="775"/>
      <c r="V18" s="774"/>
      <c r="W18" s="775"/>
      <c r="X18" s="1814"/>
      <c r="Y18" s="3199"/>
      <c r="Z18" s="1815"/>
      <c r="AA18" s="1812">
        <v>1</v>
      </c>
      <c r="AB18" s="1812">
        <v>1</v>
      </c>
      <c r="AC18" s="1812">
        <v>1</v>
      </c>
    </row>
    <row r="19" spans="1:29" ht="15">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9"/>
      <c r="Q19" s="1811" t="str">
        <f t="shared" ref="Q19:Q33" si="8">B19</f>
        <v>区域土地利用方向</v>
      </c>
      <c r="R19" s="774" t="s">
        <v>17</v>
      </c>
      <c r="S19" s="775">
        <f>F19</f>
        <v>100</v>
      </c>
      <c r="T19" s="774" t="s">
        <v>17</v>
      </c>
      <c r="U19" s="775">
        <f>H19</f>
        <v>100</v>
      </c>
      <c r="V19" s="774" t="s">
        <v>17</v>
      </c>
      <c r="W19" s="775">
        <f>J19</f>
        <v>100</v>
      </c>
      <c r="X19" s="1814"/>
      <c r="Y19" s="3199"/>
      <c r="Z19" s="1815" t="str">
        <f>Q19</f>
        <v>区域土地利用方向</v>
      </c>
      <c r="AA19" s="1812">
        <f t="shared" si="3"/>
        <v>1</v>
      </c>
      <c r="AB19" s="1812">
        <f t="shared" si="4"/>
        <v>1</v>
      </c>
      <c r="AC19" s="1812">
        <f t="shared" si="5"/>
        <v>1</v>
      </c>
    </row>
    <row r="20" spans="1:29" ht="15">
      <c r="A20" s="404"/>
      <c r="B20" s="632"/>
      <c r="C20" s="447"/>
      <c r="D20" s="448"/>
      <c r="E20" s="2606"/>
      <c r="F20" s="448"/>
      <c r="G20" s="2606"/>
      <c r="H20" s="448"/>
      <c r="I20" s="2606"/>
      <c r="J20" s="448"/>
      <c r="K20" s="812"/>
      <c r="L20" s="1143"/>
      <c r="M20" s="1134"/>
      <c r="N20" s="1134"/>
      <c r="O20" s="1142"/>
      <c r="P20" s="3199"/>
      <c r="Q20" s="1811"/>
      <c r="R20" s="774"/>
      <c r="S20" s="775"/>
      <c r="T20" s="774"/>
      <c r="U20" s="775"/>
      <c r="V20" s="774"/>
      <c r="W20" s="775"/>
      <c r="X20" s="1814"/>
      <c r="Y20" s="3199"/>
      <c r="Z20" s="1815"/>
      <c r="AA20" s="1812"/>
      <c r="AB20" s="1812"/>
      <c r="AC20" s="1812"/>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9"/>
      <c r="Q21" s="1811" t="str">
        <f t="shared" si="8"/>
        <v>环境状况</v>
      </c>
      <c r="R21" s="774" t="s">
        <v>17</v>
      </c>
      <c r="S21" s="775">
        <f>F21</f>
        <v>100</v>
      </c>
      <c r="T21" s="774" t="s">
        <v>17</v>
      </c>
      <c r="U21" s="775">
        <f>H21</f>
        <v>100</v>
      </c>
      <c r="V21" s="774" t="s">
        <v>17</v>
      </c>
      <c r="W21" s="775">
        <f>J21</f>
        <v>100</v>
      </c>
      <c r="X21" s="1814"/>
      <c r="Y21" s="3199"/>
      <c r="Z21" s="1815" t="str">
        <f>Q21</f>
        <v>环境状况</v>
      </c>
      <c r="AA21" s="1812">
        <f t="shared" si="3"/>
        <v>1</v>
      </c>
      <c r="AB21" s="1812">
        <f t="shared" si="4"/>
        <v>1</v>
      </c>
      <c r="AC21" s="1812">
        <f t="shared" si="5"/>
        <v>1</v>
      </c>
    </row>
    <row r="22" spans="1:29" ht="15">
      <c r="A22" s="404"/>
      <c r="B22" s="632"/>
      <c r="C22" s="447"/>
      <c r="D22" s="448"/>
      <c r="E22" s="2612"/>
      <c r="F22" s="448"/>
      <c r="G22" s="2612"/>
      <c r="H22" s="448"/>
      <c r="I22" s="447"/>
      <c r="J22" s="448"/>
      <c r="K22" s="672"/>
      <c r="L22" s="1143"/>
      <c r="M22" s="1134"/>
      <c r="N22" s="1134"/>
      <c r="O22" s="1142"/>
      <c r="P22" s="3199"/>
      <c r="Q22" s="1811"/>
      <c r="R22" s="774"/>
      <c r="S22" s="775"/>
      <c r="T22" s="774"/>
      <c r="U22" s="775"/>
      <c r="V22" s="774"/>
      <c r="W22" s="775"/>
      <c r="X22" s="1814"/>
      <c r="Y22" s="3199"/>
      <c r="Z22" s="1815"/>
      <c r="AA22" s="1812">
        <v>1</v>
      </c>
      <c r="AB22" s="1812">
        <v>1</v>
      </c>
      <c r="AC22" s="1812">
        <v>1</v>
      </c>
    </row>
    <row r="23" spans="1:29" s="117" customFormat="1" ht="42.75">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9"/>
      <c r="Q23" s="1796" t="str">
        <f t="shared" si="8"/>
        <v>公共配套设施</v>
      </c>
      <c r="R23" s="770" t="s">
        <v>17</v>
      </c>
      <c r="S23" s="771">
        <f>F23</f>
        <v>100</v>
      </c>
      <c r="T23" s="770" t="s">
        <v>17</v>
      </c>
      <c r="U23" s="771">
        <f>H23</f>
        <v>100</v>
      </c>
      <c r="V23" s="770" t="s">
        <v>17</v>
      </c>
      <c r="W23" s="771">
        <f>J23</f>
        <v>100</v>
      </c>
      <c r="X23" s="772"/>
      <c r="Y23" s="3199"/>
      <c r="Z23" s="55" t="str">
        <f>Q23</f>
        <v>公共配套设施</v>
      </c>
      <c r="AA23" s="1812">
        <f>D23/F23</f>
        <v>1</v>
      </c>
      <c r="AB23" s="1812">
        <f>D23/H23</f>
        <v>1</v>
      </c>
      <c r="AC23" s="1812">
        <f>D23/J23</f>
        <v>1</v>
      </c>
    </row>
    <row r="24" spans="1:29" s="117" customFormat="1" ht="15">
      <c r="A24" s="649"/>
      <c r="B24" s="632"/>
      <c r="C24" s="2701"/>
      <c r="D24" s="448"/>
      <c r="E24" s="2612"/>
      <c r="F24" s="448"/>
      <c r="G24" s="2612"/>
      <c r="H24" s="448"/>
      <c r="I24" s="447"/>
      <c r="J24" s="448"/>
      <c r="K24" s="672"/>
      <c r="L24" s="1135"/>
      <c r="M24" s="1136"/>
      <c r="N24" s="1136"/>
      <c r="O24" s="1137"/>
      <c r="P24" s="3199"/>
      <c r="Q24" s="1796"/>
      <c r="R24" s="770"/>
      <c r="S24" s="771"/>
      <c r="T24" s="770"/>
      <c r="U24" s="771"/>
      <c r="V24" s="770"/>
      <c r="W24" s="771"/>
      <c r="X24" s="772"/>
      <c r="Y24" s="3199"/>
      <c r="Z24" s="55"/>
      <c r="AA24" s="773">
        <v>1</v>
      </c>
      <c r="AB24" s="773">
        <v>1</v>
      </c>
      <c r="AC24" s="773">
        <v>1</v>
      </c>
    </row>
    <row r="25" spans="1:29" s="117" customFormat="1" ht="28.5">
      <c r="A25" s="649"/>
      <c r="B25" s="633" t="s">
        <v>2650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9"/>
      <c r="Q25" s="1796"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2">
        <f>D25/F25</f>
        <v>1</v>
      </c>
      <c r="AB25" s="1812">
        <f>D25/H25</f>
        <v>1</v>
      </c>
      <c r="AC25" s="1812">
        <f>D25/J25</f>
        <v>1</v>
      </c>
    </row>
    <row r="26" spans="1:29" s="117" customFormat="1" ht="15">
      <c r="A26" s="649"/>
      <c r="B26" s="632"/>
      <c r="C26" s="2701"/>
      <c r="D26" s="448"/>
      <c r="E26" s="2702"/>
      <c r="F26" s="448"/>
      <c r="G26" s="2702"/>
      <c r="H26" s="448"/>
      <c r="I26" s="2702"/>
      <c r="J26" s="448"/>
      <c r="K26" s="672"/>
      <c r="L26" s="1135"/>
      <c r="M26" s="1136"/>
      <c r="N26" s="1136"/>
      <c r="O26" s="1137"/>
      <c r="P26" s="3199"/>
      <c r="Q26" s="1796"/>
      <c r="R26" s="770"/>
      <c r="S26" s="771"/>
      <c r="T26" s="770"/>
      <c r="U26" s="771"/>
      <c r="V26" s="770"/>
      <c r="W26" s="771"/>
      <c r="X26" s="772"/>
      <c r="Y26" s="3199"/>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9"/>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199"/>
      <c r="Z27" s="1815" t="str">
        <f t="shared" ref="Z27:Z40" si="13">Q27</f>
        <v>临街状况</v>
      </c>
      <c r="AA27" s="1812">
        <f t="shared" si="3"/>
        <v>1</v>
      </c>
      <c r="AB27" s="1812">
        <f t="shared" si="4"/>
        <v>1</v>
      </c>
      <c r="AC27" s="1812">
        <f t="shared" si="5"/>
        <v>1</v>
      </c>
    </row>
    <row r="28" spans="1:29" ht="27">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9"/>
      <c r="Q28" s="1811" t="str">
        <f t="shared" si="8"/>
        <v>毗邻道路的类型与等级</v>
      </c>
      <c r="R28" s="774" t="s">
        <v>17</v>
      </c>
      <c r="S28" s="775">
        <f t="shared" si="10"/>
        <v>100</v>
      </c>
      <c r="T28" s="774" t="s">
        <v>17</v>
      </c>
      <c r="U28" s="775">
        <f t="shared" si="11"/>
        <v>100</v>
      </c>
      <c r="V28" s="774" t="s">
        <v>17</v>
      </c>
      <c r="W28" s="775">
        <f t="shared" si="12"/>
        <v>100</v>
      </c>
      <c r="X28" s="1814"/>
      <c r="Y28" s="3199"/>
      <c r="Z28" s="1815" t="str">
        <f t="shared" si="13"/>
        <v>毗邻道路的类型与等级</v>
      </c>
      <c r="AA28" s="1812">
        <f t="shared" si="3"/>
        <v>1</v>
      </c>
      <c r="AB28" s="1812">
        <f t="shared" si="4"/>
        <v>1</v>
      </c>
      <c r="AC28" s="1812">
        <f t="shared" si="5"/>
        <v>1</v>
      </c>
    </row>
    <row r="29" spans="1:29" ht="15">
      <c r="A29" s="428"/>
      <c r="B29" s="632"/>
      <c r="C29" s="447"/>
      <c r="D29" s="448"/>
      <c r="E29" s="2612"/>
      <c r="F29" s="448"/>
      <c r="G29" s="2612"/>
      <c r="H29" s="448"/>
      <c r="I29" s="2612"/>
      <c r="J29" s="448"/>
      <c r="K29" s="613"/>
      <c r="L29" s="1143"/>
      <c r="M29" s="1134"/>
      <c r="N29" s="1134"/>
      <c r="O29" s="1142"/>
      <c r="P29" s="3199"/>
      <c r="Q29" s="1811"/>
      <c r="R29" s="774"/>
      <c r="S29" s="775"/>
      <c r="T29" s="774"/>
      <c r="U29" s="775"/>
      <c r="V29" s="774"/>
      <c r="W29" s="775"/>
      <c r="X29" s="1814"/>
      <c r="Y29" s="3199"/>
      <c r="Z29" s="1815"/>
      <c r="AA29" s="1812">
        <v>1</v>
      </c>
      <c r="AB29" s="1812">
        <v>1</v>
      </c>
      <c r="AC29" s="1812">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9"/>
      <c r="Q30" s="1811" t="str">
        <f t="shared" si="8"/>
        <v>土地级别</v>
      </c>
      <c r="R30" s="774" t="s">
        <v>17</v>
      </c>
      <c r="S30" s="775">
        <f t="shared" si="10"/>
        <v>100</v>
      </c>
      <c r="T30" s="774" t="s">
        <v>17</v>
      </c>
      <c r="U30" s="775">
        <f t="shared" si="11"/>
        <v>100</v>
      </c>
      <c r="V30" s="774" t="s">
        <v>17</v>
      </c>
      <c r="W30" s="775">
        <f t="shared" si="12"/>
        <v>100</v>
      </c>
      <c r="X30" s="1814"/>
      <c r="Y30" s="3199"/>
      <c r="Z30" s="1815" t="str">
        <f t="shared" si="13"/>
        <v>土地级别</v>
      </c>
      <c r="AA30" s="1812">
        <f t="shared" si="3"/>
        <v>1</v>
      </c>
      <c r="AB30" s="1812">
        <f t="shared" si="4"/>
        <v>1</v>
      </c>
      <c r="AC30" s="1812">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9"/>
      <c r="Q31" s="1811">
        <f t="shared" si="8"/>
        <v>111</v>
      </c>
      <c r="R31" s="774" t="s">
        <v>17</v>
      </c>
      <c r="S31" s="775">
        <f t="shared" si="10"/>
        <v>100</v>
      </c>
      <c r="T31" s="774" t="s">
        <v>17</v>
      </c>
      <c r="U31" s="775">
        <f t="shared" si="11"/>
        <v>100</v>
      </c>
      <c r="V31" s="774" t="s">
        <v>17</v>
      </c>
      <c r="W31" s="775">
        <f t="shared" si="12"/>
        <v>100</v>
      </c>
      <c r="X31" s="1814"/>
      <c r="Y31" s="3199"/>
      <c r="Z31" s="1815">
        <f t="shared" si="13"/>
        <v>111</v>
      </c>
      <c r="AA31" s="1812">
        <f t="shared" si="3"/>
        <v>1</v>
      </c>
      <c r="AB31" s="1812">
        <f t="shared" si="4"/>
        <v>1</v>
      </c>
      <c r="AC31" s="1812">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0" t="s">
        <v>2560</v>
      </c>
      <c r="Q32" s="1811">
        <f t="shared" si="8"/>
        <v>111</v>
      </c>
      <c r="R32" s="774" t="s">
        <v>17</v>
      </c>
      <c r="S32" s="775">
        <f t="shared" si="10"/>
        <v>100</v>
      </c>
      <c r="T32" s="774" t="s">
        <v>17</v>
      </c>
      <c r="U32" s="775">
        <f t="shared" si="11"/>
        <v>100</v>
      </c>
      <c r="V32" s="774" t="s">
        <v>17</v>
      </c>
      <c r="W32" s="775">
        <f t="shared" si="12"/>
        <v>100</v>
      </c>
      <c r="X32" s="1814"/>
      <c r="Y32" s="3201" t="s">
        <v>2560</v>
      </c>
      <c r="Z32" s="1815">
        <f t="shared" si="13"/>
        <v>111</v>
      </c>
      <c r="AA32" s="1812">
        <f t="shared" si="3"/>
        <v>1</v>
      </c>
      <c r="AB32" s="1812">
        <f t="shared" si="4"/>
        <v>1</v>
      </c>
      <c r="AC32" s="1812">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1">
        <f t="shared" si="8"/>
        <v>111</v>
      </c>
      <c r="R33" s="777" t="s">
        <v>17</v>
      </c>
      <c r="S33" s="778">
        <f t="shared" si="10"/>
        <v>100</v>
      </c>
      <c r="T33" s="777" t="s">
        <v>17</v>
      </c>
      <c r="U33" s="778">
        <f t="shared" si="11"/>
        <v>100</v>
      </c>
      <c r="V33" s="777" t="s">
        <v>17</v>
      </c>
      <c r="W33" s="778">
        <f t="shared" si="12"/>
        <v>100</v>
      </c>
      <c r="X33" s="779"/>
      <c r="Y33" s="3201"/>
      <c r="Z33" s="780">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1" t="str">
        <f>B34</f>
        <v>宗地面积</v>
      </c>
      <c r="R34" s="774" t="s">
        <v>17</v>
      </c>
      <c r="S34" s="775" t="e">
        <f t="shared" si="10"/>
        <v>#N/A</v>
      </c>
      <c r="T34" s="774" t="s">
        <v>17</v>
      </c>
      <c r="U34" s="775" t="e">
        <f t="shared" si="11"/>
        <v>#N/A</v>
      </c>
      <c r="V34" s="774" t="s">
        <v>17</v>
      </c>
      <c r="W34" s="775" t="e">
        <f t="shared" si="12"/>
        <v>#N/A</v>
      </c>
      <c r="X34" s="1814"/>
      <c r="Y34" s="3201"/>
      <c r="Z34" s="1815" t="str">
        <f t="shared" si="13"/>
        <v>宗地面积</v>
      </c>
      <c r="AA34" s="1812" t="e">
        <f t="shared" si="3"/>
        <v>#N/A</v>
      </c>
      <c r="AB34" s="1812" t="e">
        <f t="shared" si="4"/>
        <v>#N/A</v>
      </c>
      <c r="AC34" s="1812"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01"/>
      <c r="Q35" s="1811" t="str">
        <f t="shared" ref="Q35:Q40" si="14">B35</f>
        <v>宗地形状</v>
      </c>
      <c r="R35" s="774" t="s">
        <v>17</v>
      </c>
      <c r="S35" s="775">
        <f t="shared" si="10"/>
        <v>100</v>
      </c>
      <c r="T35" s="774" t="s">
        <v>17</v>
      </c>
      <c r="U35" s="775">
        <f t="shared" si="11"/>
        <v>100</v>
      </c>
      <c r="V35" s="774" t="s">
        <v>17</v>
      </c>
      <c r="W35" s="775">
        <f t="shared" si="12"/>
        <v>100</v>
      </c>
      <c r="X35" s="1814"/>
      <c r="Y35" s="3201"/>
      <c r="Z35" s="1815" t="str">
        <f t="shared" si="13"/>
        <v>宗地形状</v>
      </c>
      <c r="AA35" s="1812">
        <f t="shared" si="3"/>
        <v>1</v>
      </c>
      <c r="AB35" s="1812">
        <f t="shared" si="4"/>
        <v>1</v>
      </c>
      <c r="AC35" s="1812">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01"/>
      <c r="Q36" s="1811"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01" t="s">
        <v>2560</v>
      </c>
      <c r="Q37" s="1811" t="str">
        <f t="shared" si="14"/>
        <v>工程地质条件</v>
      </c>
      <c r="R37" s="774" t="s">
        <v>17</v>
      </c>
      <c r="S37" s="775">
        <f t="shared" si="10"/>
        <v>100</v>
      </c>
      <c r="T37" s="774" t="s">
        <v>17</v>
      </c>
      <c r="U37" s="775">
        <f t="shared" si="11"/>
        <v>100</v>
      </c>
      <c r="V37" s="774" t="s">
        <v>17</v>
      </c>
      <c r="W37" s="775">
        <f t="shared" si="12"/>
        <v>100</v>
      </c>
      <c r="X37" s="1814"/>
      <c r="Y37" s="3201" t="s">
        <v>2560</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1">
        <f t="shared" si="14"/>
        <v>111</v>
      </c>
      <c r="R38" s="774" t="s">
        <v>17</v>
      </c>
      <c r="S38" s="775">
        <f t="shared" si="10"/>
        <v>100</v>
      </c>
      <c r="T38" s="774" t="s">
        <v>17</v>
      </c>
      <c r="U38" s="775">
        <f t="shared" si="11"/>
        <v>100</v>
      </c>
      <c r="V38" s="774" t="s">
        <v>17</v>
      </c>
      <c r="W38" s="775">
        <f t="shared" si="12"/>
        <v>100</v>
      </c>
      <c r="X38" s="1814"/>
      <c r="Y38" s="3201"/>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1">
        <f t="shared" si="14"/>
        <v>111</v>
      </c>
      <c r="R39" s="774" t="s">
        <v>17</v>
      </c>
      <c r="S39" s="775">
        <f t="shared" si="10"/>
        <v>100</v>
      </c>
      <c r="T39" s="774" t="s">
        <v>17</v>
      </c>
      <c r="U39" s="775">
        <f t="shared" si="11"/>
        <v>100</v>
      </c>
      <c r="V39" s="774" t="s">
        <v>17</v>
      </c>
      <c r="W39" s="775">
        <f t="shared" si="12"/>
        <v>100</v>
      </c>
      <c r="X39" s="1814"/>
      <c r="Y39" s="3201"/>
      <c r="Z39" s="1815">
        <f t="shared" si="13"/>
        <v>111</v>
      </c>
      <c r="AA39" s="1812">
        <f t="shared" si="3"/>
        <v>1</v>
      </c>
      <c r="AB39" s="1812">
        <f t="shared" si="4"/>
        <v>1</v>
      </c>
      <c r="AC39" s="1812">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1">
        <f t="shared" si="14"/>
        <v>111</v>
      </c>
      <c r="R40" s="777" t="s">
        <v>17</v>
      </c>
      <c r="S40" s="778">
        <f t="shared" si="10"/>
        <v>100</v>
      </c>
      <c r="T40" s="777" t="s">
        <v>17</v>
      </c>
      <c r="U40" s="778">
        <f t="shared" si="11"/>
        <v>100</v>
      </c>
      <c r="V40" s="777" t="s">
        <v>17</v>
      </c>
      <c r="W40" s="778">
        <f t="shared" si="12"/>
        <v>100</v>
      </c>
      <c r="X40" s="779"/>
      <c r="Y40" s="3201"/>
      <c r="Z40" s="780">
        <f t="shared" si="13"/>
        <v>111</v>
      </c>
      <c r="AA40" s="1812">
        <f t="shared" si="3"/>
        <v>1</v>
      </c>
      <c r="AB40" s="1812">
        <f t="shared" si="4"/>
        <v>1</v>
      </c>
      <c r="AC40" s="1812">
        <f t="shared" si="5"/>
        <v>1</v>
      </c>
    </row>
    <row r="41" spans="1:29" ht="15">
      <c r="A41" s="479" t="s">
        <v>2715</v>
      </c>
      <c r="B41" s="2705" t="s">
        <v>2794</v>
      </c>
      <c r="C41" s="682" t="s">
        <v>1</v>
      </c>
      <c r="D41" s="481"/>
      <c r="E41" s="482"/>
      <c r="F41" s="483"/>
      <c r="G41" s="484"/>
      <c r="H41" s="485"/>
      <c r="I41" s="482"/>
      <c r="J41" s="485"/>
      <c r="K41" s="783"/>
      <c r="L41" s="1146"/>
      <c r="M41" s="1134"/>
      <c r="N41" s="1134"/>
      <c r="O41" s="1147"/>
      <c r="P41" s="3183" t="str">
        <f>A41</f>
        <v>成交单价</v>
      </c>
      <c r="Q41" s="3183"/>
      <c r="R41" s="3196">
        <f>E41</f>
        <v>0</v>
      </c>
      <c r="S41" s="3196"/>
      <c r="T41" s="3196">
        <f>G41</f>
        <v>0</v>
      </c>
      <c r="U41" s="3196"/>
      <c r="V41" s="3196">
        <f>I41</f>
        <v>0</v>
      </c>
      <c r="W41" s="319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183" t="str">
        <f>A42</f>
        <v>比较价值（元/平方米）</v>
      </c>
      <c r="Q42" s="3183"/>
      <c r="R42" s="3202" t="e">
        <f>ROUND(PRODUCT(R41,AA7:AA40),0)</f>
        <v>#DIV/0!</v>
      </c>
      <c r="S42" s="3202"/>
      <c r="T42" s="3202" t="e">
        <f>ROUND(PRODUCT(T41,AB7:AB40),0)</f>
        <v>#DIV/0!</v>
      </c>
      <c r="U42" s="3202"/>
      <c r="V42" s="3202" t="e">
        <f>ROUND(PRODUCT(V41,AC7:AC40),0)</f>
        <v>#DIV/0!</v>
      </c>
      <c r="W42" s="3202"/>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05" t="e">
        <f>ROUND(AVERAGE(R42:V42),0)</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184" t="s">
        <v>2759</v>
      </c>
      <c r="H50" s="3206"/>
      <c r="I50" s="1815" t="s">
        <v>2795</v>
      </c>
      <c r="J50" s="1815">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84498</v>
      </c>
      <c r="F51" s="691" t="e">
        <f t="shared" ref="F51:F60" si="15">ROUND(B51*E51/10000,0)</f>
        <v>#DIV/0!</v>
      </c>
      <c r="G51" s="3207"/>
      <c r="H51" s="3183"/>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208"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208"/>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208"/>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208"/>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285.77999999999997</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1400.8</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5" thickBot="1">
      <c r="A60" s="693" t="s">
        <v>2775</v>
      </c>
      <c r="B60" s="262" t="e">
        <f t="shared" si="17"/>
        <v>#DIV/0!</v>
      </c>
      <c r="C60" s="200">
        <f t="shared" si="16"/>
        <v>0.2</v>
      </c>
      <c r="D60" s="1167">
        <v>0.25</v>
      </c>
      <c r="E60" s="261">
        <f>'数据-汇总表'!E15</f>
        <v>19749.8</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8949.2199999999993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2" t="s">
        <v>2777</v>
      </c>
      <c r="B65" s="1362"/>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2796</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0</v>
      </c>
      <c r="E1" s="2718"/>
      <c r="F1" s="2718"/>
      <c r="G1" s="2718"/>
      <c r="H1" s="2718"/>
      <c r="I1" s="2718"/>
      <c r="J1" s="2718"/>
      <c r="K1" s="1373"/>
      <c r="L1" s="2719" t="s">
        <v>2800</v>
      </c>
      <c r="M1" s="1083">
        <f>SUMPRODUCT((区片价!B5:B9=I2)*(区片价!C3:F3=E2)*(区片价!C5:F9))</f>
        <v>0</v>
      </c>
      <c r="N1" s="1086">
        <f>SUMPRODUCT((因素修正幅度!B5:B9=I2)*(因素修正幅度!C3:F3=E2)*(因素修正幅度!C5:F9))</f>
        <v>0</v>
      </c>
      <c r="O1" s="2720"/>
      <c r="P1" s="2720"/>
      <c r="Q1" s="1373"/>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5" t="s">
        <v>2806</v>
      </c>
      <c r="B2" s="248">
        <f ca="1">C26</f>
        <v>0</v>
      </c>
      <c r="C2" s="2722" t="s">
        <v>2807</v>
      </c>
      <c r="D2" s="2723" t="s">
        <v>2808</v>
      </c>
      <c r="E2" s="2724" t="s">
        <v>27</v>
      </c>
      <c r="F2" s="2723" t="s">
        <v>2809</v>
      </c>
      <c r="G2" s="2725" t="str">
        <f>IF(E2="商业",项目基本情况!B37,IF(E2="办公",项目基本情况!C37,IF(E2="住宅",项目基本情况!D37,项目基本情况!E37)))</f>
        <v>六级</v>
      </c>
      <c r="H2" s="2723" t="s">
        <v>2810</v>
      </c>
      <c r="I2" s="2725" t="str">
        <f>IF(E2="商业",项目基本情况!B38,IF(E2="办公",项目基本情况!C38,IF(E2="住宅",项目基本情况!D38,项目基本情况!E38)))</f>
        <v>Ⅵ-通2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21036</v>
      </c>
      <c r="U2" s="1605"/>
      <c r="V2" s="1604">
        <f ca="1">ROUND(T2*U2/10000,0)</f>
        <v>0</v>
      </c>
      <c r="W2" s="1608"/>
      <c r="X2" s="1608"/>
      <c r="Y2" s="1608"/>
      <c r="Z2" s="1608"/>
      <c r="AA2" s="1608"/>
      <c r="AB2" s="1608"/>
      <c r="AC2" s="1609"/>
      <c r="AD2" s="1610"/>
      <c r="AE2" s="1610"/>
      <c r="AF2" s="1610"/>
      <c r="AG2" s="1610"/>
      <c r="AH2" s="1610"/>
      <c r="AI2" s="1610"/>
      <c r="AJ2" s="1611"/>
    </row>
    <row r="3" spans="1:36" ht="25.5">
      <c r="A3" s="247" t="s">
        <v>2812</v>
      </c>
      <c r="B3" s="248" t="e">
        <f ca="1">ROUND(B2*10000/D1,0)</f>
        <v>#DIV/0!</v>
      </c>
      <c r="C3" s="2722" t="s">
        <v>2813</v>
      </c>
      <c r="D3" s="2723" t="s">
        <v>2814</v>
      </c>
      <c r="E3" s="2728" t="s">
        <v>3069</v>
      </c>
      <c r="F3" s="2729" t="s">
        <v>2815</v>
      </c>
      <c r="G3" s="916">
        <f>IF(F3="宗地容积率",'数据-汇总表'!I4,IF(F3="估价对象容积率",'数据-汇总表'!I6,'数据-汇总表'!I7))</f>
        <v>9.44</v>
      </c>
      <c r="H3" s="198" t="s">
        <v>2816</v>
      </c>
      <c r="I3" s="947"/>
      <c r="J3" s="2726" t="s">
        <v>2817</v>
      </c>
      <c r="K3" s="1373"/>
      <c r="L3" s="2727" t="s">
        <v>2818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15100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81"/>
      <c r="B4" s="3282"/>
      <c r="C4" s="3282"/>
      <c r="D4" s="3283"/>
      <c r="E4" s="3283"/>
      <c r="F4" s="3283"/>
      <c r="G4" s="3283"/>
      <c r="H4" s="3283"/>
      <c r="I4" s="3283"/>
      <c r="J4" s="3284"/>
      <c r="K4" s="1373"/>
      <c r="L4" s="2727" t="s">
        <v>2819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12182</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7">
        <f>ROUND(IF(E2="商业",IF(F16="增加",C6*C7+C16,C6*C7-C16),IF(E2="住宅",IF(F16="增加",C6*C12+C16,C6*C12-C16),IF(F16="增加",C6+C16,C6-C16))),0)</f>
        <v>9270</v>
      </c>
      <c r="D5" s="1788">
        <f>ROUND(IF(E2="商业",IF(F16="增加",C6+C16,C6-C16)),0)</f>
        <v>0</v>
      </c>
      <c r="E5" s="2732"/>
      <c r="F5" s="2732"/>
      <c r="G5" s="2733"/>
      <c r="H5" s="2733"/>
      <c r="I5" s="2733"/>
      <c r="J5" s="2734"/>
      <c r="K5" s="2735"/>
      <c r="L5" s="2727" t="s">
        <v>2821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9774</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2822</v>
      </c>
      <c r="B6" s="2741" t="s">
        <v>2823</v>
      </c>
      <c r="C6" s="918">
        <f>SUMIF(L1:L12,G2,M1:M12)</f>
        <v>9270</v>
      </c>
      <c r="D6" s="2742" t="s">
        <v>2824</v>
      </c>
      <c r="E6" s="2743"/>
      <c r="F6" s="2743"/>
      <c r="G6" s="2744"/>
      <c r="H6" s="2744"/>
      <c r="I6" s="2744"/>
      <c r="J6" s="2745"/>
      <c r="K6" s="1843"/>
      <c r="L6" s="2727" t="s">
        <v>2825</v>
      </c>
      <c r="M6" s="1084">
        <f>SUMPRODUCT((区片价!B110:B157=I2)*(区片价!C3:F3=E2)*(区片价!C110:F157))</f>
        <v>9270</v>
      </c>
      <c r="N6" s="1086">
        <f>SUMPRODUCT((因素修正幅度!B110:B157=I2)*(因素修正幅度!C3:F3=E2)*(因素修正幅度!C110:F157))</f>
        <v>0.123</v>
      </c>
      <c r="O6" s="1373"/>
      <c r="P6" s="1373"/>
      <c r="Q6" s="1373"/>
      <c r="R6" s="1604">
        <v>5</v>
      </c>
      <c r="S6" s="1604">
        <f>ROUND(IF(G3&gt;1,IF(R6&lt;7,SUMPRODUCT((B93:B98=R6)*(C92:N92=G2)*(C93:N98)),SUMIF(C92:N92,G2,C100:N100)),IF(R6&lt;7,SUMPRODUCT((B102:B107=R6)*(C92:N92=G2)*(C102:N107)),SUMIF(C92:N92,G2,C109:N109))),4)</f>
        <v>0.73709999999999998</v>
      </c>
      <c r="T6" s="1604">
        <f t="shared" ca="1" si="0"/>
        <v>8323</v>
      </c>
      <c r="U6" s="1605"/>
      <c r="V6" s="1604">
        <f t="shared" ca="1" si="1"/>
        <v>0</v>
      </c>
      <c r="W6" s="1608"/>
      <c r="X6" s="1608"/>
      <c r="Y6" s="1608"/>
      <c r="Z6" s="1608"/>
      <c r="AA6" s="1608"/>
      <c r="AB6" s="1608"/>
      <c r="AC6" s="2736"/>
      <c r="AD6" s="2737"/>
      <c r="AE6" s="2737"/>
      <c r="AF6" s="2737"/>
      <c r="AG6" s="2737"/>
      <c r="AH6" s="2737"/>
      <c r="AI6" s="2737"/>
      <c r="AJ6" s="2738"/>
    </row>
    <row r="7" spans="1:36" ht="24">
      <c r="A7" s="3267" t="str">
        <f>IF(E2="商业",IF(C8="不临58条商业街","",2),"")</f>
        <v/>
      </c>
      <c r="B7" s="2746" t="s">
        <v>2826</v>
      </c>
      <c r="C7" s="919" t="e">
        <f>IF(C8="不临58条商业街",1,ROUND(1+(1.6*E8+1.2*E9+0.8*E10+0.4*E11)*C9,4))</f>
        <v>#DIV/0!</v>
      </c>
      <c r="D7" s="2747" t="s">
        <v>2827</v>
      </c>
      <c r="E7" s="948"/>
      <c r="F7" s="2748"/>
      <c r="G7" s="2749"/>
      <c r="H7" s="2749"/>
      <c r="I7" s="2749"/>
      <c r="J7" s="2750"/>
      <c r="K7" s="1843"/>
      <c r="L7" s="2727" t="s">
        <v>2828</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7319</v>
      </c>
      <c r="U7" s="1605"/>
      <c r="V7" s="1604">
        <f t="shared" ca="1" si="1"/>
        <v>0</v>
      </c>
      <c r="W7" s="1817" t="s">
        <v>2829</v>
      </c>
      <c r="X7" s="1606" t="str">
        <f>G2</f>
        <v>六级</v>
      </c>
      <c r="Y7" s="1606" t="s">
        <v>2830</v>
      </c>
      <c r="Z7" s="1607">
        <f>G3</f>
        <v>9.44</v>
      </c>
      <c r="AA7" s="1608"/>
      <c r="AB7" s="1608"/>
      <c r="AC7" s="1609"/>
      <c r="AD7" s="1610"/>
      <c r="AE7" s="1610"/>
      <c r="AF7" s="1610"/>
      <c r="AG7" s="1610"/>
      <c r="AH7" s="1610"/>
      <c r="AI7" s="1610"/>
      <c r="AJ7" s="1611"/>
    </row>
    <row r="8" spans="1:36" ht="15">
      <c r="A8" s="3268"/>
      <c r="B8" s="198" t="s">
        <v>2831</v>
      </c>
      <c r="C8" s="2751"/>
      <c r="D8" s="920" t="s">
        <v>139</v>
      </c>
      <c r="E8" s="921" t="e">
        <f>ROUND(C11/E7,4)</f>
        <v>#DIV/0!</v>
      </c>
      <c r="F8" s="2752" t="s">
        <v>2832</v>
      </c>
      <c r="G8" s="2753"/>
      <c r="H8" s="2753"/>
      <c r="I8" s="2753"/>
      <c r="J8" s="2754"/>
      <c r="K8" s="1373"/>
      <c r="L8" s="2727" t="s">
        <v>2833</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278" t="s">
        <v>2834</v>
      </c>
      <c r="X8" s="3279"/>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268"/>
      <c r="B9" s="198" t="s">
        <v>2847</v>
      </c>
      <c r="C9" s="922">
        <f>SUMIF(修正!C59:C119,C8,修正!E59:E119)</f>
        <v>0</v>
      </c>
      <c r="D9" s="200" t="s">
        <v>140</v>
      </c>
      <c r="E9" s="200" t="e">
        <f>ROUND(C11/E7,4)</f>
        <v>#DIV/0!</v>
      </c>
      <c r="F9" s="2752" t="s">
        <v>2848</v>
      </c>
      <c r="G9" s="2753"/>
      <c r="H9" s="2753"/>
      <c r="I9" s="2753"/>
      <c r="J9" s="2754"/>
      <c r="K9" s="1373"/>
      <c r="L9" s="2727" t="s">
        <v>2849</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280" t="s">
        <v>2850</v>
      </c>
      <c r="X9" s="1613" t="s">
        <v>2851</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8"/>
      <c r="B10" s="198" t="s">
        <v>2852</v>
      </c>
      <c r="C10" s="200">
        <f>SUMIF(修正!C59:C119,C8,修正!F59:F119)</f>
        <v>0</v>
      </c>
      <c r="D10" s="200" t="s">
        <v>141</v>
      </c>
      <c r="E10" s="200" t="e">
        <f>ROUND(C11/E7,4)</f>
        <v>#DIV/0!</v>
      </c>
      <c r="F10" s="2752" t="s">
        <v>2853</v>
      </c>
      <c r="G10" s="2753"/>
      <c r="H10" s="2753"/>
      <c r="I10" s="2753"/>
      <c r="J10" s="2754"/>
      <c r="K10" s="1373"/>
      <c r="L10" s="2727" t="s">
        <v>2854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2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8"/>
      <c r="B11" s="2755" t="s">
        <v>2855</v>
      </c>
      <c r="C11" s="923">
        <f>C10/4</f>
        <v>0</v>
      </c>
      <c r="D11" s="923" t="s">
        <v>142</v>
      </c>
      <c r="E11" s="923" t="e">
        <f>ROUND(C11/E7,4)</f>
        <v>#DIV/0!</v>
      </c>
      <c r="F11" s="2756" t="s">
        <v>2856</v>
      </c>
      <c r="G11" s="2757"/>
      <c r="H11" s="2757"/>
      <c r="I11" s="2757"/>
      <c r="J11" s="2758"/>
      <c r="K11" s="1373"/>
      <c r="L11" s="2727" t="s">
        <v>2857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280" t="s">
        <v>2858</v>
      </c>
      <c r="X11" s="1616" t="s">
        <v>2859</v>
      </c>
      <c r="Y11" s="1617">
        <f>$G$3</f>
        <v>9.44</v>
      </c>
      <c r="Z11" s="1617">
        <f t="shared" ref="Z11:AJ11" si="3">$G$3</f>
        <v>9.44</v>
      </c>
      <c r="AA11" s="1617">
        <f t="shared" si="3"/>
        <v>9.44</v>
      </c>
      <c r="AB11" s="1617">
        <f t="shared" si="3"/>
        <v>9.44</v>
      </c>
      <c r="AC11" s="1617">
        <f t="shared" si="3"/>
        <v>9.44</v>
      </c>
      <c r="AD11" s="1617">
        <f t="shared" si="3"/>
        <v>9.44</v>
      </c>
      <c r="AE11" s="1617">
        <f t="shared" si="3"/>
        <v>9.44</v>
      </c>
      <c r="AF11" s="1617">
        <f t="shared" si="3"/>
        <v>9.44</v>
      </c>
      <c r="AG11" s="1617">
        <f t="shared" si="3"/>
        <v>9.44</v>
      </c>
      <c r="AH11" s="1617">
        <f t="shared" si="3"/>
        <v>9.44</v>
      </c>
      <c r="AI11" s="1617">
        <f t="shared" si="3"/>
        <v>9.44</v>
      </c>
      <c r="AJ11" s="1617">
        <f t="shared" si="3"/>
        <v>9.44</v>
      </c>
    </row>
    <row r="12" spans="1:36" ht="25.5" thickBot="1">
      <c r="A12" s="3267" t="s">
        <v>2860</v>
      </c>
      <c r="B12" s="2759" t="s">
        <v>2861</v>
      </c>
      <c r="C12" s="919">
        <f>ROUND(C15*D15*E15*F15*G15*H15*I15*J15,4)</f>
        <v>1</v>
      </c>
      <c r="D12" s="2760" t="s">
        <v>2862</v>
      </c>
      <c r="E12" s="2761"/>
      <c r="F12" s="2761"/>
      <c r="G12" s="2762"/>
      <c r="H12" s="2762"/>
      <c r="I12" s="2762"/>
      <c r="J12" s="2763"/>
      <c r="K12" s="1373"/>
      <c r="L12" s="2764" t="s">
        <v>2863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280"/>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5"/>
      <c r="B13" s="2765" t="s">
        <v>2865</v>
      </c>
      <c r="C13" s="2766" t="s">
        <v>2866</v>
      </c>
      <c r="D13" s="1809" t="s">
        <v>2867</v>
      </c>
      <c r="E13" s="1809" t="s">
        <v>2868</v>
      </c>
      <c r="F13" s="30" t="s">
        <v>2869</v>
      </c>
      <c r="G13" s="2767" t="s">
        <v>2870</v>
      </c>
      <c r="H13" s="2767" t="s">
        <v>2870</v>
      </c>
      <c r="I13" s="2767" t="s">
        <v>2870</v>
      </c>
      <c r="J13" s="2768" t="s">
        <v>2870</v>
      </c>
      <c r="K13" s="1373"/>
      <c r="L13" s="1373"/>
      <c r="M13" s="1373"/>
      <c r="N13" s="1373"/>
      <c r="O13" s="1373"/>
      <c r="P13" s="1373"/>
      <c r="Q13" s="1373"/>
      <c r="R13" s="1604">
        <v>12</v>
      </c>
      <c r="S13" s="1605"/>
      <c r="T13" s="1604">
        <f t="shared" ca="1" si="0"/>
        <v>0</v>
      </c>
      <c r="U13" s="1605"/>
      <c r="V13" s="1604">
        <f t="shared" ca="1" si="1"/>
        <v>0</v>
      </c>
      <c r="W13" s="3280"/>
      <c r="X13" s="1618"/>
      <c r="Y13" s="1615">
        <f>(-0.163*(Y12^2)-0.59*Y12+7617)*(10^(-4))/Y11</f>
        <v>8.0688559322033906E-2</v>
      </c>
      <c r="Z13" s="1615">
        <f t="shared" ref="Z13:AJ13" si="5">(-0.163*(Z12^2)-0.59*Z12+7617)*(10^(-4))/Z11</f>
        <v>8.0688559322033906E-2</v>
      </c>
      <c r="AA13" s="1615">
        <f t="shared" si="5"/>
        <v>8.0688559322033906E-2</v>
      </c>
      <c r="AB13" s="1615">
        <f t="shared" si="5"/>
        <v>8.0688559322033906E-2</v>
      </c>
      <c r="AC13" s="1615">
        <f t="shared" si="5"/>
        <v>8.0688559322033906E-2</v>
      </c>
      <c r="AD13" s="1615">
        <f t="shared" si="5"/>
        <v>8.0688559322033906E-2</v>
      </c>
      <c r="AE13" s="1615">
        <f t="shared" si="5"/>
        <v>8.0688559322033906E-2</v>
      </c>
      <c r="AF13" s="1615">
        <f t="shared" si="5"/>
        <v>8.0688559322033906E-2</v>
      </c>
      <c r="AG13" s="1615">
        <f t="shared" si="5"/>
        <v>8.0688559322033906E-2</v>
      </c>
      <c r="AH13" s="1615">
        <f t="shared" si="5"/>
        <v>8.0688559322033906E-2</v>
      </c>
      <c r="AI13" s="1615">
        <f t="shared" si="5"/>
        <v>8.0688559322033906E-2</v>
      </c>
      <c r="AJ13" s="1615">
        <f t="shared" si="5"/>
        <v>8.0688559322033906E-2</v>
      </c>
    </row>
    <row r="14" spans="1:36" ht="15">
      <c r="A14" s="3285"/>
      <c r="B14" s="2769"/>
      <c r="C14" s="2770"/>
      <c r="D14" s="2771"/>
      <c r="E14" s="2771"/>
      <c r="F14" s="2772"/>
      <c r="G14" s="2773" t="s">
        <v>2871</v>
      </c>
      <c r="H14" s="2774"/>
      <c r="I14" s="2775"/>
      <c r="J14" s="2776"/>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6"/>
      <c r="B15" s="2777" t="s">
        <v>2872</v>
      </c>
      <c r="C15" s="229">
        <f>IF(C14="有",1.1,1)</f>
        <v>1</v>
      </c>
      <c r="D15" s="229">
        <f>IF(D14="有",1.1,1)</f>
        <v>1</v>
      </c>
      <c r="E15" s="229">
        <f>IF(E14="有",1.1,1)</f>
        <v>1</v>
      </c>
      <c r="F15" s="229">
        <f>IF(F14="500米范围内",1.2,IF(F14="500-1000米",1.1,1))</f>
        <v>1</v>
      </c>
      <c r="G15" s="949">
        <v>1</v>
      </c>
      <c r="H15" s="949">
        <v>1</v>
      </c>
      <c r="I15" s="949">
        <v>1</v>
      </c>
      <c r="J15" s="950">
        <v>1</v>
      </c>
      <c r="K15" s="1373"/>
      <c r="L15" s="2778" t="s">
        <v>2808</v>
      </c>
      <c r="M15" s="920" t="s">
        <v>2873</v>
      </c>
      <c r="N15" s="920" t="s">
        <v>2874</v>
      </c>
      <c r="O15" s="920" t="s">
        <v>2875</v>
      </c>
      <c r="P15" s="2779" t="s">
        <v>2876</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7" t="s">
        <v>2877</v>
      </c>
      <c r="B16" s="2746" t="s">
        <v>2878</v>
      </c>
      <c r="C16" s="1802">
        <f>ROUND(SUM(G17:J17)/C17,0)</f>
        <v>0</v>
      </c>
      <c r="D16" s="2780" t="s">
        <v>2879</v>
      </c>
      <c r="E16" s="2781" t="s">
        <v>3070</v>
      </c>
      <c r="F16" s="2782" t="s">
        <v>3071</v>
      </c>
      <c r="G16" s="2783"/>
      <c r="H16" s="2783"/>
      <c r="I16" s="2783"/>
      <c r="J16" s="2784"/>
      <c r="K16" s="1373"/>
      <c r="L16" s="2785" t="s">
        <v>2880</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8"/>
      <c r="B17" s="2786" t="s">
        <v>2881</v>
      </c>
      <c r="C17" s="924">
        <f>SUMPRODUCT((修正!A2:A5=E2)*(修正!B1:M1=G2)*(修正!B2:M5))</f>
        <v>2.5</v>
      </c>
      <c r="D17" s="2787"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2885</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2886</v>
      </c>
      <c r="C19" s="927">
        <f>ROUND(IF(H19="按公示增长率计算",SUMPRODUCT((地价!A3:A21=YEAR(G19)&amp;"-"&amp;ROUNDUP(MONTH(G19)/3,0))*(地价!X2:AB2=E2)*(地价!X3:AB21)),IF(H19="地价指数",M20/M19,(1+I19)^O19)),4)</f>
        <v>1.2636000000000001</v>
      </c>
      <c r="D19" s="2798" t="s">
        <v>2887</v>
      </c>
      <c r="E19" s="928">
        <v>41640</v>
      </c>
      <c r="F19" s="2798" t="s">
        <v>2888</v>
      </c>
      <c r="G19" s="929">
        <f>'数据-取费表'!B2</f>
        <v>43142</v>
      </c>
      <c r="H19" s="2799" t="s">
        <v>2889</v>
      </c>
      <c r="I19" s="930" t="str">
        <f>IF(H19="季度增幅（自定义）",SUMIF(N21:N24,E2,O21:O24),"")</f>
        <v/>
      </c>
      <c r="J19" s="2796"/>
      <c r="K19" s="1380"/>
      <c r="L19" s="2800" t="s">
        <v>2890</v>
      </c>
      <c r="M19" s="1736">
        <f>ROUND(SUMIF(地价!B2:F2,E2,地价!B21:F21),0)</f>
        <v>258</v>
      </c>
      <c r="N19" s="2801" t="s">
        <v>2891</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2892</v>
      </c>
      <c r="C20" s="932">
        <f ca="1">ROUND(POWER(1+G20,J20-I20)*(POWER(1+G20,I20)-1)/(POWER(1+G20,J20)-1),4)</f>
        <v>0.96399999999999997</v>
      </c>
      <c r="D20" s="2807" t="s">
        <v>2893</v>
      </c>
      <c r="E20" s="1769">
        <f ca="1">存贷款利率!D4/100</f>
        <v>4.3499999999999997E-2</v>
      </c>
      <c r="F20" s="2807" t="s">
        <v>2884</v>
      </c>
      <c r="G20" s="937">
        <f ca="1">SUMIF(M15:P15,E2,M17:P17)</f>
        <v>5.1999999999999998E-2</v>
      </c>
      <c r="H20" s="2807" t="s">
        <v>2894</v>
      </c>
      <c r="I20" s="938">
        <f>SUMIF('数据-取费表'!C6:C15,E2,'数据-取费表'!F6:F15)/COUNTIF('数据-取费表'!C6:C15,E2)</f>
        <v>43.109999999999992</v>
      </c>
      <c r="J20" s="939">
        <f>IF(E2="住宅",70,IF(E2="商业",40,50))</f>
        <v>50</v>
      </c>
      <c r="K20" s="1380"/>
      <c r="L20" s="2808" t="s">
        <v>2895</v>
      </c>
      <c r="M20" s="1737">
        <f>ROUND(SUMPRODUCT((地价!A4:A21=YEAR(G19)&amp;"-"&amp;ROUNDUP(MONTH(G19)/3,0))*(地价!B2:F2=E2)*(地价!B4:F21)),0)</f>
        <v>326</v>
      </c>
      <c r="N20" s="2809" t="s">
        <v>2896</v>
      </c>
      <c r="O20" s="2810" t="s">
        <v>2897</v>
      </c>
      <c r="P20" s="2811" t="s">
        <v>2898</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3072</v>
      </c>
      <c r="C21" s="940">
        <f>IF(B21="容积率修正",IF(G3&lt;=10,D22,J22),C23)</f>
        <v>0.73429999999999995</v>
      </c>
      <c r="D21" s="2814"/>
      <c r="E21" s="2814"/>
      <c r="F21" s="2814"/>
      <c r="G21" s="2814"/>
      <c r="H21" s="2814"/>
      <c r="I21" s="2814"/>
      <c r="J21" s="2815"/>
      <c r="K21" s="1380"/>
      <c r="N21" s="2816" t="s">
        <v>2899</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5" t="s">
        <v>2900</v>
      </c>
      <c r="B22" s="2817" t="s">
        <v>2901</v>
      </c>
      <c r="C22" s="1811" t="s">
        <v>2902</v>
      </c>
      <c r="D22" s="1811">
        <f>IF(E22=G22,F22,IF(G3&lt;=10,ROUND(F22+(H22-F22)*(G3-E22)/(G22-E22),4),"——"))</f>
        <v>0.73429999999999995</v>
      </c>
      <c r="E22" s="916">
        <f>ROUNDDOWN(G3,1)</f>
        <v>9.4</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0.7349</v>
      </c>
      <c r="G22" s="916">
        <f>ROUNDUP(G3,1)</f>
        <v>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0.73350000000000004</v>
      </c>
      <c r="I22" s="1811" t="s">
        <v>155</v>
      </c>
      <c r="J22" s="941" t="str">
        <f>IF(G3&gt;10,D113,"——")</f>
        <v>——</v>
      </c>
      <c r="K22" s="1380"/>
      <c r="N22" s="2816" t="s">
        <v>2903</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5" t="s">
        <v>2904</v>
      </c>
      <c r="B23" s="2818" t="s">
        <v>2905</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2906</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2907</v>
      </c>
      <c r="C24" s="927">
        <f>SUMIF(A45:A88,E2,B45:B88)</f>
        <v>1</v>
      </c>
      <c r="D24" s="2794"/>
      <c r="E24" s="2824"/>
      <c r="F24" s="2824"/>
      <c r="G24" s="2824"/>
      <c r="H24" s="2824"/>
      <c r="I24" s="2824"/>
      <c r="J24" s="2825"/>
      <c r="K24" s="1380"/>
      <c r="N24" s="2826" t="s">
        <v>2908</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2909</v>
      </c>
      <c r="C25" s="933"/>
      <c r="D25" s="2749"/>
      <c r="E25" s="2749"/>
      <c r="F25" s="2828"/>
      <c r="G25" s="2749"/>
      <c r="H25" s="2749"/>
      <c r="I25" s="2749"/>
      <c r="J25" s="2750"/>
      <c r="K25" s="1373"/>
      <c r="N25" s="2829" t="s">
        <v>2910</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2911</v>
      </c>
      <c r="C26" s="206">
        <f ca="1">E29+SUM(E33:E39)</f>
        <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2912</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2913</v>
      </c>
      <c r="C28" s="2841" t="s">
        <v>2914</v>
      </c>
      <c r="D28" s="2841" t="s">
        <v>2915</v>
      </c>
      <c r="E28" s="2842" t="s">
        <v>2916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2917</v>
      </c>
      <c r="C29" s="206">
        <f ca="1">ROUND(C5*C18*C19*C20*C21*C24,0)</f>
        <v>8292</v>
      </c>
      <c r="D29" s="2846"/>
      <c r="E29" s="945">
        <f ca="1">ROUND(C29*D29/10000,0)</f>
        <v>0</v>
      </c>
      <c r="F29" s="2847" t="s">
        <v>2918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2919</v>
      </c>
      <c r="C30" s="229">
        <f ca="1">ROUND(IF(E2="工业",C29*M39,C29*M38),0)</f>
        <v>2073</v>
      </c>
      <c r="D30" s="2852"/>
      <c r="E30" s="945">
        <f ca="1">ROUND(C30*D30/10000,0)</f>
        <v>0</v>
      </c>
      <c r="F30" s="2853" t="s">
        <v>2920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2921</v>
      </c>
      <c r="C31" s="2858" t="s">
        <v>2922</v>
      </c>
      <c r="D31" s="2762"/>
      <c r="E31" s="2858"/>
      <c r="F31" s="2858"/>
      <c r="G31" s="2760" t="s">
        <v>2923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2914</v>
      </c>
      <c r="D32" s="498" t="s">
        <v>2915</v>
      </c>
      <c r="E32" s="498" t="s">
        <v>2916</v>
      </c>
      <c r="F32" s="388" t="s">
        <v>2924</v>
      </c>
      <c r="G32" s="2861" t="s">
        <v>2914</v>
      </c>
      <c r="H32" s="2861" t="s">
        <v>2915</v>
      </c>
      <c r="I32" s="2861"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75" t="s">
        <v>2925</v>
      </c>
      <c r="B33" s="2862" t="s">
        <v>2926</v>
      </c>
      <c r="C33" s="206">
        <f ca="1">ROUND(D5*C19*C20*C24*F33,0)</f>
        <v>0</v>
      </c>
      <c r="D33" s="2846"/>
      <c r="E33" s="200">
        <f ca="1">ROUND(C33*D33/10000,0)</f>
        <v>0</v>
      </c>
      <c r="F33" s="200">
        <f>SUMIF(修正!A45:A56,G2,修正!B45:B56)</f>
        <v>0.7</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6"/>
      <c r="B34" s="2766" t="s">
        <v>2927</v>
      </c>
      <c r="C34" s="206">
        <f ca="1">ROUND(D5*C19*C20*C24*F34,0)</f>
        <v>0</v>
      </c>
      <c r="D34" s="2846"/>
      <c r="E34" s="200">
        <f t="shared" ref="E34:E39" ca="1" si="7">ROUND(C34*D34/10000,0)</f>
        <v>0</v>
      </c>
      <c r="F34" s="200">
        <f>SUMIF(修正!A45:A56,G2,修正!C45:C56)</f>
        <v>0.4</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6"/>
      <c r="B35" s="2766" t="s">
        <v>2928</v>
      </c>
      <c r="C35" s="206">
        <f ca="1">ROUND(D5*C19*C20*C24*F35,0)</f>
        <v>0</v>
      </c>
      <c r="D35" s="2846"/>
      <c r="E35" s="200">
        <f t="shared" ca="1" si="7"/>
        <v>0</v>
      </c>
      <c r="F35" s="200">
        <f>SUMIF(修正!A45:A56,G2,修正!D45:D56)</f>
        <v>0.28000000000000003</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77"/>
      <c r="B36" s="2766" t="s">
        <v>2929</v>
      </c>
      <c r="C36" s="206">
        <f ca="1">ROUND(D5*C19*C20*C24*F36,0)</f>
        <v>0</v>
      </c>
      <c r="D36" s="2846"/>
      <c r="E36" s="200">
        <f t="shared" ca="1" si="7"/>
        <v>0</v>
      </c>
      <c r="F36" s="200">
        <f>SUMIF(修正!A45:A56,G2,修正!E45:E56)</f>
        <v>0.25</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2930</v>
      </c>
      <c r="C37" s="200">
        <f ca="1">ROUND(C5*C19*C20*C24*F37,0)</f>
        <v>2823</v>
      </c>
      <c r="D37" s="2846"/>
      <c r="E37" s="200">
        <f t="shared" ca="1" si="7"/>
        <v>0</v>
      </c>
      <c r="F37" s="206">
        <f>SUMIF(修正!A45:A56,G2,修正!F45:F56)</f>
        <v>0.25</v>
      </c>
      <c r="G37" s="200">
        <f t="shared" ca="1" si="6"/>
        <v>706</v>
      </c>
      <c r="H37" s="200">
        <f t="shared" si="8"/>
        <v>0</v>
      </c>
      <c r="I37" s="200">
        <f t="shared" ca="1" si="9"/>
        <v>0</v>
      </c>
      <c r="J37" s="2863"/>
      <c r="K37" s="1373"/>
      <c r="L37" s="2865" t="s">
        <v>2931</v>
      </c>
      <c r="M37" s="2866"/>
      <c r="N37" s="1373"/>
      <c r="O37" s="1373"/>
      <c r="P37" s="1373"/>
      <c r="Q37" s="1373"/>
      <c r="R37" s="1373"/>
      <c r="S37" s="1373"/>
      <c r="T37" s="1373"/>
      <c r="U37" s="1373"/>
      <c r="V37" s="1373"/>
      <c r="W37" s="1373"/>
      <c r="X37" s="1373"/>
      <c r="Y37" s="1373"/>
      <c r="Z37" s="1374"/>
    </row>
    <row r="38" spans="1:37">
      <c r="A38" s="2864"/>
      <c r="B38" s="2766" t="s">
        <v>2932</v>
      </c>
      <c r="C38" s="200">
        <f ca="1">ROUND(C5*C19*C20*C24*F38,0)</f>
        <v>2823</v>
      </c>
      <c r="D38" s="2846"/>
      <c r="E38" s="200">
        <f t="shared" ca="1" si="7"/>
        <v>0</v>
      </c>
      <c r="F38" s="206">
        <f>SUMIF(修正!A45:A56,G2,修正!G45:G56)</f>
        <v>0.25</v>
      </c>
      <c r="G38" s="200">
        <f t="shared" ca="1" si="6"/>
        <v>706</v>
      </c>
      <c r="H38" s="200">
        <f t="shared" si="8"/>
        <v>0</v>
      </c>
      <c r="I38" s="200">
        <f t="shared" ca="1" si="9"/>
        <v>0</v>
      </c>
      <c r="J38" s="2863"/>
      <c r="K38" s="1373"/>
      <c r="L38" s="1888" t="s">
        <v>2933</v>
      </c>
      <c r="M38" s="2867">
        <v>0.25</v>
      </c>
      <c r="N38" s="1373"/>
      <c r="O38" s="1373"/>
      <c r="P38" s="1373"/>
      <c r="Q38" s="1373"/>
      <c r="R38" s="1373"/>
      <c r="S38" s="1373"/>
      <c r="T38" s="1373"/>
      <c r="U38" s="1373"/>
      <c r="V38" s="1373"/>
      <c r="W38" s="1373"/>
      <c r="X38" s="1373"/>
      <c r="Y38" s="1373"/>
      <c r="Z38" s="1374"/>
    </row>
    <row r="39" spans="1:37" ht="13.5" thickBot="1">
      <c r="A39" s="2850"/>
      <c r="B39" s="2868" t="s">
        <v>2934</v>
      </c>
      <c r="C39" s="229">
        <f ca="1">ROUND(C5*C19*C20*C24*F39,0)</f>
        <v>2258</v>
      </c>
      <c r="D39" s="2852"/>
      <c r="E39" s="229">
        <f t="shared" ca="1" si="7"/>
        <v>0</v>
      </c>
      <c r="F39" s="935">
        <f>SUMIF(修正!A45:A56,G2,修正!H45:H56)</f>
        <v>0.2</v>
      </c>
      <c r="G39" s="229" t="e">
        <f t="shared" si="6"/>
        <v>#DIV/0!</v>
      </c>
      <c r="H39" s="229">
        <f t="shared" si="8"/>
        <v>0</v>
      </c>
      <c r="I39" s="229" t="e">
        <f t="shared" si="9"/>
        <v>#DIV/0!</v>
      </c>
      <c r="J39" s="2869"/>
      <c r="K39" s="1373"/>
      <c r="L39" s="2870" t="s">
        <v>2876</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2936</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2937</v>
      </c>
      <c r="B47" s="1810" t="s">
        <v>2938</v>
      </c>
      <c r="C47" s="1810" t="s">
        <v>2939</v>
      </c>
      <c r="D47" s="1810" t="s">
        <v>2940</v>
      </c>
      <c r="E47" s="819" t="s">
        <v>2941</v>
      </c>
      <c r="F47" s="2880" t="s">
        <v>2942</v>
      </c>
      <c r="G47" s="1810" t="s">
        <v>754</v>
      </c>
      <c r="H47" s="2881" t="s">
        <v>2943</v>
      </c>
      <c r="I47" s="1810"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51">
      <c r="A48" s="2879" t="s">
        <v>2945</v>
      </c>
      <c r="B48" s="2882" t="str">
        <f>估价对象房地状况!C4</f>
        <v>估价对象位于通州运河核心区，周边商业氛围成熟度一般，人流量一般，商业繁华度一般。</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9" t="s">
        <v>2946</v>
      </c>
      <c r="B49" s="2883" t="str">
        <f>估价对象房地状况!C18</f>
        <v>附近主要有317路、552路、809、通49路等公交线路，紧邻地铁6号线，路网密集度较好，交通便捷度较好。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2947</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2948</v>
      </c>
      <c r="B51" s="2884" t="s">
        <v>2949</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2950</v>
      </c>
      <c r="B52" s="2883" t="str">
        <f>估价对象房地状况!C24</f>
        <v>城市支路——永顺南街</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2951</v>
      </c>
      <c r="B53" s="2885" t="s">
        <v>2952</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89.25">
      <c r="A54" s="2886" t="s">
        <v>2953</v>
      </c>
      <c r="B54" s="1727" t="str">
        <f>估价对象房地状况!C21</f>
        <v>估价对象周边有银行（兴业银行（北京通州运河支行）等）、医院（北京京通医院等）、超市（隆品源超市等）、学校（北京通州芙蓉小学等），公共配套设施齐备情况较好。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2954</v>
      </c>
      <c r="B55" s="2883" t="str">
        <f>估价对象房地状况!C22</f>
        <v>七通。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2955</v>
      </c>
      <c r="B56" s="2888" t="str">
        <f>估价对象房地状况!C20</f>
        <v>估价对象周边有水系、运河奥体公园，自然环境较好；周边有大运河美术馆等人文设施，人文环境较好；综合评价环境状况较好。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2956</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2937</v>
      </c>
      <c r="B58" s="1810"/>
      <c r="C58" s="1810" t="s">
        <v>2939</v>
      </c>
      <c r="D58" s="1810" t="s">
        <v>2940</v>
      </c>
      <c r="E58" s="819" t="s">
        <v>2941</v>
      </c>
      <c r="F58" s="2880" t="s">
        <v>2957</v>
      </c>
      <c r="G58" s="1810" t="s">
        <v>754</v>
      </c>
      <c r="H58" s="2881" t="s">
        <v>2943</v>
      </c>
      <c r="I58" s="1810"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79" t="s">
        <v>2958</v>
      </c>
      <c r="B59" s="2882" t="str">
        <f>估价对象房地状况!C17</f>
        <v>估价对象位于通州运河核心区，周边办公楼项目数量一般，入驻率一般，办公集聚程度一般。</v>
      </c>
      <c r="C59" s="2771"/>
      <c r="D59" s="1289">
        <f t="shared" ref="D59:D67" si="15">SUMIF($J$58:$N$58,C59,J59:N59)</f>
        <v>0</v>
      </c>
      <c r="E59" s="821">
        <f>ROUND(SUM(D59:D67),4)</f>
        <v>0</v>
      </c>
      <c r="F59" s="2502">
        <f>IF(E2="办公",SUMIF(L1:L12,G2,N1:N12),"——")</f>
        <v>0.123</v>
      </c>
      <c r="G59" s="1287"/>
      <c r="H59" s="1291">
        <f t="shared" ref="H59:H67" si="16">IFERROR(ROUNDDOWN($F$59*I59/2,4),"——")</f>
        <v>1.47E-2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9" t="s">
        <v>2946</v>
      </c>
      <c r="B60" s="2883" t="str">
        <f>估价对象房地状况!C18</f>
        <v>附近主要有317路、552路、809、通49路等公交线路，紧邻地铁6号线，路网密集度较好，交通便捷度较好。</v>
      </c>
      <c r="C60" s="2771"/>
      <c r="D60" s="1289">
        <f t="shared" si="15"/>
        <v>0</v>
      </c>
      <c r="E60" s="822"/>
      <c r="F60" s="2502"/>
      <c r="G60" s="1287"/>
      <c r="H60" s="1291">
        <f t="shared" si="16"/>
        <v>1.84E-2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2947</v>
      </c>
      <c r="B61" s="2883">
        <f>估价对象房地状况!C19</f>
        <v>0</v>
      </c>
      <c r="C61" s="2771"/>
      <c r="D61" s="1289">
        <f t="shared" si="15"/>
        <v>0</v>
      </c>
      <c r="E61" s="822"/>
      <c r="F61" s="2502"/>
      <c r="G61" s="1287"/>
      <c r="H61" s="1291">
        <f t="shared" si="16"/>
        <v>4.8999999999999998E-3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2948</v>
      </c>
      <c r="B62" s="2884" t="s">
        <v>2949</v>
      </c>
      <c r="C62" s="2771"/>
      <c r="D62" s="1289">
        <f t="shared" si="15"/>
        <v>0</v>
      </c>
      <c r="E62" s="822"/>
      <c r="F62" s="2502"/>
      <c r="G62" s="1287"/>
      <c r="H62" s="1291">
        <f t="shared" si="16"/>
        <v>2.3999999999999998E-3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2950</v>
      </c>
      <c r="B63" s="2883" t="str">
        <f>估价对象房地状况!C24</f>
        <v>城市支路——永顺南街</v>
      </c>
      <c r="C63" s="2771"/>
      <c r="D63" s="1289">
        <f t="shared" si="15"/>
        <v>0</v>
      </c>
      <c r="E63" s="822"/>
      <c r="F63" s="2502"/>
      <c r="G63" s="1287"/>
      <c r="H63" s="1291">
        <f t="shared" si="16"/>
        <v>3.0000000000000001E-3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2951</v>
      </c>
      <c r="B64" s="2885" t="s">
        <v>2952</v>
      </c>
      <c r="C64" s="2771"/>
      <c r="D64" s="1289">
        <f t="shared" si="15"/>
        <v>0</v>
      </c>
      <c r="E64" s="822"/>
      <c r="F64" s="2502"/>
      <c r="G64" s="1287"/>
      <c r="H64" s="1291">
        <f t="shared" si="16"/>
        <v>3.0000000000000001E-3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89.25">
      <c r="A65" s="2879" t="s">
        <v>2953</v>
      </c>
      <c r="B65" s="1727" t="str">
        <f>估价对象房地状况!C21</f>
        <v>估价对象周边有银行（兴业银行（北京通州运河支行）等）、医院（北京京通医院等）、超市（隆品源超市等）、学校（北京通州芙蓉小学等），公共配套设施齐备情况较好。</v>
      </c>
      <c r="C65" s="2771"/>
      <c r="D65" s="1289">
        <f t="shared" si="15"/>
        <v>0</v>
      </c>
      <c r="E65" s="822"/>
      <c r="F65" s="2502"/>
      <c r="G65" s="1287"/>
      <c r="H65" s="1291">
        <f t="shared" si="16"/>
        <v>3.5999999999999999E-3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9" t="s">
        <v>2954</v>
      </c>
      <c r="B66" s="1727" t="str">
        <f>估价对象房地状况!C22</f>
        <v>七通。</v>
      </c>
      <c r="C66" s="2771"/>
      <c r="D66" s="1289">
        <f t="shared" si="15"/>
        <v>0</v>
      </c>
      <c r="E66" s="822"/>
      <c r="F66" s="2502"/>
      <c r="G66" s="1287"/>
      <c r="H66" s="1291">
        <f t="shared" si="16"/>
        <v>7.3000000000000001E-3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2955</v>
      </c>
      <c r="B67" s="2889" t="str">
        <f>估价对象房地状况!C20</f>
        <v>估价对象周边有水系、运河奥体公园，自然环境较好；周边有大运河美术馆等人文设施，人文环境较好；综合评价环境状况较好。</v>
      </c>
      <c r="C67" s="2771"/>
      <c r="D67" s="1289">
        <f t="shared" si="15"/>
        <v>0</v>
      </c>
      <c r="E67" s="825"/>
      <c r="F67" s="2502"/>
      <c r="G67" s="1287"/>
      <c r="H67" s="1291">
        <f t="shared" si="16"/>
        <v>3.5999999999999999E-3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2959</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2937</v>
      </c>
      <c r="B69" s="1810"/>
      <c r="C69" s="1810" t="s">
        <v>2939</v>
      </c>
      <c r="D69" s="1810" t="s">
        <v>2940</v>
      </c>
      <c r="E69" s="819" t="s">
        <v>2941</v>
      </c>
      <c r="F69" s="2880" t="s">
        <v>2957</v>
      </c>
      <c r="G69" s="1810" t="s">
        <v>754</v>
      </c>
      <c r="H69" s="2881" t="s">
        <v>2943</v>
      </c>
      <c r="I69" s="1810"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79" t="s">
        <v>2960</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9" t="s">
        <v>2946</v>
      </c>
      <c r="B71" s="2883" t="str">
        <f>估价对象房地状况!C18</f>
        <v>附近主要有317路、552路、809、通49路等公交线路，紧邻地铁6号线，路网密集度较好，交通便捷度较好。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2947</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2961</v>
      </c>
      <c r="B73" s="2883" t="str">
        <f>估价对象房地状况!C24</f>
        <v>城市支路——永顺南街</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89.25">
      <c r="A74" s="2879" t="s">
        <v>2953</v>
      </c>
      <c r="B74" s="1727" t="str">
        <f>估价对象房地状况!C21</f>
        <v>估价对象周边有银行（兴业银行（北京通州运河支行）等）、医院（北京京通医院等）、超市（隆品源超市等）、学校（北京通州芙蓉小学等），公共配套设施齐备情况较好。</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9" t="s">
        <v>2954</v>
      </c>
      <c r="B75" s="1727" t="str">
        <f>估价对象房地状况!C22</f>
        <v>七通。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2951</v>
      </c>
      <c r="B76" s="2885" t="s">
        <v>2952</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2955</v>
      </c>
      <c r="B77" s="2882" t="str">
        <f>估价对象房地状况!C20</f>
        <v>估价对象周边有水系、运河奥体公园，自然环境较好；周边有大运河美术馆等人文设施，人文环境较好；综合评价环境状况较好。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2962</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2963</v>
      </c>
      <c r="B79" s="2876">
        <f>1+E81</f>
        <v>1</v>
      </c>
      <c r="C79" s="814"/>
      <c r="D79" s="814"/>
      <c r="E79" s="815"/>
      <c r="F79" s="2878"/>
      <c r="G79" s="6"/>
      <c r="H79" s="6"/>
      <c r="I79" s="6"/>
      <c r="J79" s="7"/>
      <c r="K79" s="7"/>
      <c r="L79" s="7"/>
      <c r="M79" s="7"/>
      <c r="N79" s="7"/>
      <c r="Z79" s="2721"/>
      <c r="AA79" s="2797"/>
      <c r="AG79" s="1375"/>
      <c r="AK79" s="2797"/>
    </row>
    <row r="80" spans="1:37" ht="24.75">
      <c r="A80" s="2879" t="s">
        <v>2937</v>
      </c>
      <c r="B80" s="1810"/>
      <c r="C80" s="1810" t="s">
        <v>2939</v>
      </c>
      <c r="D80" s="1810" t="s">
        <v>2940</v>
      </c>
      <c r="E80" s="819" t="s">
        <v>2941</v>
      </c>
      <c r="F80" s="2880" t="s">
        <v>2957</v>
      </c>
      <c r="G80" s="1810" t="s">
        <v>754</v>
      </c>
      <c r="H80" s="2881" t="s">
        <v>2943</v>
      </c>
      <c r="I80" s="1810" t="s">
        <v>2944</v>
      </c>
      <c r="J80" s="603" t="s">
        <v>2592</v>
      </c>
      <c r="K80" s="603" t="s">
        <v>2593</v>
      </c>
      <c r="L80" s="603" t="s">
        <v>2594</v>
      </c>
      <c r="M80" s="603" t="s">
        <v>2595</v>
      </c>
      <c r="N80" s="603" t="s">
        <v>2596</v>
      </c>
      <c r="Z80" s="2721"/>
      <c r="AA80" s="2797"/>
      <c r="AG80" s="1375"/>
      <c r="AK80" s="2797"/>
    </row>
    <row r="81" spans="1:37" ht="38.25">
      <c r="A81" s="2879" t="s">
        <v>2964</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2946</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2947</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2961</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2953</v>
      </c>
      <c r="B85" s="1727"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2954</v>
      </c>
      <c r="B86" s="1727"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2951</v>
      </c>
      <c r="B87" s="2885" t="s">
        <v>2965</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2966</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69" t="s">
        <v>2967</v>
      </c>
      <c r="B90" s="3269"/>
      <c r="C90" s="3269"/>
      <c r="D90" s="3269"/>
      <c r="E90" s="3269"/>
      <c r="F90" s="3269"/>
      <c r="G90" s="3269"/>
      <c r="H90" s="3269"/>
      <c r="I90" s="3269"/>
      <c r="J90" s="3269"/>
      <c r="K90" s="2893"/>
      <c r="L90" s="2893"/>
      <c r="M90" s="2893"/>
      <c r="N90" s="2893"/>
    </row>
    <row r="91" spans="1:37">
      <c r="A91" s="3271" t="s">
        <v>2968</v>
      </c>
      <c r="B91" s="3271" t="s">
        <v>2969</v>
      </c>
      <c r="C91" s="2847" t="s">
        <v>2970</v>
      </c>
      <c r="D91" s="2848"/>
      <c r="E91" s="2848"/>
      <c r="F91" s="2848"/>
      <c r="G91" s="2848"/>
      <c r="H91" s="2848"/>
      <c r="I91" s="2848"/>
      <c r="J91" s="2894"/>
      <c r="K91" s="2895"/>
      <c r="L91" s="2895"/>
      <c r="M91" s="2895"/>
      <c r="N91" s="2895"/>
    </row>
    <row r="92" spans="1:37">
      <c r="A92" s="3271"/>
      <c r="B92" s="3271"/>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72" t="s">
        <v>2971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3"/>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2" t="s">
        <v>2972</v>
      </c>
      <c r="B101" s="2900" t="s">
        <v>2973</v>
      </c>
      <c r="C101" s="2901">
        <f>$G$3</f>
        <v>9.44</v>
      </c>
      <c r="D101" s="2901">
        <f t="shared" ref="D101:N101" si="31">$G$3</f>
        <v>9.44</v>
      </c>
      <c r="E101" s="2901">
        <f t="shared" si="31"/>
        <v>9.44</v>
      </c>
      <c r="F101" s="2901">
        <f t="shared" si="31"/>
        <v>9.44</v>
      </c>
      <c r="G101" s="2901">
        <f t="shared" si="31"/>
        <v>9.44</v>
      </c>
      <c r="H101" s="2901">
        <f t="shared" si="31"/>
        <v>9.44</v>
      </c>
      <c r="I101" s="2901">
        <f t="shared" si="31"/>
        <v>9.44</v>
      </c>
      <c r="J101" s="2901">
        <f t="shared" si="31"/>
        <v>9.44</v>
      </c>
      <c r="K101" s="2901">
        <f t="shared" si="31"/>
        <v>9.44</v>
      </c>
      <c r="L101" s="2901">
        <f t="shared" si="31"/>
        <v>9.44</v>
      </c>
      <c r="M101" s="2901">
        <f t="shared" si="31"/>
        <v>9.44</v>
      </c>
      <c r="N101" s="2901">
        <f t="shared" si="31"/>
        <v>9.44</v>
      </c>
    </row>
    <row r="102" spans="1:14">
      <c r="A102" s="3273"/>
      <c r="B102" s="2896">
        <v>1</v>
      </c>
      <c r="C102" s="2897">
        <f>1.9362/C101</f>
        <v>0.20510593220338982</v>
      </c>
      <c r="D102" s="2897">
        <f>1.9362/D101</f>
        <v>0.20510593220338982</v>
      </c>
      <c r="E102" s="2897">
        <f>1.8629/E101</f>
        <v>0.19734110169491526</v>
      </c>
      <c r="F102" s="2897">
        <f>1.8629/F101</f>
        <v>0.19734110169491526</v>
      </c>
      <c r="G102" s="2897">
        <f>1.8629/G101</f>
        <v>0.19734110169491526</v>
      </c>
      <c r="H102" s="2897">
        <f>1.8629/H101</f>
        <v>0.19734110169491526</v>
      </c>
      <c r="I102" s="2897">
        <f>1.8629/I101</f>
        <v>0.19734110169491526</v>
      </c>
      <c r="J102" s="2897">
        <f>1.942/J101</f>
        <v>0.20572033898305087</v>
      </c>
      <c r="K102" s="2897">
        <f>1.942/K101</f>
        <v>0.20572033898305087</v>
      </c>
      <c r="L102" s="2897">
        <f>1.942/L101</f>
        <v>0.20572033898305087</v>
      </c>
      <c r="M102" s="2897">
        <f>1.942/M101</f>
        <v>0.20572033898305087</v>
      </c>
      <c r="N102" s="2897">
        <f>1.942/N101</f>
        <v>0.20572033898305087</v>
      </c>
    </row>
    <row r="103" spans="1:14">
      <c r="A103" s="3273"/>
      <c r="B103" s="2896">
        <v>2</v>
      </c>
      <c r="C103" s="2897">
        <f>1.4198/C101</f>
        <v>0.15040254237288136</v>
      </c>
      <c r="D103" s="2897">
        <f>1.4198/D101</f>
        <v>0.15040254237288136</v>
      </c>
      <c r="E103" s="2897">
        <f>1.3372/E101</f>
        <v>0.14165254237288136</v>
      </c>
      <c r="F103" s="2897">
        <f>1.3372/F101</f>
        <v>0.14165254237288136</v>
      </c>
      <c r="G103" s="2897">
        <f>1.3372/G101</f>
        <v>0.14165254237288136</v>
      </c>
      <c r="H103" s="2897">
        <f>1.3372/H101</f>
        <v>0.14165254237288136</v>
      </c>
      <c r="I103" s="2897">
        <f>1.3372/I101</f>
        <v>0.14165254237288136</v>
      </c>
      <c r="J103" s="2897">
        <f>1.2799/J101</f>
        <v>0.13558262711864408</v>
      </c>
      <c r="K103" s="2897">
        <f>1.2799/K101</f>
        <v>0.13558262711864408</v>
      </c>
      <c r="L103" s="2897">
        <f>1.2799/L101</f>
        <v>0.13558262711864408</v>
      </c>
      <c r="M103" s="2897">
        <f>1.2799/M101</f>
        <v>0.13558262711864408</v>
      </c>
      <c r="N103" s="2897">
        <f>1.2799/N101</f>
        <v>0.13558262711864408</v>
      </c>
    </row>
    <row r="104" spans="1:14">
      <c r="A104" s="3273"/>
      <c r="B104" s="2896">
        <v>3</v>
      </c>
      <c r="C104" s="2897">
        <f>1.1594/C101</f>
        <v>0.12281779661016949</v>
      </c>
      <c r="D104" s="2897">
        <f>1.1594/D101</f>
        <v>0.12281779661016949</v>
      </c>
      <c r="E104" s="2897">
        <f>1.0788/E101</f>
        <v>0.11427966101694916</v>
      </c>
      <c r="F104" s="2897">
        <f>1.0788/F101</f>
        <v>0.11427966101694916</v>
      </c>
      <c r="G104" s="2897">
        <f>1.0788/G101</f>
        <v>0.11427966101694916</v>
      </c>
      <c r="H104" s="2897">
        <f>1.0788/H101</f>
        <v>0.11427966101694916</v>
      </c>
      <c r="I104" s="2897">
        <f>1.0788/I101</f>
        <v>0.11427966101694916</v>
      </c>
      <c r="J104" s="2897">
        <f>1.0072/J101</f>
        <v>0.1066949152542373</v>
      </c>
      <c r="K104" s="2897">
        <f>1.0072/K101</f>
        <v>0.1066949152542373</v>
      </c>
      <c r="L104" s="2897">
        <f>1.0072/L101</f>
        <v>0.1066949152542373</v>
      </c>
      <c r="M104" s="2897">
        <f>1.0072/M101</f>
        <v>0.1066949152542373</v>
      </c>
      <c r="N104" s="2897">
        <f>1.0072/N101</f>
        <v>0.1066949152542373</v>
      </c>
    </row>
    <row r="105" spans="1:14">
      <c r="A105" s="3273"/>
      <c r="B105" s="2896">
        <v>4</v>
      </c>
      <c r="C105" s="2897">
        <f>0.9622/C101</f>
        <v>0.10192796610169493</v>
      </c>
      <c r="D105" s="2897">
        <f>0.9622/D101</f>
        <v>0.10192796610169493</v>
      </c>
      <c r="E105" s="2897">
        <f>0.8656/E101</f>
        <v>9.16949152542373E-2</v>
      </c>
      <c r="F105" s="2897">
        <f>0.8656/F101</f>
        <v>9.16949152542373E-2</v>
      </c>
      <c r="G105" s="2897">
        <f>0.8656/G101</f>
        <v>9.16949152542373E-2</v>
      </c>
      <c r="H105" s="2897">
        <f>0.8656/H101</f>
        <v>9.16949152542373E-2</v>
      </c>
      <c r="I105" s="2897">
        <f>0.8656/I101</f>
        <v>9.16949152542373E-2</v>
      </c>
      <c r="J105" s="2897">
        <f>0.7525/J101</f>
        <v>7.9713983050847453E-2</v>
      </c>
      <c r="K105" s="2897">
        <f>0.7525/K101</f>
        <v>7.9713983050847453E-2</v>
      </c>
      <c r="L105" s="2897">
        <f>0.7525/L101</f>
        <v>7.9713983050847453E-2</v>
      </c>
      <c r="M105" s="2897">
        <f>0.7525/M101</f>
        <v>7.9713983050847453E-2</v>
      </c>
      <c r="N105" s="2897">
        <f>0.7525/N101</f>
        <v>7.9713983050847453E-2</v>
      </c>
    </row>
    <row r="106" spans="1:14">
      <c r="A106" s="3273"/>
      <c r="B106" s="2896">
        <v>5</v>
      </c>
      <c r="C106" s="2897">
        <f>0.8417/C101</f>
        <v>8.9163135593220338E-2</v>
      </c>
      <c r="D106" s="2897">
        <f>0.8417/D101</f>
        <v>8.9163135593220338E-2</v>
      </c>
      <c r="E106" s="2897">
        <f>0.7371/E101</f>
        <v>7.8082627118644068E-2</v>
      </c>
      <c r="F106" s="2897">
        <f>0.7371/F101</f>
        <v>7.8082627118644068E-2</v>
      </c>
      <c r="G106" s="2897">
        <f>0.7371/G101</f>
        <v>7.8082627118644068E-2</v>
      </c>
      <c r="H106" s="2897">
        <f>0.7371/H101</f>
        <v>7.8082627118644068E-2</v>
      </c>
      <c r="I106" s="2897">
        <f>0.7371/I101</f>
        <v>7.8082627118644068E-2</v>
      </c>
      <c r="J106" s="2897">
        <f>0.5659/J101</f>
        <v>5.9947033898305087E-2</v>
      </c>
      <c r="K106" s="2897">
        <f>0.5659/K101</f>
        <v>5.9947033898305087E-2</v>
      </c>
      <c r="L106" s="2897">
        <f>0.5659/L101</f>
        <v>5.9947033898305087E-2</v>
      </c>
      <c r="M106" s="2897">
        <f>0.5659/M101</f>
        <v>5.9947033898305087E-2</v>
      </c>
      <c r="N106" s="2897">
        <f>0.5659/N101</f>
        <v>5.9947033898305087E-2</v>
      </c>
    </row>
    <row r="107" spans="1:14">
      <c r="A107" s="3273"/>
      <c r="B107" s="2896">
        <v>6</v>
      </c>
      <c r="C107" s="2897">
        <f>0.7608/C101</f>
        <v>8.0593220338983057E-2</v>
      </c>
      <c r="D107" s="2897">
        <f>0.7608/D101</f>
        <v>8.0593220338983057E-2</v>
      </c>
      <c r="E107" s="2897">
        <f>0.6482/E101</f>
        <v>6.8665254237288142E-2</v>
      </c>
      <c r="F107" s="2897">
        <f>0.6482/F101</f>
        <v>6.8665254237288142E-2</v>
      </c>
      <c r="G107" s="2897">
        <f>0.6482/G101</f>
        <v>6.8665254237288142E-2</v>
      </c>
      <c r="H107" s="2897">
        <f>0.6482/H101</f>
        <v>6.8665254237288142E-2</v>
      </c>
      <c r="I107" s="2897">
        <f>0.6482/I101</f>
        <v>6.8665254237288142E-2</v>
      </c>
      <c r="J107" s="2897">
        <f>0.4525/J101</f>
        <v>4.7934322033898309E-2</v>
      </c>
      <c r="K107" s="2897">
        <f>0.4525/K101</f>
        <v>4.7934322033898309E-2</v>
      </c>
      <c r="L107" s="2897">
        <f>0.4525/L101</f>
        <v>4.7934322033898309E-2</v>
      </c>
      <c r="M107" s="2897">
        <f>0.4525/M101</f>
        <v>4.7934322033898309E-2</v>
      </c>
      <c r="N107" s="2897">
        <f>0.4525/N101</f>
        <v>4.7934322033898309E-2</v>
      </c>
    </row>
    <row r="108" spans="1:14">
      <c r="A108" s="3273"/>
      <c r="B108" s="3097" t="s">
        <v>2974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4"/>
      <c r="B109" s="3098"/>
      <c r="C109" s="2899">
        <f>(-0.163*(C108^2)-0.59*C108+7617)*(10^(-4))/C101</f>
        <v>8.0688559322033906E-2</v>
      </c>
      <c r="D109" s="2899">
        <f>(-0.163*(D108^2)-0.59*D108+7617)*(10^(-4))/D101</f>
        <v>8.0688559322033906E-2</v>
      </c>
      <c r="E109" s="2899">
        <f>(-0.161*(E108^2)-7.509*E108+6533)*(10^(-4))/E101</f>
        <v>6.920550847457628E-2</v>
      </c>
      <c r="F109" s="2899">
        <f>(-0.161*(F108^2)-7.509*F108+6533)*(10^(-4))/F101</f>
        <v>6.920550847457628E-2</v>
      </c>
      <c r="G109" s="2899">
        <f>(-0.161*(G108^2)-7.509*G108+6533)*(10^(-4))/G101</f>
        <v>6.920550847457628E-2</v>
      </c>
      <c r="H109" s="2899">
        <f>(-0.161*(H108^2)-7.509*H108+6533)*(10^(-4))/H101</f>
        <v>6.920550847457628E-2</v>
      </c>
      <c r="I109" s="2899">
        <f>(-0.161*(I108^2)-7.509*I108+6533)*(10^(-4))/I101</f>
        <v>6.920550847457628E-2</v>
      </c>
      <c r="J109" s="2899">
        <f>(-0.214*(J108^2)-21.991*J108+4665)*(10^(-4))/J101</f>
        <v>4.9417372881355941E-2</v>
      </c>
      <c r="K109" s="2899">
        <f>(-0.214*(K108^2)-21.991*K108+4665)*(10^(-4))/K101</f>
        <v>4.9417372881355941E-2</v>
      </c>
      <c r="L109" s="2899">
        <f>(-0.214*(L108^2)-21.991*L108+4665)*(10^(-4))/L101</f>
        <v>4.9417372881355941E-2</v>
      </c>
      <c r="M109" s="2899">
        <f>(-0.214*(M108^2)-21.991*M108+4665)*(10^(-4))/M101</f>
        <v>4.9417372881355941E-2</v>
      </c>
      <c r="N109" s="2899">
        <f>(-0.214*(N108^2)-21.991*N108+4665)*(10^(-4))/N101</f>
        <v>4.9417372881355941E-2</v>
      </c>
    </row>
    <row r="110" spans="1:14">
      <c r="A110" s="3270" t="s">
        <v>2975</v>
      </c>
      <c r="B110" s="3270"/>
      <c r="C110" s="3270"/>
      <c r="D110" s="3270"/>
      <c r="E110" s="3270"/>
      <c r="F110" s="3270"/>
      <c r="G110" s="3270"/>
      <c r="H110" s="3270"/>
      <c r="I110" s="3270"/>
      <c r="J110" s="3270"/>
      <c r="K110" s="2902"/>
      <c r="L110" s="2902"/>
      <c r="M110" s="2902"/>
      <c r="N110" s="2902"/>
    </row>
    <row r="112" spans="1:14" ht="13.5" thickBot="1"/>
    <row r="113" spans="1:13" ht="25.5" thickBot="1">
      <c r="A113" s="903" t="s">
        <v>2976</v>
      </c>
      <c r="B113" s="1290">
        <f>G3</f>
        <v>9.44</v>
      </c>
      <c r="C113" s="904" t="s">
        <v>2977</v>
      </c>
      <c r="D113" s="905">
        <f>SUMPRODUCT((A115:A118=F113)*(B114:M114=H113)*B115:M118)</f>
        <v>0.73399999999999999</v>
      </c>
      <c r="E113" s="2725" t="s">
        <v>2808</v>
      </c>
      <c r="F113" s="2904" t="str">
        <f>E2</f>
        <v>办公</v>
      </c>
      <c r="G113" s="2725" t="s">
        <v>2809</v>
      </c>
      <c r="H113" s="2904" t="str">
        <f>G2</f>
        <v>六级</v>
      </c>
      <c r="I113" s="2725"/>
      <c r="J113" s="2905"/>
      <c r="K113" s="2905"/>
      <c r="L113" s="2905"/>
      <c r="M113" s="2905"/>
    </row>
    <row r="114" spans="1:13">
      <c r="A114" s="908"/>
      <c r="B114" s="2906" t="s">
        <v>2978</v>
      </c>
      <c r="C114" s="2906" t="s">
        <v>2979</v>
      </c>
      <c r="D114" s="2906" t="s">
        <v>2980</v>
      </c>
      <c r="E114" s="2907" t="s">
        <v>2981</v>
      </c>
      <c r="F114" s="2907" t="s">
        <v>2982</v>
      </c>
      <c r="G114" s="2907" t="s">
        <v>2983</v>
      </c>
      <c r="H114" s="2908" t="s">
        <v>2984</v>
      </c>
      <c r="I114" s="2908" t="s">
        <v>2985</v>
      </c>
      <c r="J114" s="2909" t="s">
        <v>2986</v>
      </c>
      <c r="K114" s="2909" t="s">
        <v>2987</v>
      </c>
      <c r="L114" s="2909" t="s">
        <v>2988</v>
      </c>
      <c r="M114" s="2910" t="s">
        <v>2989</v>
      </c>
    </row>
    <row r="115" spans="1:13">
      <c r="A115" s="909" t="s">
        <v>2873</v>
      </c>
      <c r="B115" s="910">
        <f>ROUND(0.9335-0.0094*B113,4)</f>
        <v>0.8448</v>
      </c>
      <c r="C115" s="910">
        <f>B115</f>
        <v>0.8448</v>
      </c>
      <c r="D115" s="910">
        <f>ROUND(0.8331-0.0109*B113,4)</f>
        <v>0.73019999999999996</v>
      </c>
      <c r="E115" s="910">
        <f>D115</f>
        <v>0.73019999999999996</v>
      </c>
      <c r="F115" s="910">
        <f>E115</f>
        <v>0.73019999999999996</v>
      </c>
      <c r="G115" s="910">
        <f>F115</f>
        <v>0.73019999999999996</v>
      </c>
      <c r="H115" s="910">
        <f>G115</f>
        <v>0.73019999999999996</v>
      </c>
      <c r="I115" s="910">
        <f>ROUND(0.689-0.0155*B113,4)</f>
        <v>0.54269999999999996</v>
      </c>
      <c r="J115" s="910">
        <f t="shared" ref="J115:M118" si="33">I115</f>
        <v>0.54269999999999996</v>
      </c>
      <c r="K115" s="910">
        <f t="shared" si="33"/>
        <v>0.54269999999999996</v>
      </c>
      <c r="L115" s="910">
        <f t="shared" si="33"/>
        <v>0.54269999999999996</v>
      </c>
      <c r="M115" s="911">
        <f t="shared" si="33"/>
        <v>0.54269999999999996</v>
      </c>
    </row>
    <row r="116" spans="1:13">
      <c r="A116" s="909" t="s">
        <v>2874</v>
      </c>
      <c r="B116" s="910">
        <f>ROUND(0.949-0.012*B113,4)</f>
        <v>0.8357</v>
      </c>
      <c r="C116" s="910">
        <f>B116</f>
        <v>0.8357</v>
      </c>
      <c r="D116" s="910">
        <f>ROUND(0.8567-0.013*B113,4)</f>
        <v>0.73399999999999999</v>
      </c>
      <c r="E116" s="910">
        <f t="shared" ref="E116:H117" si="34">D116</f>
        <v>0.73399999999999999</v>
      </c>
      <c r="F116" s="910">
        <f t="shared" si="34"/>
        <v>0.73399999999999999</v>
      </c>
      <c r="G116" s="910">
        <f t="shared" si="34"/>
        <v>0.73399999999999999</v>
      </c>
      <c r="H116" s="910">
        <f t="shared" si="34"/>
        <v>0.73399999999999999</v>
      </c>
      <c r="I116" s="910">
        <f>ROUND(0.7694-0.014*B113,4)</f>
        <v>0.63719999999999999</v>
      </c>
      <c r="J116" s="910">
        <f t="shared" si="33"/>
        <v>0.63719999999999999</v>
      </c>
      <c r="K116" s="910">
        <f t="shared" si="33"/>
        <v>0.63719999999999999</v>
      </c>
      <c r="L116" s="910">
        <f t="shared" si="33"/>
        <v>0.63719999999999999</v>
      </c>
      <c r="M116" s="911">
        <f t="shared" si="33"/>
        <v>0.63719999999999999</v>
      </c>
    </row>
    <row r="117" spans="1:13">
      <c r="A117" s="909" t="s">
        <v>2875</v>
      </c>
      <c r="B117" s="910">
        <f>ROUND(0.8808-0.006*B113,4)</f>
        <v>0.82420000000000004</v>
      </c>
      <c r="C117" s="910">
        <f>B117</f>
        <v>0.82420000000000004</v>
      </c>
      <c r="D117" s="910">
        <f>ROUND(0.8748-0.008*B113,4)</f>
        <v>0.79930000000000001</v>
      </c>
      <c r="E117" s="910">
        <f t="shared" si="34"/>
        <v>0.79930000000000001</v>
      </c>
      <c r="F117" s="910">
        <f t="shared" si="34"/>
        <v>0.79930000000000001</v>
      </c>
      <c r="G117" s="910">
        <f t="shared" si="34"/>
        <v>0.79930000000000001</v>
      </c>
      <c r="H117" s="910">
        <f t="shared" si="34"/>
        <v>0.79930000000000001</v>
      </c>
      <c r="I117" s="910">
        <f>ROUND(0.7412-0.0095*B113,4)</f>
        <v>0.65149999999999997</v>
      </c>
      <c r="J117" s="910">
        <f t="shared" si="33"/>
        <v>0.65149999999999997</v>
      </c>
      <c r="K117" s="910">
        <f t="shared" si="33"/>
        <v>0.65149999999999997</v>
      </c>
      <c r="L117" s="910">
        <f t="shared" si="33"/>
        <v>0.65149999999999997</v>
      </c>
      <c r="M117" s="911">
        <f t="shared" si="33"/>
        <v>0.65149999999999997</v>
      </c>
    </row>
    <row r="118" spans="1:13" ht="13.5" thickBot="1">
      <c r="A118" s="714" t="s">
        <v>2876</v>
      </c>
      <c r="B118" s="912">
        <f>ROUND(0.7275-0.01*B113,4)</f>
        <v>0.6331</v>
      </c>
      <c r="C118" s="912">
        <f>B118</f>
        <v>0.6331</v>
      </c>
      <c r="D118" s="912">
        <f>ROUND(0.7043-0.012*B113,4)</f>
        <v>0.59099999999999997</v>
      </c>
      <c r="E118" s="912">
        <f>D118</f>
        <v>0.59099999999999997</v>
      </c>
      <c r="F118" s="912">
        <f>E118</f>
        <v>0.59099999999999997</v>
      </c>
      <c r="G118" s="912">
        <f>ROUND(0.6299-0.0122*B113,4)</f>
        <v>0.51470000000000005</v>
      </c>
      <c r="H118" s="912">
        <f>G118</f>
        <v>0.51470000000000005</v>
      </c>
      <c r="I118" s="912">
        <f>ROUND(0.5667-0.0136*B113,4)</f>
        <v>0.43830000000000002</v>
      </c>
      <c r="J118" s="912">
        <f t="shared" si="33"/>
        <v>0.43830000000000002</v>
      </c>
      <c r="K118" s="912">
        <f t="shared" si="33"/>
        <v>0.43830000000000002</v>
      </c>
      <c r="L118" s="912">
        <f t="shared" si="33"/>
        <v>0.43830000000000002</v>
      </c>
      <c r="M118" s="913">
        <f t="shared" si="33"/>
        <v>0.43830000000000002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0.7349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2998</v>
      </c>
    </row>
    <row r="2" spans="1:5" ht="15.75">
      <c r="A2" s="2911" t="s">
        <v>2990</v>
      </c>
      <c r="B2" s="2912">
        <f ca="1">SUMIF(B6:B13,"&lt;&gt;#ref!",B6:B13)</f>
        <v>0</v>
      </c>
      <c r="C2" s="2911" t="s">
        <v>2991</v>
      </c>
      <c r="D2" s="2911" t="s">
        <v>2992</v>
      </c>
      <c r="E2" s="2912" t="e">
        <f ca="1">SUM(E6:E13)</f>
        <v>#REF!</v>
      </c>
    </row>
    <row r="3" spans="1:5" ht="15.75">
      <c r="A3" s="2911" t="s">
        <v>2993</v>
      </c>
      <c r="B3" s="2912" t="e">
        <f ca="1">ROUND(B2*10000/E2,0)</f>
        <v>#REF!</v>
      </c>
      <c r="C3" s="2911" t="s">
        <v>2999</v>
      </c>
      <c r="D3" s="2913"/>
      <c r="E3" s="2913"/>
    </row>
    <row r="4" spans="1:5" ht="15.75">
      <c r="A4" s="2914"/>
      <c r="B4" s="2913"/>
      <c r="C4" s="2913"/>
      <c r="D4" s="2913"/>
      <c r="E4" s="2913"/>
    </row>
    <row r="5" spans="1:5" ht="28.5">
      <c r="A5" s="2915" t="s">
        <v>2994</v>
      </c>
      <c r="B5" s="2911" t="s">
        <v>2995</v>
      </c>
      <c r="C5" s="2912"/>
      <c r="D5" s="2913"/>
      <c r="E5" s="2911" t="s">
        <v>2996</v>
      </c>
    </row>
    <row r="6" spans="1:5" ht="15.75">
      <c r="A6" s="2916" t="s">
        <v>2997</v>
      </c>
      <c r="B6" s="2912">
        <f ca="1">SUMIF(INDIRECT("'"&amp;A6&amp;"'"&amp;"!A:A"),"总价",INDIRECT("'"&amp;A6&amp;"'"&amp;"!B:B"))</f>
        <v>0</v>
      </c>
      <c r="C6" s="2911" t="s">
        <v>2991</v>
      </c>
      <c r="D6" s="2913"/>
      <c r="E6" s="2576">
        <f ca="1">SUMIF(INDIRECT("'"&amp;A6&amp;"'"&amp;"!C:C"),"建筑面积",INDIRECT("'"&amp;A6&amp;"'"&amp;"!D:D"))</f>
        <v>0</v>
      </c>
    </row>
    <row r="7" spans="1:5" ht="15.75">
      <c r="A7" s="2916"/>
      <c r="B7" s="2912" t="e">
        <f ca="1">SUMIF(INDIRECT("'"&amp;A7&amp;"'"&amp;"!A:A"),"总价",INDIRECT("'"&amp;A7&amp;"'"&amp;"!B:B"))</f>
        <v>#REF!</v>
      </c>
      <c r="C7" s="2911" t="s">
        <v>2991</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2991</v>
      </c>
      <c r="D8" s="2913"/>
      <c r="E8" s="2576" t="e">
        <f t="shared" ca="1" si="0"/>
        <v>#REF!</v>
      </c>
    </row>
    <row r="9" spans="1:5" ht="15.75">
      <c r="A9" s="2916"/>
      <c r="B9" s="2912" t="e">
        <f t="shared" ca="1" si="1"/>
        <v>#REF!</v>
      </c>
      <c r="C9" s="2911" t="s">
        <v>2991</v>
      </c>
      <c r="D9" s="2913"/>
      <c r="E9" s="2576" t="e">
        <f t="shared" ca="1" si="0"/>
        <v>#REF!</v>
      </c>
    </row>
    <row r="10" spans="1:5" ht="15.75">
      <c r="A10" s="2916"/>
      <c r="B10" s="2912" t="e">
        <f t="shared" ca="1" si="1"/>
        <v>#REF!</v>
      </c>
      <c r="C10" s="2911" t="s">
        <v>2991</v>
      </c>
      <c r="D10" s="2913"/>
      <c r="E10" s="2576" t="e">
        <f t="shared" ca="1" si="0"/>
        <v>#REF!</v>
      </c>
    </row>
    <row r="11" spans="1:5" ht="15.75">
      <c r="A11" s="2916"/>
      <c r="B11" s="2912" t="e">
        <f t="shared" ca="1" si="1"/>
        <v>#REF!</v>
      </c>
      <c r="C11" s="2911" t="s">
        <v>2991</v>
      </c>
      <c r="D11" s="2913"/>
      <c r="E11" s="2576" t="e">
        <f t="shared" ca="1" si="0"/>
        <v>#REF!</v>
      </c>
    </row>
    <row r="12" spans="1:5" ht="15.75">
      <c r="A12" s="2916"/>
      <c r="B12" s="2912" t="e">
        <f t="shared" ca="1" si="1"/>
        <v>#REF!</v>
      </c>
      <c r="C12" s="2911" t="s">
        <v>2991</v>
      </c>
      <c r="D12" s="2913"/>
      <c r="E12" s="2576" t="e">
        <f t="shared" ca="1" si="0"/>
        <v>#REF!</v>
      </c>
    </row>
    <row r="13" spans="1:5" ht="15.75">
      <c r="A13" s="2916"/>
      <c r="B13" s="2912" t="e">
        <f t="shared" ca="1" si="1"/>
        <v>#REF!</v>
      </c>
      <c r="C13" s="2911" t="s">
        <v>2991</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3" t="s">
        <v>1150</v>
      </c>
      <c r="C1" s="3293"/>
      <c r="D1" s="3293"/>
      <c r="E1" s="3293"/>
      <c r="F1" s="3293"/>
      <c r="G1" s="3289" t="s">
        <v>1151</v>
      </c>
      <c r="H1" s="3289"/>
      <c r="I1" s="3289"/>
      <c r="J1" s="3289"/>
      <c r="K1" s="3289"/>
      <c r="L1" s="3289"/>
      <c r="N1" s="3289" t="s">
        <v>1152</v>
      </c>
      <c r="O1" s="3289"/>
      <c r="P1" s="3289"/>
      <c r="Q1" s="3289"/>
      <c r="R1" s="1449"/>
      <c r="S1" s="3289" t="s">
        <v>1153</v>
      </c>
      <c r="T1" s="3289"/>
      <c r="U1" s="3289"/>
      <c r="V1" s="3289"/>
      <c r="X1" s="3288" t="s">
        <v>1154</v>
      </c>
      <c r="Y1" s="3289"/>
      <c r="Z1" s="3289"/>
      <c r="AA1" s="3289"/>
      <c r="AB1" s="3289"/>
      <c r="AD1" s="3288" t="s">
        <v>1155</v>
      </c>
      <c r="AE1" s="3289"/>
      <c r="AF1" s="3289"/>
      <c r="AG1" s="3289"/>
      <c r="AH1" s="3289"/>
    </row>
    <row r="2" spans="1:34" s="1450" customFormat="1" ht="14.25" thickBot="1">
      <c r="B2" s="1451" t="s">
        <v>1156</v>
      </c>
      <c r="C2" s="1451" t="s">
        <v>1157</v>
      </c>
      <c r="D2" s="1452" t="s">
        <v>1158</v>
      </c>
      <c r="E2" s="1452" t="s">
        <v>1159</v>
      </c>
      <c r="F2" s="1451" t="s">
        <v>1160</v>
      </c>
      <c r="G2" s="1453"/>
      <c r="H2" s="1454"/>
      <c r="I2" s="1451" t="s">
        <v>1156</v>
      </c>
      <c r="J2" s="1452" t="s">
        <v>1379</v>
      </c>
      <c r="K2" s="1452" t="s">
        <v>751</v>
      </c>
      <c r="L2" s="1451" t="s">
        <v>1160</v>
      </c>
      <c r="N2" s="1451" t="s">
        <v>1156</v>
      </c>
      <c r="O2" s="1452" t="s">
        <v>1379</v>
      </c>
      <c r="P2" s="1452" t="s">
        <v>751</v>
      </c>
      <c r="Q2" s="1451" t="s">
        <v>1160</v>
      </c>
      <c r="R2" s="1455"/>
      <c r="S2" s="1451" t="s">
        <v>1156</v>
      </c>
      <c r="T2" s="1452" t="s">
        <v>1379</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3037</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3036</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2">
        <v>1</v>
      </c>
      <c r="I5" s="2925">
        <v>0</v>
      </c>
      <c r="J5" s="2925">
        <v>0</v>
      </c>
      <c r="K5" s="2925">
        <v>0</v>
      </c>
      <c r="L5" s="2925">
        <v>0</v>
      </c>
      <c r="N5" s="1470">
        <f t="shared" ref="N5:N10" si="7">I5/100</f>
        <v>0</v>
      </c>
      <c r="O5" s="1470">
        <f t="shared" ref="O5" si="8">J5/100</f>
        <v>0</v>
      </c>
      <c r="P5" s="1470">
        <f t="shared" ref="P5" si="9">K5/100</f>
        <v>0</v>
      </c>
      <c r="Q5" s="1470">
        <f t="shared" ref="Q5" si="10">L5/100</f>
        <v>0</v>
      </c>
      <c r="R5" s="1734"/>
      <c r="S5" s="1735"/>
      <c r="T5" s="1734"/>
      <c r="U5" s="1734"/>
      <c r="V5" s="1734"/>
      <c r="W5" s="2929" t="s">
        <v>3038</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3033</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3034</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3" customFormat="1">
      <c r="A8" s="1464" t="s">
        <v>1380</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6"/>
      <c r="AD8" s="1790">
        <f>ROUND(AVERAGE(I8:I$21)/100,4)</f>
        <v>2.46E-2</v>
      </c>
      <c r="AE8" s="1790">
        <f>ROUND(AVERAGE(J8:J$21)/100,4)</f>
        <v>1.6E-2</v>
      </c>
      <c r="AF8" s="1790">
        <f t="shared" si="1"/>
        <v>1.6E-2</v>
      </c>
      <c r="AG8" s="1790">
        <f>ROUND(AVERAGE(K8:K$21)/100,4)</f>
        <v>2.75E-2</v>
      </c>
      <c r="AH8" s="1790">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4" t="s">
        <v>154</v>
      </c>
      <c r="B10" s="1472">
        <v>392</v>
      </c>
      <c r="C10" s="1472">
        <v>302</v>
      </c>
      <c r="D10" s="1472">
        <f>C10</f>
        <v>302</v>
      </c>
      <c r="E10" s="1472">
        <v>553</v>
      </c>
      <c r="F10" s="1473">
        <v>266</v>
      </c>
      <c r="G10" s="329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91"/>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91"/>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92"/>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90">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91"/>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91"/>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92"/>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90">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91"/>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91"/>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92"/>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35"/>
        <v>252</v>
      </c>
      <c r="E22" s="1472">
        <v>409</v>
      </c>
      <c r="F22" s="1473">
        <v>227</v>
      </c>
      <c r="G22" s="329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9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9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9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90">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91"/>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91"/>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92"/>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90">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91">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91">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92">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90">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91">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91">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92">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90">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91">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91">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92">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90">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91">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91">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92">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90">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91">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91">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92">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90">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91">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91">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92">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90">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91">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91">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92">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90">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91">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91">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92">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90">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91">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91">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92">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90">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91">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91">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92">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2"/>
      <c r="B4" s="2981" t="s">
        <v>1625</v>
      </c>
      <c r="C4" s="2981"/>
      <c r="D4" s="2981"/>
      <c r="E4" s="1962"/>
    </row>
    <row r="5" spans="1:5" ht="16.5" thickTop="1">
      <c r="A5" s="1960"/>
      <c r="B5" s="2979" t="s">
        <v>1617</v>
      </c>
      <c r="C5" s="1963" t="s">
        <v>1618</v>
      </c>
      <c r="D5" s="1043">
        <f ca="1">结果表!H101</f>
        <v>278763</v>
      </c>
      <c r="E5" s="1960"/>
    </row>
    <row r="6" spans="1:5" ht="15.75">
      <c r="A6" s="1960"/>
      <c r="B6" s="2979"/>
      <c r="C6" s="1963" t="s">
        <v>1619</v>
      </c>
      <c r="D6" s="1043" t="str">
        <f ca="1">NUMBERSTRING(INT(D5*10000),2)&amp;"元整"</f>
        <v>贰拾柒亿捌仟柒佰陆拾叁万元整</v>
      </c>
      <c r="E6" s="1960"/>
    </row>
    <row r="7" spans="1:5" ht="15.75">
      <c r="A7" s="1960"/>
      <c r="B7" s="2984"/>
      <c r="C7" s="1964" t="s">
        <v>1620</v>
      </c>
      <c r="D7" s="1044">
        <f ca="1">结果表!H102</f>
        <v>23467</v>
      </c>
      <c r="E7" s="1960"/>
    </row>
    <row r="8" spans="1:5" ht="15.75">
      <c r="A8" s="1960"/>
      <c r="B8" s="2985" t="str">
        <f>结果表!E103</f>
        <v>2.估价师知悉的法定优先受偿款</v>
      </c>
      <c r="C8" s="1965" t="s">
        <v>1621</v>
      </c>
      <c r="D8" s="1044">
        <f>结果表!H103</f>
        <v>0</v>
      </c>
      <c r="E8" s="1960"/>
    </row>
    <row r="9" spans="1:5" ht="15.75">
      <c r="A9" s="1960"/>
      <c r="B9" s="2987"/>
      <c r="C9" s="1963" t="s">
        <v>1619</v>
      </c>
      <c r="D9" s="1043" t="str">
        <f>NUMBERSTRING(INT(D8*10000),2)&amp;"元整"</f>
        <v>零元整</v>
      </c>
      <c r="E9" s="1960"/>
    </row>
    <row r="10" spans="1:5" ht="15">
      <c r="A10" s="1960"/>
      <c r="B10" s="1966" t="s">
        <v>1624</v>
      </c>
      <c r="C10" s="1967" t="s">
        <v>1622</v>
      </c>
      <c r="D10" s="1045">
        <f>结果表!H104</f>
        <v>0</v>
      </c>
      <c r="E10" s="1960"/>
    </row>
    <row r="11" spans="1:5" ht="15">
      <c r="A11" s="1960"/>
      <c r="B11" s="1966" t="s">
        <v>1626</v>
      </c>
      <c r="C11" s="1967" t="s">
        <v>1627</v>
      </c>
      <c r="D11" s="1045">
        <f>结果表!H105</f>
        <v>0</v>
      </c>
      <c r="E11" s="1960"/>
    </row>
    <row r="12" spans="1:5" ht="15">
      <c r="A12" s="1960"/>
      <c r="B12" s="1966" t="s">
        <v>1628</v>
      </c>
      <c r="C12" s="1967" t="s">
        <v>1627</v>
      </c>
      <c r="D12" s="1045">
        <f>结果表!H106</f>
        <v>0</v>
      </c>
      <c r="E12" s="1960"/>
    </row>
    <row r="13" spans="1:5" ht="15.75">
      <c r="A13" s="1960"/>
      <c r="B13" s="2978" t="str">
        <f>结果表!E107</f>
        <v>3.房地产抵押价值</v>
      </c>
      <c r="C13" s="1968" t="s">
        <v>1618</v>
      </c>
      <c r="D13" s="1046">
        <f ca="1">结果表!H107</f>
        <v>278763</v>
      </c>
      <c r="E13" s="1960"/>
    </row>
    <row r="14" spans="1:5" ht="15.75">
      <c r="A14" s="1960"/>
      <c r="B14" s="2979"/>
      <c r="C14" s="1963" t="s">
        <v>1619</v>
      </c>
      <c r="D14" s="1043" t="str">
        <f ca="1">NUMBERSTRING(INT(D13*10000),2)&amp;"元整"</f>
        <v>贰拾柒亿捌仟柒佰陆拾叁万元整</v>
      </c>
      <c r="E14" s="1960"/>
    </row>
    <row r="15" spans="1:5" ht="15">
      <c r="A15" s="1960"/>
      <c r="B15" s="2984"/>
      <c r="C15" s="1964" t="s">
        <v>1629</v>
      </c>
      <c r="D15" s="1055">
        <f ca="1">结果表!H108</f>
        <v>23467</v>
      </c>
      <c r="E15" s="1960"/>
    </row>
    <row r="16" spans="1:5" ht="15">
      <c r="A16" s="1960"/>
      <c r="B16" s="2985" t="str">
        <f>结果表!E109</f>
        <v>——</v>
      </c>
      <c r="C16" s="1968" t="s">
        <v>1630</v>
      </c>
      <c r="D16" s="1969" t="str">
        <f>结果表!H109</f>
        <v>——</v>
      </c>
      <c r="E16" s="1960"/>
    </row>
    <row r="17" spans="1:5" ht="15.75">
      <c r="A17" s="1960"/>
      <c r="B17" s="2986"/>
      <c r="C17" s="1963" t="s">
        <v>1631</v>
      </c>
      <c r="D17" s="1043" t="e">
        <f>NUMBERSTRING(INT(D16*10000),2)&amp;"元整"</f>
        <v>#VALUE!</v>
      </c>
      <c r="E17" s="1960"/>
    </row>
    <row r="18" spans="1:5" ht="15">
      <c r="A18" s="1960"/>
      <c r="B18" s="2987"/>
      <c r="C18" s="1964" t="s">
        <v>1620</v>
      </c>
      <c r="D18" s="1055" t="str">
        <f>结果表!H110</f>
        <v>——</v>
      </c>
      <c r="E18" s="1960"/>
    </row>
    <row r="19" spans="1:5" ht="15.75">
      <c r="A19" s="1960"/>
      <c r="B19" s="2978" t="str">
        <f>结果表!E111</f>
        <v>——</v>
      </c>
      <c r="C19" s="1968" t="s">
        <v>1618</v>
      </c>
      <c r="D19" s="1044" t="str">
        <f>结果表!H111</f>
        <v>——</v>
      </c>
      <c r="E19" s="1960"/>
    </row>
    <row r="20" spans="1:5" ht="15.75">
      <c r="A20" s="1960"/>
      <c r="B20" s="2979"/>
      <c r="C20" s="1963" t="s">
        <v>1631</v>
      </c>
      <c r="D20" s="1043" t="e">
        <f>NUMBERSTRING(INT(D19*10000),2)&amp;"元整"</f>
        <v>#VALUE!</v>
      </c>
      <c r="E20" s="1960"/>
    </row>
    <row r="21" spans="1:5" ht="15.75" thickBot="1">
      <c r="A21" s="1960"/>
      <c r="B21" s="2980"/>
      <c r="C21" s="1970" t="s">
        <v>1629</v>
      </c>
      <c r="D21" s="1056"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99" t="s">
        <v>3001</v>
      </c>
      <c r="D1" s="3300"/>
      <c r="E1" s="3300"/>
      <c r="F1" s="3300"/>
      <c r="G1" s="3300"/>
      <c r="H1" s="3300"/>
      <c r="I1" s="3300"/>
      <c r="J1" s="3300"/>
      <c r="K1" s="3300"/>
      <c r="L1" s="3300"/>
      <c r="M1" s="3300"/>
      <c r="N1" s="3300"/>
      <c r="O1" s="3300"/>
      <c r="P1" s="3300"/>
      <c r="Q1" s="3300"/>
      <c r="R1" s="3300"/>
      <c r="S1" s="3301"/>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3010</v>
      </c>
      <c r="B17" s="2918"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3012</v>
      </c>
      <c r="E19" s="1793"/>
      <c r="F19" s="1793"/>
      <c r="G19" s="1793"/>
      <c r="H19" s="1283"/>
      <c r="I19" s="168"/>
      <c r="J19" s="168"/>
      <c r="K19" s="168"/>
      <c r="L19" s="168"/>
      <c r="M19" s="168"/>
      <c r="N19" s="168"/>
      <c r="O19" s="168"/>
      <c r="P19" s="168"/>
      <c r="Q19" s="168"/>
      <c r="R19" s="788"/>
      <c r="S19" s="138"/>
    </row>
    <row r="20" spans="1:45" ht="16.5" thickBot="1">
      <c r="A20" s="715" t="s">
        <v>3013</v>
      </c>
      <c r="B20" s="338" t="e">
        <f ca="1">IF(D20="——",S22,S22-F20)</f>
        <v>#REF!</v>
      </c>
      <c r="C20" s="168"/>
      <c r="D20" s="2920" t="s">
        <v>3014</v>
      </c>
      <c r="E20" s="1794"/>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8" t="s">
        <v>33</v>
      </c>
      <c r="D22" s="3079"/>
      <c r="E22" s="3079"/>
      <c r="F22" s="3079"/>
      <c r="G22" s="3079"/>
      <c r="H22" s="3079"/>
      <c r="I22" s="3079"/>
      <c r="J22" s="3079"/>
      <c r="K22" s="3079"/>
      <c r="L22" s="3079"/>
      <c r="M22" s="3079"/>
      <c r="N22" s="3079"/>
      <c r="O22" s="3079"/>
      <c r="P22" s="3079"/>
      <c r="Q22" s="3298"/>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31633</v>
      </c>
      <c r="C2" s="2" t="s">
        <v>133</v>
      </c>
      <c r="D2" s="243"/>
      <c r="E2" s="243"/>
      <c r="F2" s="243"/>
      <c r="G2" s="243"/>
    </row>
    <row r="3" spans="1:7" s="244" customFormat="1" ht="18" customHeight="1" thickBot="1">
      <c r="A3" s="247" t="s">
        <v>85</v>
      </c>
      <c r="B3" s="248">
        <f ca="1">ROUND(B2*10000/'数据-汇总表'!E3,0)</f>
        <v>2663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2376</v>
      </c>
      <c r="D10" s="1035">
        <f>'数据-汇总表'!E6</f>
        <v>118787.11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2376</v>
      </c>
      <c r="D19" s="1039">
        <f>'数据-汇总表'!E3</f>
        <v>118787.11</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545</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56</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860</v>
      </c>
      <c r="D27" s="279">
        <f>C29</f>
        <v>6.9999999999999999E-4</v>
      </c>
      <c r="E27" s="280" t="s">
        <v>126</v>
      </c>
      <c r="F27" s="290">
        <f>'数据-取费表'!Q16</f>
        <v>0.22</v>
      </c>
      <c r="G27" s="291" t="s">
        <v>1069</v>
      </c>
    </row>
    <row r="28" spans="1:7" s="258" customFormat="1" ht="13.5" customHeight="1">
      <c r="A28" s="954" t="s">
        <v>794</v>
      </c>
      <c r="B28" s="292" t="s">
        <v>1062</v>
      </c>
      <c r="C28" s="293">
        <f>ROUND((C5+C19+C20)*F27*'数据-取费表'!B21/'数据-取费表'!B20,0)</f>
        <v>860</v>
      </c>
      <c r="D28" s="279"/>
      <c r="E28" s="280"/>
      <c r="F28" s="290"/>
      <c r="G28" s="291"/>
    </row>
    <row r="29" spans="1:7" s="258" customFormat="1" ht="13.5" customHeight="1">
      <c r="A29" s="954" t="s">
        <v>792</v>
      </c>
      <c r="B29" s="292" t="s">
        <v>1063</v>
      </c>
      <c r="C29" s="282">
        <f>ROUND(C21*F27*'数据-取费表'!B21/'数据-取费表'!B20,4)</f>
        <v>6.9999999999999999E-4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26816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3539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3159</v>
      </c>
      <c r="D34" s="261"/>
      <c r="E34" s="264"/>
      <c r="F34" s="301">
        <f>IF('数据-取费表'!B24=0,1,'数据-取费表'!N16)</f>
        <v>0.1</v>
      </c>
      <c r="G34" s="263" t="s">
        <v>116</v>
      </c>
    </row>
    <row r="35" spans="1:7" ht="13.5" customHeight="1">
      <c r="A35" s="954" t="s">
        <v>796</v>
      </c>
      <c r="B35" s="259" t="s">
        <v>60</v>
      </c>
      <c r="C35" s="264">
        <f>ROUND(C34*F35,0)</f>
        <v>95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238</v>
      </c>
      <c r="D37" s="261">
        <f>'数据-汇总表'!E3</f>
        <v>118787.11</v>
      </c>
      <c r="E37" s="293">
        <f>'数据-取费表'!B35</f>
        <v>200</v>
      </c>
      <c r="F37" s="303"/>
      <c r="G37" s="305" t="s">
        <v>119</v>
      </c>
    </row>
    <row r="38" spans="1:7" ht="13.5" customHeight="1">
      <c r="A38" s="954" t="s">
        <v>799</v>
      </c>
      <c r="B38" s="259" t="s">
        <v>63</v>
      </c>
      <c r="C38" s="264">
        <f>ROUND(C34*F38,0)</f>
        <v>47</v>
      </c>
      <c r="D38" s="264"/>
      <c r="E38" s="264"/>
      <c r="F38" s="303">
        <f>'数据-取费表'!B36</f>
        <v>1.4999999999999999E-2</v>
      </c>
      <c r="G38" s="263" t="s">
        <v>117</v>
      </c>
    </row>
    <row r="39" spans="1:7" s="258" customFormat="1" ht="13.5" customHeight="1">
      <c r="A39" s="951" t="s">
        <v>783</v>
      </c>
      <c r="B39" s="254" t="s">
        <v>104</v>
      </c>
      <c r="C39" s="276">
        <f>ROUND(C33*F20,0)</f>
        <v>71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41</v>
      </c>
      <c r="D42" s="282"/>
      <c r="E42" s="282"/>
      <c r="F42" s="283"/>
      <c r="G42" s="3163" t="s">
        <v>121</v>
      </c>
    </row>
    <row r="43" spans="1:7" ht="13.5" customHeight="1">
      <c r="A43" s="954" t="s">
        <v>792</v>
      </c>
      <c r="B43" s="259" t="s">
        <v>1064</v>
      </c>
      <c r="C43" s="282">
        <f ca="1">ROUND(IF('数据-取费表'!B22&lt;=1,C39*F22*'数据-取费表'!B21/2,C39*(POWER((1+F22),'数据-取费表'!B21/2)-1)),0)</f>
        <v>1</v>
      </c>
      <c r="D43" s="282"/>
      <c r="E43" s="282"/>
      <c r="F43" s="283"/>
      <c r="G43" s="3164"/>
    </row>
    <row r="44" spans="1:7" ht="13.5" customHeight="1">
      <c r="A44" s="954" t="s">
        <v>793</v>
      </c>
      <c r="B44" s="259" t="s">
        <v>1066</v>
      </c>
      <c r="C44" s="282">
        <f ca="1">ROUND(IF('数据-取费表'!B22&lt;=1,C40*F22*'数据-取费表'!B21/2,C40*(POWER((1+F22),'数据-取费表'!B21/2)-1)),4)</f>
        <v>2.0000000000000001E-4</v>
      </c>
      <c r="D44" s="282"/>
      <c r="E44" s="282"/>
      <c r="F44" s="283"/>
      <c r="G44" s="3165"/>
    </row>
    <row r="45" spans="1:7" s="258" customFormat="1" ht="13.5" customHeight="1">
      <c r="A45" s="951" t="s">
        <v>786</v>
      </c>
      <c r="B45" s="288" t="s">
        <v>112</v>
      </c>
      <c r="C45" s="289">
        <f>C46</f>
        <v>794</v>
      </c>
      <c r="D45" s="279">
        <f>C47</f>
        <v>4.4000000000000003E-3</v>
      </c>
      <c r="E45" s="280" t="s">
        <v>129</v>
      </c>
      <c r="F45" s="290"/>
      <c r="G45" s="291" t="s">
        <v>1072</v>
      </c>
    </row>
    <row r="46" spans="1:7" s="258" customFormat="1" ht="13.5" customHeight="1">
      <c r="A46" s="954" t="s">
        <v>794</v>
      </c>
      <c r="B46" s="292" t="s">
        <v>1065</v>
      </c>
      <c r="C46" s="293">
        <f>ROUND((C33+C39)*F27,0)</f>
        <v>794</v>
      </c>
      <c r="D46" s="307"/>
      <c r="E46" s="280"/>
      <c r="F46" s="290"/>
      <c r="G46" s="291"/>
    </row>
    <row r="47" spans="1:7" s="258" customFormat="1" ht="13.5" customHeight="1">
      <c r="A47" s="954" t="s">
        <v>792</v>
      </c>
      <c r="B47" s="292" t="s">
        <v>1067</v>
      </c>
      <c r="C47" s="282">
        <f>ROUND(C40*F27,4)</f>
        <v>4.4000000000000003E-3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4817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4817</v>
      </c>
      <c r="D51" s="276"/>
      <c r="E51" s="276"/>
      <c r="F51" s="308"/>
      <c r="G51" s="278" t="s">
        <v>64</v>
      </c>
    </row>
    <row r="52" spans="1:7" s="252" customFormat="1" ht="16.5" thickBot="1">
      <c r="A52" s="309" t="s">
        <v>65</v>
      </c>
      <c r="B52" s="310"/>
      <c r="C52" s="311">
        <f ca="1">C31+C51</f>
        <v>31633</v>
      </c>
      <c r="D52" s="310"/>
      <c r="E52" s="310"/>
      <c r="F52" s="310"/>
      <c r="G52" s="312"/>
    </row>
    <row r="55" spans="1:7" ht="15">
      <c r="B55" s="314" t="s">
        <v>66</v>
      </c>
      <c r="C55" s="315"/>
    </row>
    <row r="56" spans="1:7">
      <c r="B56" s="317" t="s">
        <v>67</v>
      </c>
      <c r="C56" s="318">
        <f ca="1">ROUND(C51/C52,3)</f>
        <v>0.152</v>
      </c>
    </row>
    <row r="57" spans="1:7">
      <c r="B57" s="317" t="s">
        <v>68</v>
      </c>
      <c r="C57" s="319">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871</v>
      </c>
      <c r="B1" s="33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43142</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1366</v>
      </c>
      <c r="E1" s="1777" t="s">
        <v>1370</v>
      </c>
      <c r="F1" s="1778" t="s">
        <v>1374</v>
      </c>
    </row>
    <row r="2" spans="1:13" ht="20.25">
      <c r="A2" s="1784" t="s">
        <v>1367</v>
      </c>
    </row>
    <row r="3" spans="1:13" ht="16.5">
      <c r="A3" s="1785" t="s">
        <v>1368</v>
      </c>
    </row>
    <row r="4" spans="1:13" ht="14.25">
      <c r="A4" s="1775" t="s">
        <v>1369</v>
      </c>
      <c r="B4" s="1780" t="s">
        <v>1371</v>
      </c>
      <c r="C4" s="1781"/>
      <c r="D4" s="1782"/>
      <c r="E4" s="1780" t="s">
        <v>27</v>
      </c>
      <c r="F4" s="1781"/>
      <c r="G4" s="1782"/>
      <c r="H4" s="1780" t="s">
        <v>1372</v>
      </c>
      <c r="I4" s="1781"/>
      <c r="J4" s="1782"/>
      <c r="K4" s="1780" t="s">
        <v>6</v>
      </c>
      <c r="L4" s="1781"/>
      <c r="M4" s="1782"/>
    </row>
    <row r="5" spans="1:13" ht="14.25">
      <c r="A5" s="1776" t="s">
        <v>1373</v>
      </c>
      <c r="B5" s="1775" t="s">
        <v>1375</v>
      </c>
      <c r="C5" s="1775" t="s">
        <v>1376</v>
      </c>
      <c r="D5" s="1775" t="s">
        <v>1377</v>
      </c>
      <c r="E5" s="1775" t="s">
        <v>1375</v>
      </c>
      <c r="F5" s="1775" t="s">
        <v>1376</v>
      </c>
      <c r="G5" s="1775" t="s">
        <v>1377</v>
      </c>
      <c r="H5" s="1775" t="s">
        <v>1375</v>
      </c>
      <c r="I5" s="1775" t="s">
        <v>1376</v>
      </c>
      <c r="J5" s="1775" t="s">
        <v>1377</v>
      </c>
      <c r="K5" s="1775" t="s">
        <v>1375</v>
      </c>
      <c r="L5" s="1775" t="s">
        <v>1376</v>
      </c>
      <c r="M5" s="1775" t="s">
        <v>1377</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3065</v>
      </c>
      <c r="D1" s="1821" t="s">
        <v>3163</v>
      </c>
      <c r="E1" s="1822" t="s">
        <v>1381</v>
      </c>
      <c r="F1" s="1286">
        <f ca="1">J53</f>
        <v>30.6</v>
      </c>
      <c r="G1" s="183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16505</v>
      </c>
      <c r="C2" s="1846" t="s">
        <v>1511</v>
      </c>
      <c r="D2" s="1846"/>
      <c r="E2" s="1847"/>
      <c r="F2" s="1848"/>
      <c r="G2" s="1849"/>
      <c r="H2" s="1841"/>
      <c r="I2" s="1841"/>
      <c r="J2" s="1841"/>
      <c r="K2" s="1842"/>
      <c r="L2" s="1841"/>
      <c r="M2" s="1841"/>
    </row>
    <row r="3" spans="1:37" ht="18" customHeight="1" thickBot="1">
      <c r="A3" s="1850" t="s">
        <v>1512</v>
      </c>
      <c r="B3" s="1851">
        <f ca="1">IF(ISERROR(B2*10000/F43),0,ROUND(B2*10000/F43,0))</f>
        <v>27677</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980</v>
      </c>
      <c r="D5" s="1823" t="s">
        <v>1396</v>
      </c>
      <c r="E5" s="1296"/>
      <c r="F5" s="1297"/>
      <c r="G5" s="1852"/>
      <c r="H5" s="344">
        <v>1</v>
      </c>
      <c r="I5" s="345" t="s">
        <v>1395</v>
      </c>
      <c r="J5" s="1295">
        <f ca="1">J6+J10+J12</f>
        <v>0</v>
      </c>
      <c r="K5" s="1823" t="s">
        <v>1396</v>
      </c>
      <c r="L5" s="1296"/>
      <c r="M5" s="1297"/>
    </row>
    <row r="6" spans="1:37" ht="18" customHeight="1">
      <c r="A6" s="1294" t="s">
        <v>1035</v>
      </c>
      <c r="B6" s="3239" t="s">
        <v>1397</v>
      </c>
      <c r="C6" s="1299">
        <f ca="1">ROUND(F6*F8*F7*(1-F9)/10000,0)</f>
        <v>979</v>
      </c>
      <c r="D6" s="164" t="s">
        <v>3029</v>
      </c>
      <c r="E6" s="347" t="s">
        <v>1399</v>
      </c>
      <c r="F6" s="348">
        <f ca="1">INDIRECT("'数据-取费表'!u"&amp;$G$1)</f>
        <v>5</v>
      </c>
      <c r="G6" s="1852"/>
      <c r="H6" s="1294" t="s">
        <v>1035</v>
      </c>
      <c r="I6" s="3239" t="s">
        <v>1397</v>
      </c>
      <c r="J6" s="346">
        <f ca="1">ROUND(M6*M8*M7*(1-M9)/10000,0)</f>
        <v>0</v>
      </c>
      <c r="K6" s="164" t="s">
        <v>3028</v>
      </c>
      <c r="L6" s="347" t="s">
        <v>1399</v>
      </c>
      <c r="M6" s="348">
        <f ca="1">INDIRECT("'数据-取费表'!z"&amp;$G$1)</f>
        <v>0</v>
      </c>
    </row>
    <row r="7" spans="1:37" ht="18" customHeight="1">
      <c r="A7" s="1298"/>
      <c r="B7" s="3240"/>
      <c r="C7" s="1300"/>
      <c r="D7" s="352"/>
      <c r="E7" s="2948" t="s">
        <v>1400</v>
      </c>
      <c r="F7" s="348">
        <f ca="1">IF(INDIRECT("'数据-取费表'!ah"&amp;$G$1)="",INDIRECT("'数据-取费表'!k"&amp;$G$1),INDIRECT("'数据-取费表'!ah"&amp;$G$1))</f>
        <v>5963.33</v>
      </c>
      <c r="G7" s="1852"/>
      <c r="H7" s="349"/>
      <c r="I7" s="3240"/>
      <c r="J7" s="351"/>
      <c r="K7" s="352"/>
      <c r="L7" s="347" t="s">
        <v>1400</v>
      </c>
      <c r="M7" s="348">
        <f ca="1">F7</f>
        <v>5963.33</v>
      </c>
    </row>
    <row r="8" spans="1:37" ht="18" customHeight="1">
      <c r="A8" s="349"/>
      <c r="B8" s="3240"/>
      <c r="C8" s="351"/>
      <c r="D8" s="352"/>
      <c r="E8" s="347" t="s">
        <v>1401</v>
      </c>
      <c r="F8" s="348">
        <f ca="1">INDIRECT("'数据-取费表'!ai"&amp;$G$1)</f>
        <v>365</v>
      </c>
      <c r="G8" s="1852"/>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52"/>
      <c r="H9" s="349"/>
      <c r="I9" s="3241"/>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1</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2865</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1751</v>
      </c>
      <c r="D14" s="2942" t="s">
        <v>1413</v>
      </c>
      <c r="E14" s="2940"/>
      <c r="F14" s="364"/>
      <c r="G14" s="1852"/>
      <c r="H14" s="1204" t="s">
        <v>1035</v>
      </c>
      <c r="I14" s="347" t="s">
        <v>1414</v>
      </c>
      <c r="J14" s="24">
        <f ca="1">C29</f>
        <v>2865</v>
      </c>
      <c r="K14" s="2947"/>
      <c r="L14" s="982"/>
      <c r="M14" s="983"/>
    </row>
    <row r="15" spans="1:37" s="1859" customFormat="1" ht="18" customHeight="1" thickBot="1">
      <c r="A15" s="1204" t="s">
        <v>1036</v>
      </c>
      <c r="B15" s="347" t="s">
        <v>1415</v>
      </c>
      <c r="C15" s="24">
        <f ca="1">ROUND(C14*F15,0)</f>
        <v>53</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67</v>
      </c>
      <c r="K16" s="1340" t="s">
        <v>1420</v>
      </c>
      <c r="L16" s="2943"/>
      <c r="M16" s="1297"/>
    </row>
    <row r="17" spans="1:37" s="1859" customFormat="1" ht="18" customHeight="1">
      <c r="A17" s="1204" t="s">
        <v>1384</v>
      </c>
      <c r="B17" s="347" t="s">
        <v>1421</v>
      </c>
      <c r="C17" s="24">
        <f ca="1">ROUND(F17*(F43+INDIRECT("'数据-取费表'!S"&amp;$G$1))/10000,0)</f>
        <v>127</v>
      </c>
      <c r="D17" s="347" t="s">
        <v>1422</v>
      </c>
      <c r="E17" s="347" t="s">
        <v>1423</v>
      </c>
      <c r="F17" s="26">
        <f>'数据-取费表'!B35</f>
        <v>200</v>
      </c>
      <c r="G17" s="1855"/>
      <c r="H17" s="1204" t="s">
        <v>1035</v>
      </c>
      <c r="I17" s="347" t="s">
        <v>1424</v>
      </c>
      <c r="J17" s="24">
        <f ca="1">ROUND(IF(项目基本情况!B11="自然人",J5*M17,J18+J19+J20),1)</f>
        <v>24.1</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26</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1957</v>
      </c>
      <c r="D19" s="140" t="s">
        <v>1431</v>
      </c>
      <c r="E19" s="2946"/>
      <c r="F19" s="26"/>
      <c r="G19" s="1852"/>
      <c r="H19" s="1204" t="s">
        <v>1036</v>
      </c>
      <c r="I19" s="347" t="s">
        <v>1432</v>
      </c>
      <c r="J19" s="24">
        <f ca="1">IF(K19="按租金收入计税",ROUND(J5*M19,2),ROUND(C29*M19*0.7,2))</f>
        <v>24.07</v>
      </c>
      <c r="K19" s="1829" t="s">
        <v>1433</v>
      </c>
      <c r="L19" s="347" t="s">
        <v>1417</v>
      </c>
      <c r="M19" s="367">
        <f>IF(K19="按租金收入计税",'数据-取费表'!B51,'数据-取费表'!B50)</f>
        <v>1.2E-2</v>
      </c>
    </row>
    <row r="20" spans="1:37" s="1859" customFormat="1" ht="18" customHeight="1">
      <c r="A20" s="1204" t="s">
        <v>1039</v>
      </c>
      <c r="B20" s="347" t="s">
        <v>1434</v>
      </c>
      <c r="C20" s="24">
        <f ca="1">ROUND(C19*F20,0)</f>
        <v>39</v>
      </c>
      <c r="D20" s="369" t="s">
        <v>1435</v>
      </c>
      <c r="E20" s="347" t="s">
        <v>1417</v>
      </c>
      <c r="F20" s="367">
        <f>'数据-取费表'!B37</f>
        <v>0.02</v>
      </c>
      <c r="G20" s="1855"/>
      <c r="H20" s="1204" t="s">
        <v>1383</v>
      </c>
      <c r="I20" s="164" t="s">
        <v>1436</v>
      </c>
      <c r="J20" s="25">
        <f ca="1">ROUND(M20*M21/10000,2)</f>
        <v>7.0000000000000007E-2</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476.93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43</v>
      </c>
      <c r="K22" s="2941"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144</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-67</v>
      </c>
      <c r="K25" s="1348" t="s">
        <v>1459</v>
      </c>
      <c r="L25" s="1349"/>
      <c r="M25" s="1350"/>
    </row>
    <row r="26" spans="1:37">
      <c r="A26" s="1204" t="s">
        <v>1034</v>
      </c>
      <c r="B26" s="347" t="s">
        <v>1460</v>
      </c>
      <c r="C26" s="24">
        <f ca="1">ROUND((C19+C20)*F26,0)</f>
        <v>499</v>
      </c>
      <c r="D26" s="369" t="s">
        <v>1461</v>
      </c>
      <c r="E26" s="358" t="s">
        <v>1462</v>
      </c>
      <c r="F26" s="357">
        <f ca="1">INDIRECT("'数据-取费表'!q"&amp;$G$1)</f>
        <v>0.25</v>
      </c>
      <c r="G26" s="1852"/>
      <c r="H26" s="344" t="s">
        <v>1032</v>
      </c>
      <c r="I26" s="345" t="s">
        <v>1463</v>
      </c>
      <c r="J26" s="346">
        <f ca="1">IF(J5&lt;&gt;0,ROUND(J25*(1-((1+M28)/(1+M26))^M27)/(M26-M28),0),0)</f>
        <v>0</v>
      </c>
      <c r="K26" s="370" t="s">
        <v>1464</v>
      </c>
      <c r="L26" s="347" t="s">
        <v>1465</v>
      </c>
      <c r="M26" s="357">
        <f ca="1">INDIRECT("'数据-取费表'!I"&amp;$G$1)</f>
        <v>0.06</v>
      </c>
    </row>
    <row r="27" spans="1:37" ht="18" customHeight="1">
      <c r="A27" s="1204" t="s">
        <v>1036</v>
      </c>
      <c r="B27" s="347" t="s">
        <v>1466</v>
      </c>
      <c r="C27" s="24">
        <f ca="1">ROUND(F21*F26,4)</f>
        <v>5.0000000000000001E-3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2865</v>
      </c>
      <c r="D29" s="1345"/>
      <c r="E29" s="1343"/>
      <c r="F29" s="1346"/>
      <c r="G29" s="1855"/>
      <c r="H29" s="380" t="s">
        <v>1033</v>
      </c>
      <c r="I29" s="381" t="s">
        <v>1474</v>
      </c>
      <c r="J29" s="382">
        <f ca="1">ROUND(J26/(1+F40)^F41,0)</f>
        <v>0</v>
      </c>
      <c r="K29" s="383" t="s">
        <v>1475</v>
      </c>
      <c r="L29" s="384"/>
      <c r="M29" s="385">
        <f ca="1">INDIRECT("'数据-取费表'!k"&amp;$G$1)</f>
        <v>5963.33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133</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75.5</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51.33</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24.07</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7.0000000000000007E-2</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476.93</v>
      </c>
      <c r="G35" s="1852"/>
      <c r="H35" s="745"/>
      <c r="I35" s="1861"/>
      <c r="J35" s="1862"/>
      <c r="K35" s="1863"/>
      <c r="L35" s="1860"/>
      <c r="M35" s="1860"/>
    </row>
    <row r="36" spans="1:18" ht="18" customHeight="1">
      <c r="A36" s="1355" t="s">
        <v>1039</v>
      </c>
      <c r="B36" s="347" t="s">
        <v>1444</v>
      </c>
      <c r="C36" s="24">
        <f ca="1">ROUND(C29*F36,1)</f>
        <v>43</v>
      </c>
      <c r="D36" s="2941"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4.3</v>
      </c>
      <c r="D37" s="2941" t="s">
        <v>1449</v>
      </c>
      <c r="E37" s="347" t="s">
        <v>1417</v>
      </c>
      <c r="F37" s="376">
        <f ca="1">INDIRECT("'数据-取费表'!Al"&amp;$G$1)</f>
        <v>1.5E-3</v>
      </c>
      <c r="G37" s="1852"/>
      <c r="H37" s="1860"/>
      <c r="I37" s="1861"/>
      <c r="J37" s="1862"/>
      <c r="K37" s="751"/>
      <c r="L37" s="1860"/>
      <c r="M37" s="1860"/>
    </row>
    <row r="38" spans="1:18" ht="18" customHeight="1" thickBot="1">
      <c r="A38" s="1342" t="s">
        <v>1386</v>
      </c>
      <c r="B38" s="1343" t="s">
        <v>1434</v>
      </c>
      <c r="C38" s="1344">
        <f ca="1">ROUND(C5*F38,1)</f>
        <v>9.8000000000000007</v>
      </c>
      <c r="D38" s="1345" t="s">
        <v>1454</v>
      </c>
      <c r="E38" s="1343" t="s">
        <v>1417</v>
      </c>
      <c r="F38" s="1339">
        <f ca="1">INDIRECT("'数据-取费表'!Am"&amp;$G$1)</f>
        <v>0.01</v>
      </c>
      <c r="G38" s="1852"/>
      <c r="H38" s="1860"/>
      <c r="I38" s="1861"/>
      <c r="J38" s="1862"/>
      <c r="K38" s="1866"/>
      <c r="L38" s="1860"/>
      <c r="M38" s="1860"/>
    </row>
    <row r="39" spans="1:18" ht="24.6" customHeight="1" thickTop="1">
      <c r="A39" s="1332" t="s">
        <v>1031</v>
      </c>
      <c r="B39" s="1347" t="s">
        <v>1458</v>
      </c>
      <c r="C39" s="355">
        <f ca="1">C5-C30</f>
        <v>847</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16505</v>
      </c>
      <c r="D40" s="370" t="s">
        <v>1464</v>
      </c>
      <c r="E40" s="347" t="s">
        <v>1465</v>
      </c>
      <c r="F40" s="357">
        <f ca="1">INDIRECT("'数据-取费表'!I"&amp;$G$1)</f>
        <v>0.06</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30.6</v>
      </c>
      <c r="G41" s="1852"/>
      <c r="H41" s="732"/>
      <c r="I41" s="1861"/>
      <c r="J41" s="1862"/>
      <c r="K41" s="751"/>
      <c r="L41" s="732"/>
      <c r="M41" s="732"/>
    </row>
    <row r="42" spans="1:18" ht="18" customHeight="1">
      <c r="A42" s="353"/>
      <c r="B42" s="354"/>
      <c r="C42" s="355"/>
      <c r="D42" s="373"/>
      <c r="E42" s="347" t="s">
        <v>1472</v>
      </c>
      <c r="F42" s="357">
        <f ca="1">INDIRECT("'数据-取费表'!v"&amp;$G$1)</f>
        <v>0.03</v>
      </c>
      <c r="G42" s="1852"/>
      <c r="H42" s="732"/>
      <c r="I42" s="1861"/>
      <c r="J42" s="1862"/>
      <c r="K42" s="751"/>
      <c r="L42" s="732"/>
      <c r="M42" s="732"/>
    </row>
    <row r="43" spans="1:18" ht="18" customHeight="1" thickBot="1">
      <c r="A43" s="380" t="s">
        <v>1033</v>
      </c>
      <c r="B43" s="381" t="s">
        <v>1482</v>
      </c>
      <c r="C43" s="382">
        <f ca="1">ROUND(C40*10000/F43,0)</f>
        <v>27677</v>
      </c>
      <c r="D43" s="383" t="s">
        <v>1483</v>
      </c>
      <c r="E43" s="384" t="s">
        <v>1484</v>
      </c>
      <c r="F43" s="385">
        <f ca="1">INDIRECT("'数据-取费表'!k"&amp;$G$1)</f>
        <v>5963.33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-17489</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40</v>
      </c>
      <c r="M47" s="1839" t="str">
        <f>IF(ISNUMBER(FIND("住宅",C1)),"住宅","非住宅")</f>
        <v>非住宅</v>
      </c>
      <c r="O47" s="1885" t="s">
        <v>1040</v>
      </c>
      <c r="P47" s="1886" t="s">
        <v>1523</v>
      </c>
      <c r="Q47" s="1887">
        <f ca="1">C40+J29</f>
        <v>16505</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33.1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2865</v>
      </c>
      <c r="R49" s="1887" t="s">
        <v>1524</v>
      </c>
    </row>
    <row r="50" spans="1:18" s="1843" customFormat="1" ht="13.5" thickBot="1">
      <c r="A50" s="1198"/>
      <c r="B50" s="1201"/>
      <c r="C50" s="1371"/>
      <c r="D50" s="1175"/>
      <c r="E50" s="1280" t="s">
        <v>1400</v>
      </c>
      <c r="F50" s="1281">
        <f ca="1">F7</f>
        <v>5963.33</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9107</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30.6</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30.6</v>
      </c>
      <c r="K53" s="3237" t="s">
        <v>1543</v>
      </c>
      <c r="L53" s="3238"/>
      <c r="O53" s="1885" t="s">
        <v>1046</v>
      </c>
      <c r="P53" s="1886" t="s">
        <v>1544</v>
      </c>
      <c r="Q53" s="1887">
        <f ca="1">Q47+Q48</f>
        <v>16505</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2865</v>
      </c>
      <c r="D56" s="1915"/>
      <c r="E56" s="1916"/>
      <c r="F56" s="1908"/>
      <c r="I56" s="1917" t="s">
        <v>1549</v>
      </c>
      <c r="J56" s="1918" t="s">
        <v>3047</v>
      </c>
      <c r="K56" s="1888" t="s">
        <v>1550</v>
      </c>
      <c r="L56" s="1891" t="str">
        <f ca="1">IF(L48&lt;J51,"——",L48-J53)</f>
        <v>——</v>
      </c>
      <c r="O56" s="1885" t="s">
        <v>1040</v>
      </c>
      <c r="P56" s="1886" t="s">
        <v>1523</v>
      </c>
      <c r="Q56" s="1887">
        <f ca="1">C40+J29</f>
        <v>16505</v>
      </c>
      <c r="R56" s="1887" t="s">
        <v>1524</v>
      </c>
    </row>
    <row r="57" spans="1:18" s="1843" customFormat="1" ht="24.75" thickBot="1">
      <c r="A57" s="1919"/>
      <c r="B57" s="1172" t="s">
        <v>1473</v>
      </c>
      <c r="C57" s="282">
        <f ca="1">C29</f>
        <v>2865</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71</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24.1</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24.07</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7.0000000000000007E-2</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16505</v>
      </c>
      <c r="R62" s="1887" t="s">
        <v>1047</v>
      </c>
    </row>
    <row r="63" spans="1:18" s="1843" customFormat="1" ht="13.5" thickBot="1">
      <c r="A63" s="372"/>
      <c r="B63" s="1178"/>
      <c r="C63" s="29"/>
      <c r="D63" s="1188"/>
      <c r="E63" s="1172" t="s">
        <v>1442</v>
      </c>
      <c r="F63" s="348">
        <f t="shared" ca="1" si="0"/>
        <v>476.93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43</v>
      </c>
      <c r="D64" s="1186" t="s">
        <v>1477</v>
      </c>
      <c r="E64" s="1172" t="s">
        <v>1417</v>
      </c>
      <c r="F64" s="374">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4.3</v>
      </c>
      <c r="D65" s="1186" t="s">
        <v>1449</v>
      </c>
      <c r="E65" s="1172" t="s">
        <v>1417</v>
      </c>
      <c r="F65" s="376">
        <f t="shared" ca="1" si="0"/>
        <v>1.5E-3</v>
      </c>
      <c r="I65" s="1930" t="s">
        <v>1574</v>
      </c>
      <c r="J65" s="1931">
        <v>40</v>
      </c>
      <c r="K65" s="1931">
        <v>30</v>
      </c>
      <c r="L65" s="1931">
        <v>50</v>
      </c>
      <c r="M65" s="1933">
        <v>0.02</v>
      </c>
      <c r="O65" s="1885" t="s">
        <v>1040</v>
      </c>
      <c r="P65" s="1886" t="s">
        <v>1523</v>
      </c>
      <c r="Q65" s="1887">
        <f ca="1">C40+J29</f>
        <v>16505</v>
      </c>
      <c r="R65" s="1887" t="s">
        <v>1524</v>
      </c>
    </row>
    <row r="66" spans="1:18" s="1843" customFormat="1" ht="16.5" thickBot="1">
      <c r="A66" s="1204" t="s">
        <v>1499</v>
      </c>
      <c r="B66" s="1172" t="s">
        <v>1434</v>
      </c>
      <c r="C66" s="24">
        <f ca="1">ROUND(C48*F66,1)</f>
        <v>0</v>
      </c>
      <c r="D66" s="1186" t="s">
        <v>1454</v>
      </c>
      <c r="E66" s="1172" t="s">
        <v>1417</v>
      </c>
      <c r="F66" s="357">
        <f t="shared" ca="1" si="0"/>
        <v>0.01</v>
      </c>
      <c r="O66" s="1885" t="s">
        <v>1041</v>
      </c>
      <c r="P66" s="1886" t="s">
        <v>1553</v>
      </c>
      <c r="Q66" s="1887">
        <f ca="1">L60</f>
        <v>0</v>
      </c>
      <c r="R66" s="1887" t="s">
        <v>1576</v>
      </c>
    </row>
    <row r="67" spans="1:18" s="1843" customFormat="1" ht="16.5" thickBot="1">
      <c r="A67" s="1179" t="s">
        <v>1031</v>
      </c>
      <c r="B67" s="1189" t="s">
        <v>1458</v>
      </c>
      <c r="C67" s="361">
        <f ca="1">C48-C58</f>
        <v>-71</v>
      </c>
      <c r="D67" s="1185" t="s">
        <v>1459</v>
      </c>
      <c r="E67" s="1190"/>
      <c r="F67" s="1191"/>
      <c r="O67" s="1895" t="s">
        <v>1042</v>
      </c>
      <c r="P67" s="1886" t="s">
        <v>1557</v>
      </c>
      <c r="Q67" s="1934">
        <f ca="1">L51</f>
        <v>9107</v>
      </c>
      <c r="R67" s="1887" t="s">
        <v>1577</v>
      </c>
    </row>
    <row r="68" spans="1:18" s="1843" customFormat="1" ht="16.5" thickBot="1">
      <c r="A68" s="1169" t="s">
        <v>1032</v>
      </c>
      <c r="B68" s="1170" t="s">
        <v>1480</v>
      </c>
      <c r="C68" s="346">
        <f ca="1">ROUND(C67*(1-((1+F70)/(1+F68))^F69)/(F68-F70),0)</f>
        <v>-984</v>
      </c>
      <c r="D68" s="1187" t="s">
        <v>1464</v>
      </c>
      <c r="E68" s="1172" t="s">
        <v>1465</v>
      </c>
      <c r="F68" s="357">
        <f ca="1">F40</f>
        <v>0.06</v>
      </c>
      <c r="O68" s="1895" t="s">
        <v>1043</v>
      </c>
      <c r="P68" s="1935" t="s">
        <v>1578</v>
      </c>
      <c r="Q68" s="1887">
        <f ca="1">ROUND(Q69-Q70*Q71,0)</f>
        <v>603</v>
      </c>
      <c r="R68" s="1887" t="s">
        <v>1051</v>
      </c>
    </row>
    <row r="69" spans="1:18" s="1843" customFormat="1" ht="13.5" thickBot="1">
      <c r="A69" s="1173"/>
      <c r="B69" s="1174"/>
      <c r="C69" s="351"/>
      <c r="D69" s="1192" t="s">
        <v>1468</v>
      </c>
      <c r="E69" s="1172" t="s">
        <v>1469</v>
      </c>
      <c r="F69" s="379">
        <f ca="1">F41</f>
        <v>30.6</v>
      </c>
      <c r="O69" s="1895" t="s">
        <v>1048</v>
      </c>
      <c r="P69" s="1935" t="s">
        <v>1579</v>
      </c>
      <c r="Q69" s="1887">
        <f ca="1">C39</f>
        <v>847</v>
      </c>
      <c r="R69" s="1887" t="s">
        <v>1524</v>
      </c>
    </row>
    <row r="70" spans="1:18" s="1843" customFormat="1" ht="13.5" thickBot="1">
      <c r="A70" s="1176"/>
      <c r="B70" s="1177"/>
      <c r="C70" s="355"/>
      <c r="D70" s="1188"/>
      <c r="E70" s="1172" t="s">
        <v>1472</v>
      </c>
      <c r="F70" s="1278"/>
      <c r="O70" s="1895" t="s">
        <v>1049</v>
      </c>
      <c r="P70" s="1935" t="s">
        <v>1580</v>
      </c>
      <c r="Q70" s="1887">
        <f ca="1">C13</f>
        <v>2865</v>
      </c>
      <c r="R70" s="1887" t="s">
        <v>1524</v>
      </c>
    </row>
    <row r="71" spans="1:18" s="1843" customFormat="1" ht="13.5" thickBot="1">
      <c r="A71" s="1193" t="s">
        <v>1033</v>
      </c>
      <c r="B71" s="1194" t="s">
        <v>1482</v>
      </c>
      <c r="C71" s="382">
        <f ca="1">ROUND(C68*10000/F71,0)</f>
        <v>-1650</v>
      </c>
      <c r="D71" s="1195" t="s">
        <v>1483</v>
      </c>
      <c r="E71" s="1196" t="s">
        <v>1484</v>
      </c>
      <c r="F71" s="385">
        <f ca="1">F43</f>
        <v>5963.33</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244</v>
      </c>
      <c r="D75" s="1843"/>
      <c r="E75" s="1843"/>
      <c r="F75" s="1843"/>
      <c r="K75" s="1869"/>
      <c r="L75" s="1843"/>
      <c r="O75" s="1885" t="s">
        <v>1046</v>
      </c>
      <c r="P75" s="1886" t="s">
        <v>1544</v>
      </c>
      <c r="Q75" s="1887">
        <f ca="1">Q65+Q66</f>
        <v>16505</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0.71199999999999997</v>
      </c>
    </row>
    <row r="80" spans="1:18">
      <c r="B80" s="386" t="s">
        <v>1506</v>
      </c>
      <c r="C80" s="318">
        <f ca="1">ROUND(C75/C39,3)</f>
        <v>0.28799999999999998</v>
      </c>
    </row>
    <row r="81" spans="2:3">
      <c r="B81" s="314" t="s">
        <v>1507</v>
      </c>
      <c r="C81" s="282"/>
    </row>
    <row r="82" spans="2:3">
      <c r="B82" s="317" t="s">
        <v>1508</v>
      </c>
      <c r="C82" s="319">
        <f ca="1">1-C83</f>
        <v>0.82600000000000007</v>
      </c>
    </row>
    <row r="83" spans="2:3">
      <c r="B83" s="317" t="s">
        <v>1509</v>
      </c>
      <c r="C83" s="318">
        <f ca="1">ROUND(C13/C40,3)</f>
        <v>0.17399999999999999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3056</v>
      </c>
      <c r="D1" s="1821" t="s">
        <v>3163</v>
      </c>
      <c r="E1" s="1822" t="s">
        <v>1381</v>
      </c>
      <c r="F1" s="1286">
        <f ca="1">J53</f>
        <v>40.61</v>
      </c>
      <c r="G1" s="183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15892</v>
      </c>
      <c r="C2" s="1846" t="s">
        <v>1511</v>
      </c>
      <c r="D2" s="1846"/>
      <c r="E2" s="1847"/>
      <c r="F2" s="1848"/>
      <c r="G2" s="1849"/>
      <c r="H2" s="1841"/>
      <c r="I2" s="1841"/>
      <c r="J2" s="1841"/>
      <c r="K2" s="1842"/>
      <c r="L2" s="1841"/>
      <c r="M2" s="1841"/>
    </row>
    <row r="3" spans="1:37" ht="18" customHeight="1" thickBot="1">
      <c r="A3" s="1850" t="s">
        <v>1512</v>
      </c>
      <c r="B3" s="1851">
        <f ca="1">IF(ISERROR(B2*10000/F43),0,ROUND(B2*10000/F43,0))</f>
        <v>8047</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974</v>
      </c>
      <c r="D5" s="1823" t="s">
        <v>1396</v>
      </c>
      <c r="E5" s="1296"/>
      <c r="F5" s="1297"/>
      <c r="G5" s="1852"/>
      <c r="H5" s="344">
        <v>1</v>
      </c>
      <c r="I5" s="345" t="s">
        <v>1395</v>
      </c>
      <c r="J5" s="1295">
        <f ca="1">J6+J10+J12</f>
        <v>0</v>
      </c>
      <c r="K5" s="1823" t="s">
        <v>1396</v>
      </c>
      <c r="L5" s="1296"/>
      <c r="M5" s="1297"/>
    </row>
    <row r="6" spans="1:37" ht="18" customHeight="1">
      <c r="A6" s="1294" t="s">
        <v>1035</v>
      </c>
      <c r="B6" s="3239" t="s">
        <v>1397</v>
      </c>
      <c r="C6" s="1299">
        <f ca="1">ROUND(F6*F8*F7*(1-F9)/10000,0)</f>
        <v>973</v>
      </c>
      <c r="D6" s="164" t="s">
        <v>3029</v>
      </c>
      <c r="E6" s="347" t="s">
        <v>1399</v>
      </c>
      <c r="F6" s="348">
        <f ca="1">INDIRECT("'数据-取费表'!u"&amp;$G$1)</f>
        <v>1.5</v>
      </c>
      <c r="G6" s="1852"/>
      <c r="H6" s="1294" t="s">
        <v>1035</v>
      </c>
      <c r="I6" s="3239" t="s">
        <v>1397</v>
      </c>
      <c r="J6" s="346">
        <f ca="1">ROUND(M6*M8*M7*(1-M9)/10000,0)</f>
        <v>0</v>
      </c>
      <c r="K6" s="164" t="s">
        <v>3028</v>
      </c>
      <c r="L6" s="347" t="s">
        <v>1399</v>
      </c>
      <c r="M6" s="348">
        <f ca="1">INDIRECT("'数据-取费表'!z"&amp;$G$1)</f>
        <v>0</v>
      </c>
    </row>
    <row r="7" spans="1:37" ht="18" customHeight="1">
      <c r="A7" s="1298"/>
      <c r="B7" s="3240"/>
      <c r="C7" s="1300"/>
      <c r="D7" s="352"/>
      <c r="E7" s="2948" t="s">
        <v>1400</v>
      </c>
      <c r="F7" s="348">
        <f ca="1">IF(INDIRECT("'数据-取费表'!ah"&amp;$G$1)="",INDIRECT("'数据-取费表'!k"&amp;$G$1),INDIRECT("'数据-取费表'!ah"&amp;$G$1))</f>
        <v>19749.8</v>
      </c>
      <c r="G7" s="1852"/>
      <c r="H7" s="349"/>
      <c r="I7" s="3240"/>
      <c r="J7" s="351"/>
      <c r="K7" s="352"/>
      <c r="L7" s="347" t="s">
        <v>1400</v>
      </c>
      <c r="M7" s="348">
        <f ca="1">F7</f>
        <v>19749.8</v>
      </c>
    </row>
    <row r="8" spans="1:37" ht="18" customHeight="1">
      <c r="A8" s="349"/>
      <c r="B8" s="3240"/>
      <c r="C8" s="351"/>
      <c r="D8" s="352"/>
      <c r="E8" s="347" t="s">
        <v>1401</v>
      </c>
      <c r="F8" s="348">
        <f ca="1">INDIRECT("'数据-取费表'!ai"&amp;$G$1)</f>
        <v>365</v>
      </c>
      <c r="G8" s="1852"/>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52"/>
      <c r="H9" s="349"/>
      <c r="I9" s="3241"/>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1</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6778</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4613</v>
      </c>
      <c r="D14" s="2942" t="s">
        <v>1413</v>
      </c>
      <c r="E14" s="2940"/>
      <c r="F14" s="364"/>
      <c r="G14" s="1852"/>
      <c r="H14" s="1204" t="s">
        <v>1035</v>
      </c>
      <c r="I14" s="347" t="s">
        <v>1414</v>
      </c>
      <c r="J14" s="24">
        <f ca="1">C29</f>
        <v>6778</v>
      </c>
      <c r="K14" s="2947"/>
      <c r="L14" s="982"/>
      <c r="M14" s="983"/>
    </row>
    <row r="15" spans="1:37" s="1859" customFormat="1" ht="18" customHeight="1" thickBot="1">
      <c r="A15" s="1204" t="s">
        <v>1036</v>
      </c>
      <c r="B15" s="347" t="s">
        <v>1415</v>
      </c>
      <c r="C15" s="24">
        <f ca="1">ROUND(C14*F15,0)</f>
        <v>138</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159</v>
      </c>
      <c r="K16" s="1340" t="s">
        <v>1420</v>
      </c>
      <c r="L16" s="2943"/>
      <c r="M16" s="1297"/>
    </row>
    <row r="17" spans="1:37" s="1859" customFormat="1" ht="18" customHeight="1">
      <c r="A17" s="1204" t="s">
        <v>1384</v>
      </c>
      <c r="B17" s="347" t="s">
        <v>1421</v>
      </c>
      <c r="C17" s="24">
        <f ca="1">ROUND(F17*(F43+INDIRECT("'数据-取费表'!S"&amp;$G$1))/10000,0)</f>
        <v>419</v>
      </c>
      <c r="D17" s="347" t="s">
        <v>1422</v>
      </c>
      <c r="E17" s="347" t="s">
        <v>1423</v>
      </c>
      <c r="F17" s="26">
        <f>'数据-取费表'!B35</f>
        <v>200</v>
      </c>
      <c r="G17" s="1855"/>
      <c r="H17" s="1204" t="s">
        <v>1035</v>
      </c>
      <c r="I17" s="347" t="s">
        <v>1424</v>
      </c>
      <c r="J17" s="24">
        <f ca="1">ROUND(IF(项目基本情况!B11="自然人",J5*M17,J18+J19+J20),1)</f>
        <v>57.2</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69</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5239</v>
      </c>
      <c r="D19" s="140" t="s">
        <v>1431</v>
      </c>
      <c r="E19" s="2946"/>
      <c r="F19" s="26"/>
      <c r="G19" s="1852"/>
      <c r="H19" s="1204" t="s">
        <v>1036</v>
      </c>
      <c r="I19" s="347" t="s">
        <v>1432</v>
      </c>
      <c r="J19" s="24">
        <f ca="1">IF(K19="按租金收入计税",ROUND(J5*M19,2),ROUND(C29*M19*0.7,2))</f>
        <v>56.94</v>
      </c>
      <c r="K19" s="1829" t="s">
        <v>1433</v>
      </c>
      <c r="L19" s="347" t="s">
        <v>1417</v>
      </c>
      <c r="M19" s="367">
        <f>IF(K19="按租金收入计税",'数据-取费表'!B51,'数据-取费表'!B50)</f>
        <v>1.2E-2</v>
      </c>
    </row>
    <row r="20" spans="1:37" s="1859" customFormat="1" ht="18" customHeight="1">
      <c r="A20" s="1204" t="s">
        <v>1039</v>
      </c>
      <c r="B20" s="347" t="s">
        <v>1434</v>
      </c>
      <c r="C20" s="24">
        <f ca="1">ROUND(C19*F20,0)</f>
        <v>105</v>
      </c>
      <c r="D20" s="369" t="s">
        <v>1435</v>
      </c>
      <c r="E20" s="347" t="s">
        <v>1417</v>
      </c>
      <c r="F20" s="367">
        <f>'数据-取费表'!B37</f>
        <v>0.02</v>
      </c>
      <c r="G20" s="1855"/>
      <c r="H20" s="1204" t="s">
        <v>1383</v>
      </c>
      <c r="I20" s="164" t="s">
        <v>1436</v>
      </c>
      <c r="J20" s="25">
        <f ca="1">ROUND(M20*M21/10000,2)</f>
        <v>0.24</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1579.53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101.7</v>
      </c>
      <c r="K22" s="2941"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386</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-159</v>
      </c>
      <c r="K25" s="1348" t="s">
        <v>1459</v>
      </c>
      <c r="L25" s="1349"/>
      <c r="M25" s="1350"/>
    </row>
    <row r="26" spans="1:37">
      <c r="A26" s="1204" t="s">
        <v>1034</v>
      </c>
      <c r="B26" s="347" t="s">
        <v>1460</v>
      </c>
      <c r="C26" s="24">
        <f ca="1">ROUND((C19+C20)*F26,0)</f>
        <v>534</v>
      </c>
      <c r="D26" s="369" t="s">
        <v>1461</v>
      </c>
      <c r="E26" s="358" t="s">
        <v>1462</v>
      </c>
      <c r="F26" s="357">
        <f ca="1">INDIRECT("'数据-取费表'!q"&amp;$G$1)</f>
        <v>0.1</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2E-3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6778</v>
      </c>
      <c r="D29" s="1345"/>
      <c r="E29" s="1343"/>
      <c r="F29" s="1346"/>
      <c r="G29" s="1855"/>
      <c r="H29" s="380" t="s">
        <v>1033</v>
      </c>
      <c r="I29" s="381" t="s">
        <v>1474</v>
      </c>
      <c r="J29" s="382">
        <f ca="1">ROUND(J26/(1+F40)^F41,0)</f>
        <v>0</v>
      </c>
      <c r="K29" s="383" t="s">
        <v>1475</v>
      </c>
      <c r="L29" s="384"/>
      <c r="M29" s="385">
        <f ca="1">INDIRECT("'数据-取费表'!k"&amp;$G$1)</f>
        <v>19749.8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230</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108.2</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51.02</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56.94</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0.24</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1579.53</v>
      </c>
      <c r="G35" s="1852"/>
      <c r="H35" s="745"/>
      <c r="I35" s="1861"/>
      <c r="J35" s="1862"/>
      <c r="K35" s="1863"/>
      <c r="L35" s="1860"/>
      <c r="M35" s="1860"/>
    </row>
    <row r="36" spans="1:18" ht="18" customHeight="1">
      <c r="A36" s="1355" t="s">
        <v>1039</v>
      </c>
      <c r="B36" s="347" t="s">
        <v>1444</v>
      </c>
      <c r="C36" s="24">
        <f ca="1">ROUND(C29*F36,1)</f>
        <v>101.7</v>
      </c>
      <c r="D36" s="2941"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10.199999999999999</v>
      </c>
      <c r="D37" s="2941" t="s">
        <v>1449</v>
      </c>
      <c r="E37" s="347" t="s">
        <v>1417</v>
      </c>
      <c r="F37" s="376">
        <f ca="1">INDIRECT("'数据-取费表'!Al"&amp;$G$1)</f>
        <v>1.5E-3</v>
      </c>
      <c r="G37" s="1852"/>
      <c r="H37" s="1860"/>
      <c r="I37" s="1861"/>
      <c r="J37" s="1862"/>
      <c r="K37" s="751"/>
      <c r="L37" s="1860"/>
      <c r="M37" s="1860"/>
    </row>
    <row r="38" spans="1:18" ht="18" customHeight="1" thickBot="1">
      <c r="A38" s="1342" t="s">
        <v>1386</v>
      </c>
      <c r="B38" s="1343" t="s">
        <v>1434</v>
      </c>
      <c r="C38" s="1344">
        <f ca="1">ROUND(C5*F38,1)</f>
        <v>9.6999999999999993</v>
      </c>
      <c r="D38" s="1345" t="s">
        <v>1454</v>
      </c>
      <c r="E38" s="1343" t="s">
        <v>1417</v>
      </c>
      <c r="F38" s="1339">
        <f ca="1">INDIRECT("'数据-取费表'!Am"&amp;$G$1)</f>
        <v>0.01</v>
      </c>
      <c r="G38" s="1852"/>
      <c r="H38" s="1860"/>
      <c r="I38" s="1861"/>
      <c r="J38" s="1862"/>
      <c r="K38" s="1866"/>
      <c r="L38" s="1860"/>
      <c r="M38" s="1860"/>
    </row>
    <row r="39" spans="1:18" ht="24.6" customHeight="1" thickTop="1">
      <c r="A39" s="1332" t="s">
        <v>1031</v>
      </c>
      <c r="B39" s="1347" t="s">
        <v>1458</v>
      </c>
      <c r="C39" s="355">
        <f ca="1">C5-C30</f>
        <v>744</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15892</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1.4999999999999999E-2</v>
      </c>
      <c r="G42" s="1852"/>
      <c r="H42" s="732"/>
      <c r="I42" s="1861"/>
      <c r="J42" s="1862"/>
      <c r="K42" s="751"/>
      <c r="L42" s="732"/>
      <c r="M42" s="732"/>
    </row>
    <row r="43" spans="1:18" ht="18" customHeight="1" thickBot="1">
      <c r="A43" s="380" t="s">
        <v>1033</v>
      </c>
      <c r="B43" s="381" t="s">
        <v>1482</v>
      </c>
      <c r="C43" s="382">
        <f ca="1">ROUND(C40*10000/F43,0)</f>
        <v>8047</v>
      </c>
      <c r="D43" s="383" t="s">
        <v>1483</v>
      </c>
      <c r="E43" s="384" t="s">
        <v>1484</v>
      </c>
      <c r="F43" s="385">
        <f ca="1">INDIRECT("'数据-取费表'!k"&amp;$G$1)</f>
        <v>19749.8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-18806</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50</v>
      </c>
      <c r="M47" s="1839" t="str">
        <f>IF(ISNUMBER(FIND("住宅",C1)),"住宅","非住宅")</f>
        <v>非住宅</v>
      </c>
      <c r="O47" s="1885" t="s">
        <v>1040</v>
      </c>
      <c r="P47" s="1886" t="s">
        <v>1523</v>
      </c>
      <c r="Q47" s="1887">
        <f ca="1">C40+J29</f>
        <v>15892</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43.11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6778</v>
      </c>
      <c r="R49" s="1887" t="s">
        <v>1524</v>
      </c>
    </row>
    <row r="50" spans="1:18" s="1843" customFormat="1" ht="13.5" thickBot="1">
      <c r="A50" s="1198"/>
      <c r="B50" s="1201"/>
      <c r="C50" s="1371"/>
      <c r="D50" s="1175"/>
      <c r="E50" s="1280" t="s">
        <v>1400</v>
      </c>
      <c r="F50" s="1281">
        <f ca="1">F7</f>
        <v>19749.8</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3171</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40.61</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40.61</v>
      </c>
      <c r="K53" s="3237" t="s">
        <v>1543</v>
      </c>
      <c r="L53" s="3238"/>
      <c r="O53" s="1885" t="s">
        <v>1046</v>
      </c>
      <c r="P53" s="1886" t="s">
        <v>1544</v>
      </c>
      <c r="Q53" s="1887">
        <f ca="1">Q47+Q48</f>
        <v>15892</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6778</v>
      </c>
      <c r="D56" s="1915"/>
      <c r="E56" s="1916"/>
      <c r="F56" s="1908"/>
      <c r="I56" s="1917" t="s">
        <v>1549</v>
      </c>
      <c r="J56" s="1918" t="s">
        <v>3047</v>
      </c>
      <c r="K56" s="1888" t="s">
        <v>1550</v>
      </c>
      <c r="L56" s="1891" t="str">
        <f ca="1">IF(L48&lt;J51,"——",L48-J53)</f>
        <v>——</v>
      </c>
      <c r="O56" s="1885" t="s">
        <v>1040</v>
      </c>
      <c r="P56" s="1886" t="s">
        <v>1523</v>
      </c>
      <c r="Q56" s="1887">
        <f ca="1">C40+J29</f>
        <v>15892</v>
      </c>
      <c r="R56" s="1887" t="s">
        <v>1524</v>
      </c>
    </row>
    <row r="57" spans="1:18" s="1843" customFormat="1" ht="24.75" thickBot="1">
      <c r="A57" s="1919"/>
      <c r="B57" s="1172" t="s">
        <v>1473</v>
      </c>
      <c r="C57" s="282">
        <f ca="1">C29</f>
        <v>6778</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169</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57.2</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56.94</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0.24</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15892</v>
      </c>
      <c r="R62" s="1887" t="s">
        <v>1047</v>
      </c>
    </row>
    <row r="63" spans="1:18" s="1843" customFormat="1" ht="13.5" thickBot="1">
      <c r="A63" s="372"/>
      <c r="B63" s="1178"/>
      <c r="C63" s="29"/>
      <c r="D63" s="1188"/>
      <c r="E63" s="1172" t="s">
        <v>1442</v>
      </c>
      <c r="F63" s="348">
        <f t="shared" ca="1" si="0"/>
        <v>1579.53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101.7</v>
      </c>
      <c r="D64" s="1186" t="s">
        <v>1477</v>
      </c>
      <c r="E64" s="1172" t="s">
        <v>1417</v>
      </c>
      <c r="F64" s="374">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10.199999999999999</v>
      </c>
      <c r="D65" s="1186" t="s">
        <v>1449</v>
      </c>
      <c r="E65" s="1172" t="s">
        <v>1417</v>
      </c>
      <c r="F65" s="376">
        <f t="shared" ca="1" si="0"/>
        <v>1.5E-3</v>
      </c>
      <c r="I65" s="1930" t="s">
        <v>1574</v>
      </c>
      <c r="J65" s="1931">
        <v>40</v>
      </c>
      <c r="K65" s="1931">
        <v>30</v>
      </c>
      <c r="L65" s="1931">
        <v>50</v>
      </c>
      <c r="M65" s="1933">
        <v>0.02</v>
      </c>
      <c r="O65" s="1885" t="s">
        <v>1040</v>
      </c>
      <c r="P65" s="1886" t="s">
        <v>1523</v>
      </c>
      <c r="Q65" s="1887">
        <f ca="1">C40+J29</f>
        <v>15892</v>
      </c>
      <c r="R65" s="1887" t="s">
        <v>1524</v>
      </c>
    </row>
    <row r="66" spans="1:18" s="1843" customFormat="1" ht="16.5" thickBot="1">
      <c r="A66" s="1204" t="s">
        <v>1499</v>
      </c>
      <c r="B66" s="1172" t="s">
        <v>1434</v>
      </c>
      <c r="C66" s="24">
        <f ca="1">ROUND(C48*F66,1)</f>
        <v>0</v>
      </c>
      <c r="D66" s="1186" t="s">
        <v>1454</v>
      </c>
      <c r="E66" s="1172" t="s">
        <v>1417</v>
      </c>
      <c r="F66" s="357">
        <f t="shared" ca="1" si="0"/>
        <v>0.01</v>
      </c>
      <c r="O66" s="1885" t="s">
        <v>1041</v>
      </c>
      <c r="P66" s="1886" t="s">
        <v>1553</v>
      </c>
      <c r="Q66" s="1887">
        <f ca="1">L60</f>
        <v>0</v>
      </c>
      <c r="R66" s="1887" t="s">
        <v>1576</v>
      </c>
    </row>
    <row r="67" spans="1:18" s="1843" customFormat="1" ht="16.5" thickBot="1">
      <c r="A67" s="1179" t="s">
        <v>1031</v>
      </c>
      <c r="B67" s="1189" t="s">
        <v>1458</v>
      </c>
      <c r="C67" s="361">
        <f ca="1">C48-C58</f>
        <v>-169</v>
      </c>
      <c r="D67" s="1185" t="s">
        <v>1459</v>
      </c>
      <c r="E67" s="1190"/>
      <c r="F67" s="1191"/>
      <c r="O67" s="1895" t="s">
        <v>1042</v>
      </c>
      <c r="P67" s="1886" t="s">
        <v>1557</v>
      </c>
      <c r="Q67" s="1934">
        <f ca="1">L51</f>
        <v>3171</v>
      </c>
      <c r="R67" s="1887" t="s">
        <v>1577</v>
      </c>
    </row>
    <row r="68" spans="1:18" s="1843" customFormat="1" ht="16.5" thickBot="1">
      <c r="A68" s="1169" t="s">
        <v>1032</v>
      </c>
      <c r="B68" s="1170" t="s">
        <v>1480</v>
      </c>
      <c r="C68" s="346">
        <f ca="1">ROUND(C67*(1-((1+F70)/(1+F68))^F69)/(F68-F70),0)</f>
        <v>-2914</v>
      </c>
      <c r="D68" s="1187" t="s">
        <v>1464</v>
      </c>
      <c r="E68" s="1172" t="s">
        <v>1465</v>
      </c>
      <c r="F68" s="357">
        <f ca="1">F40</f>
        <v>0.05</v>
      </c>
      <c r="O68" s="1895" t="s">
        <v>1043</v>
      </c>
      <c r="P68" s="1935" t="s">
        <v>1578</v>
      </c>
      <c r="Q68" s="1887">
        <f ca="1">ROUND(Q69-Q70*Q71,0)</f>
        <v>168</v>
      </c>
      <c r="R68" s="1887" t="s">
        <v>1051</v>
      </c>
    </row>
    <row r="69" spans="1:18" s="1843" customFormat="1" ht="13.5" thickBot="1">
      <c r="A69" s="1173"/>
      <c r="B69" s="1174"/>
      <c r="C69" s="351"/>
      <c r="D69" s="1192" t="s">
        <v>1468</v>
      </c>
      <c r="E69" s="1172" t="s">
        <v>1469</v>
      </c>
      <c r="F69" s="379">
        <f ca="1">F41</f>
        <v>40.61</v>
      </c>
      <c r="O69" s="1895" t="s">
        <v>1048</v>
      </c>
      <c r="P69" s="1935" t="s">
        <v>1579</v>
      </c>
      <c r="Q69" s="1887">
        <f ca="1">C39</f>
        <v>744</v>
      </c>
      <c r="R69" s="1887" t="s">
        <v>1524</v>
      </c>
    </row>
    <row r="70" spans="1:18" s="1843" customFormat="1" ht="13.5" thickBot="1">
      <c r="A70" s="1176"/>
      <c r="B70" s="1177"/>
      <c r="C70" s="355"/>
      <c r="D70" s="1188"/>
      <c r="E70" s="1172" t="s">
        <v>1472</v>
      </c>
      <c r="F70" s="1278"/>
      <c r="O70" s="1895" t="s">
        <v>1049</v>
      </c>
      <c r="P70" s="1935" t="s">
        <v>1580</v>
      </c>
      <c r="Q70" s="1887">
        <f ca="1">C13</f>
        <v>6778</v>
      </c>
      <c r="R70" s="1887" t="s">
        <v>1524</v>
      </c>
    </row>
    <row r="71" spans="1:18" s="1843" customFormat="1" ht="13.5" thickBot="1">
      <c r="A71" s="1193" t="s">
        <v>1033</v>
      </c>
      <c r="B71" s="1194" t="s">
        <v>1482</v>
      </c>
      <c r="C71" s="382">
        <f ca="1">ROUND(C68*10000/F71,0)</f>
        <v>-1475</v>
      </c>
      <c r="D71" s="1195" t="s">
        <v>1483</v>
      </c>
      <c r="E71" s="1196" t="s">
        <v>1484</v>
      </c>
      <c r="F71" s="385">
        <f ca="1">F43</f>
        <v>19749.8</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576</v>
      </c>
      <c r="D75" s="1843"/>
      <c r="E75" s="1843"/>
      <c r="F75" s="1843"/>
      <c r="K75" s="1869"/>
      <c r="L75" s="1843"/>
      <c r="O75" s="1885" t="s">
        <v>1046</v>
      </c>
      <c r="P75" s="1886" t="s">
        <v>1544</v>
      </c>
      <c r="Q75" s="1887">
        <f ca="1">Q65+Q66</f>
        <v>15892</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0.22599999999999998</v>
      </c>
    </row>
    <row r="80" spans="1:18">
      <c r="B80" s="386" t="s">
        <v>1506</v>
      </c>
      <c r="C80" s="318">
        <f ca="1">ROUND(C75/C39,3)</f>
        <v>0.77400000000000002</v>
      </c>
    </row>
    <row r="81" spans="2:3">
      <c r="B81" s="314" t="s">
        <v>1507</v>
      </c>
      <c r="C81" s="282"/>
    </row>
    <row r="82" spans="2:3">
      <c r="B82" s="317" t="s">
        <v>1508</v>
      </c>
      <c r="C82" s="319">
        <f ca="1">1-C83</f>
        <v>0.57299999999999995</v>
      </c>
    </row>
    <row r="83" spans="2:3">
      <c r="B83" s="317" t="s">
        <v>1509</v>
      </c>
      <c r="C83" s="318">
        <f ca="1">ROUND(C13/C40,3)</f>
        <v>0.42699999999999999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3057</v>
      </c>
      <c r="D1" s="1821" t="s">
        <v>3163</v>
      </c>
      <c r="E1" s="1822" t="s">
        <v>1381</v>
      </c>
      <c r="F1" s="1286">
        <f ca="1">J53</f>
        <v>40.61</v>
      </c>
      <c r="G1" s="1837">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1239</v>
      </c>
      <c r="C2" s="1846" t="s">
        <v>1511</v>
      </c>
      <c r="D2" s="1846"/>
      <c r="E2" s="1847"/>
      <c r="F2" s="1848"/>
      <c r="G2" s="1849"/>
      <c r="H2" s="1841"/>
      <c r="I2" s="1841"/>
      <c r="J2" s="1841"/>
      <c r="K2" s="1842"/>
      <c r="L2" s="1841"/>
      <c r="M2" s="1841"/>
    </row>
    <row r="3" spans="1:37" ht="18" customHeight="1" thickBot="1">
      <c r="A3" s="1850" t="s">
        <v>1512</v>
      </c>
      <c r="B3" s="1851">
        <f ca="1">IF(ISERROR(B2*10000/F43),0,ROUND(B2*10000/F43,0))</f>
        <v>8845</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74</v>
      </c>
      <c r="D5" s="1823" t="s">
        <v>1396</v>
      </c>
      <c r="E5" s="1296"/>
      <c r="F5" s="1297"/>
      <c r="G5" s="1852"/>
      <c r="H5" s="344">
        <v>1</v>
      </c>
      <c r="I5" s="345" t="s">
        <v>1395</v>
      </c>
      <c r="J5" s="1295">
        <f ca="1">J6+J10+J12</f>
        <v>0</v>
      </c>
      <c r="K5" s="1823" t="s">
        <v>1396</v>
      </c>
      <c r="L5" s="1296"/>
      <c r="M5" s="1297"/>
    </row>
    <row r="6" spans="1:37" ht="18" customHeight="1">
      <c r="A6" s="1294" t="s">
        <v>1035</v>
      </c>
      <c r="B6" s="3239" t="s">
        <v>1397</v>
      </c>
      <c r="C6" s="1299">
        <f ca="1">ROUND(F6*F8*F7*(1-F9)/10000,0)</f>
        <v>74</v>
      </c>
      <c r="D6" s="164" t="s">
        <v>3029</v>
      </c>
      <c r="E6" s="347" t="s">
        <v>1399</v>
      </c>
      <c r="F6" s="348">
        <f ca="1">INDIRECT("'数据-取费表'!u"&amp;$G$1)</f>
        <v>1.6</v>
      </c>
      <c r="G6" s="1852"/>
      <c r="H6" s="1294" t="s">
        <v>1035</v>
      </c>
      <c r="I6" s="3239" t="s">
        <v>1397</v>
      </c>
      <c r="J6" s="346">
        <f ca="1">ROUND(M6*M8*M7*(1-M9)/10000,0)</f>
        <v>0</v>
      </c>
      <c r="K6" s="164" t="s">
        <v>3028</v>
      </c>
      <c r="L6" s="347" t="s">
        <v>1399</v>
      </c>
      <c r="M6" s="348">
        <f ca="1">INDIRECT("'数据-取费表'!z"&amp;$G$1)</f>
        <v>0</v>
      </c>
    </row>
    <row r="7" spans="1:37" ht="18" customHeight="1">
      <c r="A7" s="1298"/>
      <c r="B7" s="3240"/>
      <c r="C7" s="1300"/>
      <c r="D7" s="352"/>
      <c r="E7" s="2948" t="s">
        <v>1400</v>
      </c>
      <c r="F7" s="348">
        <f ca="1">IF(INDIRECT("'数据-取费表'!ah"&amp;$G$1)="",INDIRECT("'数据-取费表'!k"&amp;$G$1),INDIRECT("'数据-取费表'!ah"&amp;$G$1))</f>
        <v>1400.8</v>
      </c>
      <c r="G7" s="1852"/>
      <c r="H7" s="349"/>
      <c r="I7" s="3240"/>
      <c r="J7" s="351"/>
      <c r="K7" s="352"/>
      <c r="L7" s="347" t="s">
        <v>1400</v>
      </c>
      <c r="M7" s="348">
        <f ca="1">F7</f>
        <v>1400.8</v>
      </c>
    </row>
    <row r="8" spans="1:37" ht="18" customHeight="1">
      <c r="A8" s="349"/>
      <c r="B8" s="3240"/>
      <c r="C8" s="351"/>
      <c r="D8" s="352"/>
      <c r="E8" s="347" t="s">
        <v>1401</v>
      </c>
      <c r="F8" s="348">
        <f ca="1">INDIRECT("'数据-取费表'!ai"&amp;$G$1)</f>
        <v>365</v>
      </c>
      <c r="G8" s="1852"/>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52"/>
      <c r="H9" s="349"/>
      <c r="I9" s="3241"/>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0</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460</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327</v>
      </c>
      <c r="D14" s="2942" t="s">
        <v>1413</v>
      </c>
      <c r="E14" s="2940"/>
      <c r="F14" s="364"/>
      <c r="G14" s="1852"/>
      <c r="H14" s="1204" t="s">
        <v>1035</v>
      </c>
      <c r="I14" s="347" t="s">
        <v>1414</v>
      </c>
      <c r="J14" s="24">
        <f ca="1">C29</f>
        <v>460</v>
      </c>
      <c r="K14" s="2947"/>
      <c r="L14" s="982"/>
      <c r="M14" s="983"/>
    </row>
    <row r="15" spans="1:37" s="1859" customFormat="1" ht="18" customHeight="1" thickBot="1">
      <c r="A15" s="1204" t="s">
        <v>1036</v>
      </c>
      <c r="B15" s="347" t="s">
        <v>1415</v>
      </c>
      <c r="C15" s="24">
        <f ca="1">ROUND(C14*F15,0)</f>
        <v>10</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11</v>
      </c>
      <c r="K16" s="1340" t="s">
        <v>1420</v>
      </c>
      <c r="L16" s="2943"/>
      <c r="M16" s="1297"/>
    </row>
    <row r="17" spans="1:37" s="1859" customFormat="1" ht="18" customHeight="1">
      <c r="A17" s="1204" t="s">
        <v>1384</v>
      </c>
      <c r="B17" s="347" t="s">
        <v>1421</v>
      </c>
      <c r="C17" s="24">
        <f ca="1">ROUND(F17*(F43+INDIRECT("'数据-取费表'!S"&amp;$G$1))/10000,0)</f>
        <v>30</v>
      </c>
      <c r="D17" s="347" t="s">
        <v>1422</v>
      </c>
      <c r="E17" s="347" t="s">
        <v>1423</v>
      </c>
      <c r="F17" s="26">
        <f>'数据-取费表'!B35</f>
        <v>200</v>
      </c>
      <c r="G17" s="1855"/>
      <c r="H17" s="1204" t="s">
        <v>1035</v>
      </c>
      <c r="I17" s="347" t="s">
        <v>1424</v>
      </c>
      <c r="J17" s="24">
        <f ca="1">ROUND(IF(项目基本情况!B11="自然人",J5*M17,J18+J19+J20),1)</f>
        <v>3.9</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5</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372</v>
      </c>
      <c r="D19" s="140" t="s">
        <v>1431</v>
      </c>
      <c r="E19" s="2946"/>
      <c r="F19" s="26"/>
      <c r="G19" s="1852"/>
      <c r="H19" s="1204" t="s">
        <v>1036</v>
      </c>
      <c r="I19" s="347" t="s">
        <v>1432</v>
      </c>
      <c r="J19" s="24">
        <f ca="1">IF(K19="按租金收入计税",ROUND(J5*M19,2),ROUND(C29*M19*0.7,2))</f>
        <v>3.86</v>
      </c>
      <c r="K19" s="1829" t="s">
        <v>1433</v>
      </c>
      <c r="L19" s="347" t="s">
        <v>1417</v>
      </c>
      <c r="M19" s="367">
        <f>IF(K19="按租金收入计税",'数据-取费表'!B51,'数据-取费表'!B50)</f>
        <v>1.2E-2</v>
      </c>
    </row>
    <row r="20" spans="1:37" s="1859" customFormat="1" ht="18" customHeight="1">
      <c r="A20" s="1204" t="s">
        <v>1039</v>
      </c>
      <c r="B20" s="347" t="s">
        <v>1434</v>
      </c>
      <c r="C20" s="24">
        <f ca="1">ROUND(C19*F20,0)</f>
        <v>7</v>
      </c>
      <c r="D20" s="369" t="s">
        <v>1435</v>
      </c>
      <c r="E20" s="347" t="s">
        <v>1417</v>
      </c>
      <c r="F20" s="367">
        <f>'数据-取费表'!B37</f>
        <v>0.02</v>
      </c>
      <c r="G20" s="1855"/>
      <c r="H20" s="1204" t="s">
        <v>1383</v>
      </c>
      <c r="I20" s="164" t="s">
        <v>1436</v>
      </c>
      <c r="J20" s="25">
        <f ca="1">ROUND(M20*M21/10000,2)</f>
        <v>0.02</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112.03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6.9</v>
      </c>
      <c r="K22" s="2941"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-11</v>
      </c>
      <c r="K25" s="1348" t="s">
        <v>1459</v>
      </c>
      <c r="L25" s="1349"/>
      <c r="M25" s="1350"/>
    </row>
    <row r="26" spans="1:37">
      <c r="A26" s="1204" t="s">
        <v>1034</v>
      </c>
      <c r="B26" s="347" t="s">
        <v>1460</v>
      </c>
      <c r="C26" s="24">
        <f ca="1">ROUND((C19+C20)*F26,0)</f>
        <v>19</v>
      </c>
      <c r="D26" s="369" t="s">
        <v>1461</v>
      </c>
      <c r="E26" s="358" t="s">
        <v>1462</v>
      </c>
      <c r="F26" s="357">
        <f ca="1">INDIRECT("'数据-取费表'!q"&amp;$G$1)</f>
        <v>0.05</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460</v>
      </c>
      <c r="D29" s="1345"/>
      <c r="E29" s="1343"/>
      <c r="F29" s="1346"/>
      <c r="G29" s="1855"/>
      <c r="H29" s="380" t="s">
        <v>1033</v>
      </c>
      <c r="I29" s="381" t="s">
        <v>1474</v>
      </c>
      <c r="J29" s="382">
        <f ca="1">ROUND(J26/(1+F40)^F41,0)</f>
        <v>0</v>
      </c>
      <c r="K29" s="383" t="s">
        <v>1475</v>
      </c>
      <c r="L29" s="384"/>
      <c r="M29" s="385">
        <f ca="1">INDIRECT("'数据-取费表'!k"&amp;$G$1)</f>
        <v>1400.8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16</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7.8</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3.88</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3.86</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0.02</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112.03</v>
      </c>
      <c r="G35" s="1852"/>
      <c r="H35" s="745"/>
      <c r="I35" s="1861"/>
      <c r="J35" s="1862"/>
      <c r="K35" s="1863"/>
      <c r="L35" s="1860"/>
      <c r="M35" s="1860"/>
    </row>
    <row r="36" spans="1:18" ht="18" customHeight="1">
      <c r="A36" s="1355" t="s">
        <v>1039</v>
      </c>
      <c r="B36" s="347" t="s">
        <v>1444</v>
      </c>
      <c r="C36" s="24">
        <f ca="1">ROUND(C29*F36,1)</f>
        <v>6.9</v>
      </c>
      <c r="D36" s="2941"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0.7</v>
      </c>
      <c r="D37" s="2941" t="s">
        <v>1449</v>
      </c>
      <c r="E37" s="347" t="s">
        <v>1417</v>
      </c>
      <c r="F37" s="376">
        <f ca="1">INDIRECT("'数据-取费表'!Al"&amp;$G$1)</f>
        <v>1.5E-3</v>
      </c>
      <c r="G37" s="1852"/>
      <c r="H37" s="1860"/>
      <c r="I37" s="1861"/>
      <c r="J37" s="1862"/>
      <c r="K37" s="751"/>
      <c r="L37" s="1860"/>
      <c r="M37" s="1860"/>
    </row>
    <row r="38" spans="1:18" ht="18" customHeight="1" thickBot="1">
      <c r="A38" s="1342" t="s">
        <v>1386</v>
      </c>
      <c r="B38" s="1343" t="s">
        <v>1434</v>
      </c>
      <c r="C38" s="1344">
        <f ca="1">ROUND(C5*F38,1)</f>
        <v>0.7</v>
      </c>
      <c r="D38" s="1345" t="s">
        <v>1454</v>
      </c>
      <c r="E38" s="1343" t="s">
        <v>1417</v>
      </c>
      <c r="F38" s="1339">
        <f ca="1">INDIRECT("'数据-取费表'!Am"&amp;$G$1)</f>
        <v>0.01</v>
      </c>
      <c r="G38" s="1852"/>
      <c r="H38" s="1860"/>
      <c r="I38" s="1861"/>
      <c r="J38" s="1862"/>
      <c r="K38" s="1866"/>
      <c r="L38" s="1860"/>
      <c r="M38" s="1860"/>
    </row>
    <row r="39" spans="1:18" ht="24.6" customHeight="1" thickTop="1">
      <c r="A39" s="1332" t="s">
        <v>1031</v>
      </c>
      <c r="B39" s="1347" t="s">
        <v>1458</v>
      </c>
      <c r="C39" s="355">
        <f ca="1">C5-C30</f>
        <v>58</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1239</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1.4999999999999999E-2</v>
      </c>
      <c r="G42" s="1852"/>
      <c r="H42" s="732"/>
      <c r="I42" s="1861"/>
      <c r="J42" s="1862"/>
      <c r="K42" s="751"/>
      <c r="L42" s="732"/>
      <c r="M42" s="732"/>
    </row>
    <row r="43" spans="1:18" ht="18" customHeight="1" thickBot="1">
      <c r="A43" s="380" t="s">
        <v>1033</v>
      </c>
      <c r="B43" s="381" t="s">
        <v>1482</v>
      </c>
      <c r="C43" s="382">
        <f ca="1">ROUND(C40*10000/F43,0)</f>
        <v>8845</v>
      </c>
      <c r="D43" s="383" t="s">
        <v>1483</v>
      </c>
      <c r="E43" s="384" t="s">
        <v>1484</v>
      </c>
      <c r="F43" s="385">
        <f ca="1">INDIRECT("'数据-取费表'!k"&amp;$G$1)</f>
        <v>1400.8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-1446</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50</v>
      </c>
      <c r="M47" s="1839" t="str">
        <f>IF(ISNUMBER(FIND("住宅",C1)),"住宅","非住宅")</f>
        <v>非住宅</v>
      </c>
      <c r="O47" s="1885" t="s">
        <v>1040</v>
      </c>
      <c r="P47" s="1886" t="s">
        <v>1523</v>
      </c>
      <c r="Q47" s="1887">
        <f ca="1">C40+J29</f>
        <v>1239</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43.11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460</v>
      </c>
      <c r="R49" s="1887" t="s">
        <v>1524</v>
      </c>
    </row>
    <row r="50" spans="1:18" s="1843" customFormat="1" ht="13.5" thickBot="1">
      <c r="A50" s="1198"/>
      <c r="B50" s="1201"/>
      <c r="C50" s="1371"/>
      <c r="D50" s="1175"/>
      <c r="E50" s="1280" t="s">
        <v>1400</v>
      </c>
      <c r="F50" s="1281">
        <f ca="1">F7</f>
        <v>1400.8</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357</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40.61</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40.61</v>
      </c>
      <c r="K53" s="3237" t="s">
        <v>1543</v>
      </c>
      <c r="L53" s="3238"/>
      <c r="O53" s="1885" t="s">
        <v>1046</v>
      </c>
      <c r="P53" s="1886" t="s">
        <v>1544</v>
      </c>
      <c r="Q53" s="1887">
        <f ca="1">Q47+Q48</f>
        <v>1239</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460</v>
      </c>
      <c r="D56" s="1915"/>
      <c r="E56" s="1916"/>
      <c r="F56" s="1908"/>
      <c r="I56" s="1917" t="s">
        <v>1549</v>
      </c>
      <c r="J56" s="1918" t="s">
        <v>3047</v>
      </c>
      <c r="K56" s="1888" t="s">
        <v>1550</v>
      </c>
      <c r="L56" s="1891" t="str">
        <f ca="1">IF(L48&lt;J51,"——",L48-J53)</f>
        <v>——</v>
      </c>
      <c r="O56" s="1885" t="s">
        <v>1040</v>
      </c>
      <c r="P56" s="1886" t="s">
        <v>1523</v>
      </c>
      <c r="Q56" s="1887">
        <f ca="1">C40+J29</f>
        <v>1239</v>
      </c>
      <c r="R56" s="1887" t="s">
        <v>1524</v>
      </c>
    </row>
    <row r="57" spans="1:18" s="1843" customFormat="1" ht="24.75" thickBot="1">
      <c r="A57" s="1919"/>
      <c r="B57" s="1172" t="s">
        <v>1473</v>
      </c>
      <c r="C57" s="282">
        <f ca="1">C29</f>
        <v>460</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12</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3.9</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3.86</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0.02</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1239</v>
      </c>
      <c r="R62" s="1887" t="s">
        <v>1047</v>
      </c>
    </row>
    <row r="63" spans="1:18" s="1843" customFormat="1" ht="13.5" thickBot="1">
      <c r="A63" s="372"/>
      <c r="B63" s="1178"/>
      <c r="C63" s="29"/>
      <c r="D63" s="1188"/>
      <c r="E63" s="1172" t="s">
        <v>1442</v>
      </c>
      <c r="F63" s="348">
        <f t="shared" ca="1" si="0"/>
        <v>112.03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6.9</v>
      </c>
      <c r="D64" s="1186" t="s">
        <v>1477</v>
      </c>
      <c r="E64" s="1172" t="s">
        <v>1417</v>
      </c>
      <c r="F64" s="374">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0.7</v>
      </c>
      <c r="D65" s="1186" t="s">
        <v>1449</v>
      </c>
      <c r="E65" s="1172" t="s">
        <v>1417</v>
      </c>
      <c r="F65" s="376">
        <f t="shared" ca="1" si="0"/>
        <v>1.5E-3</v>
      </c>
      <c r="I65" s="1930" t="s">
        <v>1574</v>
      </c>
      <c r="J65" s="1931">
        <v>40</v>
      </c>
      <c r="K65" s="1931">
        <v>30</v>
      </c>
      <c r="L65" s="1931">
        <v>50</v>
      </c>
      <c r="M65" s="1933">
        <v>0.02</v>
      </c>
      <c r="O65" s="1885" t="s">
        <v>1040</v>
      </c>
      <c r="P65" s="1886" t="s">
        <v>1523</v>
      </c>
      <c r="Q65" s="1887">
        <f ca="1">C40+J29</f>
        <v>1239</v>
      </c>
      <c r="R65" s="1887" t="s">
        <v>1524</v>
      </c>
    </row>
    <row r="66" spans="1:18" s="1843" customFormat="1" ht="16.5" thickBot="1">
      <c r="A66" s="1204" t="s">
        <v>1499</v>
      </c>
      <c r="B66" s="1172" t="s">
        <v>1434</v>
      </c>
      <c r="C66" s="24">
        <f ca="1">ROUND(C48*F66,1)</f>
        <v>0</v>
      </c>
      <c r="D66" s="1186" t="s">
        <v>1454</v>
      </c>
      <c r="E66" s="1172" t="s">
        <v>1417</v>
      </c>
      <c r="F66" s="357">
        <f t="shared" ca="1" si="0"/>
        <v>0.01</v>
      </c>
      <c r="O66" s="1885" t="s">
        <v>1041</v>
      </c>
      <c r="P66" s="1886" t="s">
        <v>1553</v>
      </c>
      <c r="Q66" s="1887">
        <f ca="1">L60</f>
        <v>0</v>
      </c>
      <c r="R66" s="1887" t="s">
        <v>1576</v>
      </c>
    </row>
    <row r="67" spans="1:18" s="1843" customFormat="1" ht="16.5" thickBot="1">
      <c r="A67" s="1179" t="s">
        <v>1031</v>
      </c>
      <c r="B67" s="1189" t="s">
        <v>1458</v>
      </c>
      <c r="C67" s="361">
        <f ca="1">C48-C58</f>
        <v>-12</v>
      </c>
      <c r="D67" s="1185" t="s">
        <v>1459</v>
      </c>
      <c r="E67" s="1190"/>
      <c r="F67" s="1191"/>
      <c r="O67" s="1895" t="s">
        <v>1042</v>
      </c>
      <c r="P67" s="1886" t="s">
        <v>1557</v>
      </c>
      <c r="Q67" s="1934">
        <f ca="1">L51</f>
        <v>357</v>
      </c>
      <c r="R67" s="1887" t="s">
        <v>1577</v>
      </c>
    </row>
    <row r="68" spans="1:18" s="1843" customFormat="1" ht="16.5" thickBot="1">
      <c r="A68" s="1169" t="s">
        <v>1032</v>
      </c>
      <c r="B68" s="1170" t="s">
        <v>1480</v>
      </c>
      <c r="C68" s="346">
        <f ca="1">ROUND(C67*(1-((1+F70)/(1+F68))^F69)/(F68-F70),0)</f>
        <v>-207</v>
      </c>
      <c r="D68" s="1187" t="s">
        <v>1464</v>
      </c>
      <c r="E68" s="1172" t="s">
        <v>1465</v>
      </c>
      <c r="F68" s="357">
        <f ca="1">F40</f>
        <v>0.05</v>
      </c>
      <c r="O68" s="1895" t="s">
        <v>1043</v>
      </c>
      <c r="P68" s="1935" t="s">
        <v>1578</v>
      </c>
      <c r="Q68" s="1887">
        <f ca="1">ROUND(Q69-Q70*Q71,0)</f>
        <v>19</v>
      </c>
      <c r="R68" s="1887" t="s">
        <v>1051</v>
      </c>
    </row>
    <row r="69" spans="1:18" s="1843" customFormat="1" ht="13.5" thickBot="1">
      <c r="A69" s="1173"/>
      <c r="B69" s="1174"/>
      <c r="C69" s="351"/>
      <c r="D69" s="1192" t="s">
        <v>1468</v>
      </c>
      <c r="E69" s="1172" t="s">
        <v>1469</v>
      </c>
      <c r="F69" s="379">
        <f ca="1">F41</f>
        <v>40.61</v>
      </c>
      <c r="O69" s="1895" t="s">
        <v>1048</v>
      </c>
      <c r="P69" s="1935" t="s">
        <v>1579</v>
      </c>
      <c r="Q69" s="1887">
        <f ca="1">C39</f>
        <v>58</v>
      </c>
      <c r="R69" s="1887" t="s">
        <v>1524</v>
      </c>
    </row>
    <row r="70" spans="1:18" s="1843" customFormat="1" ht="13.5" thickBot="1">
      <c r="A70" s="1176"/>
      <c r="B70" s="1177"/>
      <c r="C70" s="355"/>
      <c r="D70" s="1188"/>
      <c r="E70" s="1172" t="s">
        <v>1472</v>
      </c>
      <c r="F70" s="1278"/>
      <c r="O70" s="1895" t="s">
        <v>1049</v>
      </c>
      <c r="P70" s="1935" t="s">
        <v>1580</v>
      </c>
      <c r="Q70" s="1887">
        <f ca="1">C13</f>
        <v>460</v>
      </c>
      <c r="R70" s="1887" t="s">
        <v>1524</v>
      </c>
    </row>
    <row r="71" spans="1:18" s="1843" customFormat="1" ht="13.5" thickBot="1">
      <c r="A71" s="1193" t="s">
        <v>1033</v>
      </c>
      <c r="B71" s="1194" t="s">
        <v>1482</v>
      </c>
      <c r="C71" s="382">
        <f ca="1">ROUND(C68*10000/F71,0)</f>
        <v>-1478</v>
      </c>
      <c r="D71" s="1195" t="s">
        <v>1483</v>
      </c>
      <c r="E71" s="1196" t="s">
        <v>1484</v>
      </c>
      <c r="F71" s="385">
        <f ca="1">F43</f>
        <v>1400.8</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39</v>
      </c>
      <c r="D75" s="1843"/>
      <c r="E75" s="1843"/>
      <c r="F75" s="1843"/>
      <c r="K75" s="1869"/>
      <c r="L75" s="1843"/>
      <c r="O75" s="1885" t="s">
        <v>1046</v>
      </c>
      <c r="P75" s="1886" t="s">
        <v>1544</v>
      </c>
      <c r="Q75" s="1887">
        <f ca="1">Q65+Q66</f>
        <v>1239</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0.32799999999999996</v>
      </c>
    </row>
    <row r="80" spans="1:18">
      <c r="B80" s="386" t="s">
        <v>1506</v>
      </c>
      <c r="C80" s="318">
        <f ca="1">ROUND(C75/C39,3)</f>
        <v>0.67200000000000004</v>
      </c>
    </row>
    <row r="81" spans="2:3">
      <c r="B81" s="314" t="s">
        <v>1507</v>
      </c>
      <c r="C81" s="282"/>
    </row>
    <row r="82" spans="2:3">
      <c r="B82" s="317" t="s">
        <v>1508</v>
      </c>
      <c r="C82" s="319">
        <f ca="1">1-C83</f>
        <v>0.629</v>
      </c>
    </row>
    <row r="83" spans="2:3">
      <c r="B83" s="317" t="s">
        <v>1509</v>
      </c>
      <c r="C83" s="318">
        <f ca="1">ROUND(C13/C40,3)</f>
        <v>0.371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1636</v>
      </c>
      <c r="B2" s="2989" t="s">
        <v>1637</v>
      </c>
      <c r="C2" s="2989" t="s">
        <v>1638</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47" t="s">
        <v>1633</v>
      </c>
      <c r="E3" s="1047" t="s">
        <v>1639</v>
      </c>
      <c r="F3" s="1047" t="s">
        <v>1633</v>
      </c>
      <c r="G3" s="1047" t="s">
        <v>1634</v>
      </c>
      <c r="H3" s="1047" t="s">
        <v>1633</v>
      </c>
      <c r="I3" s="1047" t="s">
        <v>1634</v>
      </c>
    </row>
    <row r="4" spans="1:9" ht="30">
      <c r="A4" s="1974" t="str">
        <f>项目基本情况!S2</f>
        <v>北京市出让国有建设用地使用权及在建建筑物房地产</v>
      </c>
      <c r="B4" s="1047">
        <f>项目基本情况!C17</f>
        <v>118787.11</v>
      </c>
      <c r="C4" s="1047">
        <f>项目基本情况!C18</f>
        <v>8949.2199999999993</v>
      </c>
      <c r="D4" s="1047">
        <f ca="1">结果表!D118</f>
        <v>273188</v>
      </c>
      <c r="E4" s="1047">
        <f ca="1">结果表!E118</f>
        <v>22998</v>
      </c>
      <c r="F4" s="1047">
        <f ca="1">结果表!F118</f>
        <v>5575</v>
      </c>
      <c r="G4" s="1047">
        <f ca="1">结果表!G118</f>
        <v>469</v>
      </c>
      <c r="H4" s="1047">
        <f ca="1">结果表!H118</f>
        <v>278763</v>
      </c>
      <c r="I4" s="1047">
        <f ca="1">结果表!I118</f>
        <v>23467</v>
      </c>
    </row>
    <row r="5" spans="1:9" ht="30" customHeight="1">
      <c r="A5" s="2990" t="s">
        <v>1635</v>
      </c>
      <c r="B5" s="2990"/>
      <c r="C5" s="2990"/>
      <c r="D5" s="2991" t="str">
        <f ca="1">结果表!D119</f>
        <v>贰拾柒亿叁仟壹佰捌拾捌万元整</v>
      </c>
      <c r="E5" s="2991"/>
      <c r="F5" s="2991" t="str">
        <f ca="1">结果表!F119</f>
        <v>伍仟伍佰柒拾伍万元整</v>
      </c>
      <c r="G5" s="2991"/>
      <c r="H5" s="2991" t="str">
        <f ca="1">结果表!H119</f>
        <v>贰拾柒亿捌仟柒佰陆拾叁万元整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1635</v>
      </c>
      <c r="B7" s="2990"/>
      <c r="C7" s="2990"/>
      <c r="D7" s="2993" t="str">
        <f>结果表!D121</f>
        <v>零元整</v>
      </c>
      <c r="E7" s="2994"/>
      <c r="F7" s="2994"/>
      <c r="G7" s="2994"/>
      <c r="H7" s="2994"/>
      <c r="I7" s="2995"/>
    </row>
    <row r="8" spans="1:9" ht="15.75">
      <c r="A8" s="2992" t="str">
        <f>结果表!A122</f>
        <v>房地产抵押价值</v>
      </c>
      <c r="B8" s="2992"/>
      <c r="C8" s="2992"/>
      <c r="D8" s="2992">
        <f ca="1">结果表!D122</f>
        <v>278763</v>
      </c>
      <c r="E8" s="2992"/>
      <c r="F8" s="2992"/>
      <c r="G8" s="2992"/>
      <c r="H8" s="2992"/>
      <c r="I8" s="2992"/>
    </row>
    <row r="9" spans="1:9" ht="15">
      <c r="A9" s="2990" t="s">
        <v>1635</v>
      </c>
      <c r="B9" s="2990"/>
      <c r="C9" s="2990"/>
      <c r="D9" s="2991" t="str">
        <f ca="1">结果表!D123</f>
        <v>贰拾柒亿捌仟柒佰陆拾叁万元整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1635</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1635</v>
      </c>
      <c r="B13" s="2996"/>
      <c r="C13" s="2996"/>
      <c r="D13" s="2997" t="e">
        <f>结果表!D127</f>
        <v>#VALUE!</v>
      </c>
      <c r="E13" s="2997"/>
      <c r="F13" s="2997"/>
      <c r="G13" s="2997"/>
      <c r="H13" s="2997"/>
      <c r="I13" s="2997"/>
    </row>
    <row r="14" spans="1:9" ht="15" thickTop="1">
      <c r="A14" s="2998" t="s">
        <v>1640</v>
      </c>
      <c r="B14" s="2998"/>
      <c r="C14" s="2998"/>
      <c r="D14" s="2998"/>
      <c r="E14" s="2998"/>
      <c r="F14" s="2998"/>
      <c r="G14" s="2998"/>
      <c r="H14" s="2998"/>
      <c r="I14" s="2998"/>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9" t="s">
        <v>1657</v>
      </c>
      <c r="B1" s="2999"/>
      <c r="C1" s="2999"/>
      <c r="D1" s="2999"/>
    </row>
    <row r="2" spans="1:4" ht="18">
      <c r="A2" s="3000" t="s">
        <v>1641</v>
      </c>
      <c r="B2" s="3000"/>
      <c r="C2" s="3000"/>
      <c r="D2" s="3000"/>
    </row>
    <row r="3" spans="1:4" ht="18.75">
      <c r="A3" s="1978" t="s">
        <v>1642</v>
      </c>
      <c r="B3" s="1978" t="s">
        <v>1643</v>
      </c>
      <c r="C3" s="1978" t="s">
        <v>1644</v>
      </c>
      <c r="D3" s="1978" t="s">
        <v>1645</v>
      </c>
    </row>
    <row r="4" spans="1:4" ht="56.25" customHeight="1">
      <c r="A4" s="1979" t="str">
        <f>项目基本情况!B4</f>
        <v>刘梅</v>
      </c>
      <c r="B4" s="1980">
        <f ca="1">项目基本情况!C4</f>
        <v>1120140022</v>
      </c>
      <c r="C4" s="1981"/>
      <c r="D4" s="1982" t="s">
        <v>1646</v>
      </c>
    </row>
    <row r="5" spans="1:4" ht="56.25" customHeight="1">
      <c r="A5" s="1979" t="str">
        <f>项目基本情况!D4</f>
        <v>吴薇</v>
      </c>
      <c r="B5" s="1980">
        <f ca="1">项目基本情况!E4</f>
        <v>1419970001</v>
      </c>
      <c r="C5" s="1983"/>
      <c r="D5" s="1982" t="s">
        <v>1646</v>
      </c>
    </row>
    <row r="6" spans="1:4" ht="18">
      <c r="A6" s="3000" t="s">
        <v>1647</v>
      </c>
      <c r="B6" s="3000"/>
      <c r="C6" s="3000"/>
      <c r="D6" s="3000"/>
    </row>
    <row r="7" spans="1:4" ht="18.75">
      <c r="A7" s="1978" t="s">
        <v>1642</v>
      </c>
      <c r="B7" s="1980" t="s">
        <v>1648</v>
      </c>
      <c r="C7" s="1978" t="s">
        <v>1644</v>
      </c>
      <c r="D7" s="1978" t="s">
        <v>1645</v>
      </c>
    </row>
    <row r="8" spans="1:4" ht="56.25" customHeight="1">
      <c r="A8" s="1984" t="s">
        <v>869</v>
      </c>
      <c r="B8" s="1984" t="s">
        <v>1</v>
      </c>
      <c r="C8" s="1981"/>
      <c r="D8" s="1982" t="s">
        <v>1646</v>
      </c>
    </row>
    <row r="9" spans="1:4">
      <c r="A9" s="728"/>
      <c r="B9" s="728"/>
      <c r="C9" s="728"/>
      <c r="D9" s="728"/>
    </row>
    <row r="10" spans="1:4" ht="18.75">
      <c r="A10" s="1985" t="s">
        <v>1649</v>
      </c>
      <c r="B10" s="728"/>
      <c r="C10" s="728"/>
      <c r="D10" s="728"/>
    </row>
    <row r="11" spans="1:4" ht="30" customHeight="1">
      <c r="A11" s="3001" t="s">
        <v>1650</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1651</v>
      </c>
      <c r="B16" s="3005"/>
      <c r="C16" s="3005"/>
      <c r="D16" s="3005"/>
    </row>
    <row r="17" spans="1:4" ht="144" customHeight="1">
      <c r="A17" s="3005" t="s">
        <v>1652</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1653</v>
      </c>
      <c r="B22" s="3007"/>
      <c r="C22" s="3007"/>
      <c r="D22" s="3007"/>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3013" t="s">
        <v>1664</v>
      </c>
      <c r="B15" s="3008" t="s">
        <v>136</v>
      </c>
      <c r="C15" s="3009"/>
    </row>
    <row r="16" spans="1:7" ht="13.5">
      <c r="A16" s="3014"/>
      <c r="B16" s="3008" t="s">
        <v>69</v>
      </c>
      <c r="C16" s="3009"/>
    </row>
    <row r="17" spans="1:3" ht="13.5">
      <c r="A17" s="3014"/>
      <c r="B17" s="3011" t="s">
        <v>1665</v>
      </c>
      <c r="C17" s="2001" t="s">
        <v>1664</v>
      </c>
    </row>
    <row r="18" spans="1:3" ht="13.5">
      <c r="A18" s="3014"/>
      <c r="B18" s="3011"/>
      <c r="C18" s="2001" t="s">
        <v>1666</v>
      </c>
    </row>
    <row r="19" spans="1:3" ht="13.5">
      <c r="A19" s="3014"/>
      <c r="B19" s="3011"/>
      <c r="C19" s="2001" t="s">
        <v>1667</v>
      </c>
    </row>
    <row r="20" spans="1:3" ht="13.5">
      <c r="A20" s="3015"/>
      <c r="B20" s="3010" t="s">
        <v>1668</v>
      </c>
      <c r="C20" s="3009"/>
    </row>
    <row r="21" spans="1:3" ht="13.5">
      <c r="A21" s="2002" t="s">
        <v>1669</v>
      </c>
      <c r="B21" s="2003"/>
      <c r="C21" s="2004"/>
    </row>
    <row r="22" spans="1:3" ht="13.5">
      <c r="A22" s="3012" t="s">
        <v>1670</v>
      </c>
      <c r="B22" s="3010" t="s">
        <v>1671</v>
      </c>
      <c r="C22" s="3009"/>
    </row>
    <row r="23" spans="1:3" ht="13.5">
      <c r="A23" s="3012"/>
      <c r="B23" s="3010" t="s">
        <v>1672</v>
      </c>
      <c r="C23" s="3009"/>
    </row>
    <row r="24" spans="1:3" ht="13.5">
      <c r="A24" s="3012"/>
      <c r="B24" s="3010" t="s">
        <v>1673</v>
      </c>
      <c r="C24" s="3009"/>
    </row>
    <row r="25" spans="1:3" ht="13.5">
      <c r="A25" s="3012"/>
      <c r="B25" s="3011" t="s">
        <v>1674</v>
      </c>
      <c r="C25" s="2001" t="s">
        <v>1675</v>
      </c>
    </row>
    <row r="26" spans="1:3" ht="13.5">
      <c r="A26" s="3012"/>
      <c r="B26" s="3011"/>
      <c r="C26" s="2001" t="s">
        <v>1676</v>
      </c>
    </row>
    <row r="27" spans="1:3" ht="13.5">
      <c r="A27" s="3012"/>
      <c r="B27" s="3011"/>
      <c r="C27" s="2001" t="s">
        <v>1677</v>
      </c>
    </row>
    <row r="28" spans="1:3" ht="13.5">
      <c r="A28" s="3012"/>
      <c r="B28" s="3011"/>
      <c r="C28" s="2001" t="s">
        <v>1678</v>
      </c>
    </row>
    <row r="29" spans="1:3" ht="13.5">
      <c r="A29" s="3012"/>
      <c r="B29" s="3011"/>
      <c r="C29" s="2001" t="s">
        <v>1679</v>
      </c>
    </row>
    <row r="30" spans="1:3" ht="13.5">
      <c r="A30" s="3012"/>
      <c r="B30" s="3011"/>
      <c r="C30" s="2001" t="s">
        <v>1680</v>
      </c>
    </row>
    <row r="31" spans="1:3" ht="13.5">
      <c r="A31" s="3012"/>
      <c r="B31" s="3011"/>
      <c r="C31" s="2001" t="s">
        <v>1681</v>
      </c>
    </row>
    <row r="32" spans="1:3" ht="13.5">
      <c r="A32" s="3012"/>
      <c r="B32" s="3011"/>
      <c r="C32" s="2001" t="s">
        <v>1682</v>
      </c>
    </row>
    <row r="33" spans="1:3" ht="13.5">
      <c r="A33" s="3012"/>
      <c r="B33" s="3011"/>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43160</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c r="B12" s="1025"/>
      <c r="C12" s="2349"/>
      <c r="D12" s="2352"/>
      <c r="E12" s="1025"/>
      <c r="F12" s="1025"/>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349">
        <v>43304</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1378</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收益法地上商业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2018-02-28T16:39:16Z</dcterms:modified>
</cp:coreProperties>
</file>